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lcor\Desktop\"/>
    </mc:Choice>
  </mc:AlternateContent>
  <xr:revisionPtr revIDLastSave="0" documentId="13_ncr:1_{F1421384-1916-4C4C-AB96-377FFD5F04D7}" xr6:coauthVersionLast="47" xr6:coauthVersionMax="47" xr10:uidLastSave="{00000000-0000-0000-0000-000000000000}"/>
  <bookViews>
    <workbookView xWindow="-108" yWindow="-108" windowWidth="23256" windowHeight="12576" activeTab="1" xr2:uid="{00000000-000D-0000-FFFF-FFFF00000000}"/>
  </bookViews>
  <sheets>
    <sheet name="NutritionalData" sheetId="4" r:id="rId1"/>
    <sheet name="researchMeasures" sheetId="1" r:id="rId2"/>
    <sheet name="dataDictionar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51" i="1" l="1"/>
  <c r="M151" i="1"/>
  <c r="AH150" i="1"/>
  <c r="AG150" i="1"/>
  <c r="AM150" i="1" s="1"/>
  <c r="AF150" i="1"/>
  <c r="AL150" i="1" s="1"/>
  <c r="AE150" i="1"/>
  <c r="AD150" i="1"/>
  <c r="AJ150" i="1" s="1"/>
  <c r="AC150" i="1"/>
  <c r="AB150" i="1"/>
  <c r="C395" i="4"/>
  <c r="D395" i="4"/>
  <c r="E395" i="4"/>
  <c r="F395" i="4"/>
  <c r="G395" i="4"/>
  <c r="H395" i="4"/>
  <c r="B395" i="4"/>
  <c r="AI150" i="1"/>
  <c r="AK150" i="1"/>
  <c r="AN150" i="1"/>
  <c r="C393" i="4"/>
  <c r="D393" i="4"/>
  <c r="E393" i="4"/>
  <c r="F393" i="4"/>
  <c r="G393" i="4"/>
  <c r="H393" i="4"/>
  <c r="B393" i="4"/>
  <c r="L150" i="1"/>
  <c r="M150" i="1"/>
  <c r="AI149" i="1"/>
  <c r="AJ149" i="1"/>
  <c r="AK149" i="1"/>
  <c r="AL149" i="1"/>
  <c r="AM149" i="1"/>
  <c r="AN149" i="1"/>
  <c r="AH149" i="1"/>
  <c r="AG149" i="1"/>
  <c r="AF149" i="1"/>
  <c r="AE149" i="1"/>
  <c r="AD149" i="1"/>
  <c r="AC149" i="1"/>
  <c r="AB149" i="1"/>
  <c r="L149" i="1"/>
  <c r="M149" i="1"/>
  <c r="H392" i="4"/>
  <c r="G392" i="4"/>
  <c r="F392" i="4"/>
  <c r="E392" i="4"/>
  <c r="D392" i="4"/>
  <c r="C392" i="4"/>
  <c r="B392" i="4"/>
  <c r="AI147" i="1"/>
  <c r="AJ147" i="1"/>
  <c r="AK147" i="1"/>
  <c r="AL147" i="1"/>
  <c r="AM147" i="1"/>
  <c r="AN147" i="1"/>
  <c r="AI148" i="1"/>
  <c r="AJ148" i="1"/>
  <c r="AK148" i="1"/>
  <c r="AL148" i="1"/>
  <c r="AM148" i="1"/>
  <c r="AN148" i="1"/>
  <c r="AH147" i="1"/>
  <c r="AG147" i="1"/>
  <c r="AF147" i="1"/>
  <c r="AE147" i="1"/>
  <c r="AD147" i="1"/>
  <c r="AC147" i="1"/>
  <c r="AB147" i="1"/>
  <c r="M148" i="1" s="1"/>
  <c r="AH148" i="1"/>
  <c r="AG148" i="1"/>
  <c r="AF148" i="1"/>
  <c r="AE148" i="1"/>
  <c r="AD148" i="1"/>
  <c r="AC148" i="1"/>
  <c r="AB148" i="1"/>
  <c r="AG146" i="1"/>
  <c r="AH146" i="1"/>
  <c r="AF146" i="1"/>
  <c r="AE146" i="1"/>
  <c r="AD146" i="1"/>
  <c r="AC146" i="1"/>
  <c r="AB146" i="1"/>
  <c r="L148" i="1"/>
  <c r="L147" i="1"/>
  <c r="L146" i="1"/>
  <c r="M146" i="1"/>
  <c r="AH145" i="1"/>
  <c r="AN145" i="1" s="1"/>
  <c r="AG145" i="1"/>
  <c r="AF145" i="1"/>
  <c r="AE145" i="1"/>
  <c r="AD145" i="1"/>
  <c r="AC145" i="1"/>
  <c r="AB145" i="1"/>
  <c r="AK145" i="1" s="1"/>
  <c r="AI145" i="1"/>
  <c r="AJ145" i="1"/>
  <c r="AL145" i="1"/>
  <c r="AM145" i="1"/>
  <c r="AI144" i="1"/>
  <c r="AJ144" i="1"/>
  <c r="AK144" i="1"/>
  <c r="AL144" i="1"/>
  <c r="AM144" i="1"/>
  <c r="AN144" i="1"/>
  <c r="AH144" i="1"/>
  <c r="AG144" i="1"/>
  <c r="AF144" i="1"/>
  <c r="AE144" i="1"/>
  <c r="AD144" i="1"/>
  <c r="AC144" i="1"/>
  <c r="AB144" i="1"/>
  <c r="C390" i="4"/>
  <c r="D390" i="4"/>
  <c r="E390" i="4"/>
  <c r="F390" i="4"/>
  <c r="G390" i="4"/>
  <c r="H390" i="4"/>
  <c r="B390" i="4"/>
  <c r="L145" i="1"/>
  <c r="M145" i="1"/>
  <c r="L144" i="1"/>
  <c r="M144" i="1"/>
  <c r="AI143" i="1"/>
  <c r="AJ143" i="1"/>
  <c r="AK143" i="1"/>
  <c r="AL143" i="1"/>
  <c r="AM143" i="1"/>
  <c r="AN143" i="1"/>
  <c r="AH143" i="1"/>
  <c r="AG143" i="1"/>
  <c r="AF143" i="1"/>
  <c r="AE143" i="1"/>
  <c r="AD143" i="1"/>
  <c r="AC143" i="1"/>
  <c r="AB143" i="1"/>
  <c r="AH133" i="1"/>
  <c r="AH142" i="1"/>
  <c r="AG142" i="1"/>
  <c r="AM142" i="1" s="1"/>
  <c r="AF142" i="1"/>
  <c r="AE142" i="1"/>
  <c r="AD142" i="1"/>
  <c r="AC142" i="1"/>
  <c r="AI142" i="1" s="1"/>
  <c r="AB142" i="1"/>
  <c r="M143" i="1" s="1"/>
  <c r="L143" i="1"/>
  <c r="AJ142" i="1"/>
  <c r="AK142" i="1"/>
  <c r="AL142" i="1"/>
  <c r="AN142" i="1"/>
  <c r="L142" i="1"/>
  <c r="M142" i="1"/>
  <c r="AI141" i="1"/>
  <c r="AJ141" i="1"/>
  <c r="AK141" i="1"/>
  <c r="AL141" i="1"/>
  <c r="AM141" i="1"/>
  <c r="AN141" i="1"/>
  <c r="AH141" i="1"/>
  <c r="AG141" i="1"/>
  <c r="AF141" i="1"/>
  <c r="AE141" i="1"/>
  <c r="AD141" i="1"/>
  <c r="AC141" i="1"/>
  <c r="AB141" i="1"/>
  <c r="L141" i="1"/>
  <c r="M141" i="1"/>
  <c r="AD140" i="1"/>
  <c r="AH140" i="1"/>
  <c r="AG140" i="1"/>
  <c r="AF140" i="1"/>
  <c r="AE140" i="1"/>
  <c r="AC140" i="1"/>
  <c r="AB140" i="1"/>
  <c r="C374" i="4"/>
  <c r="D374" i="4"/>
  <c r="E374" i="4"/>
  <c r="F374" i="4"/>
  <c r="G374" i="4"/>
  <c r="H374" i="4"/>
  <c r="B374" i="4"/>
  <c r="C373" i="4"/>
  <c r="D373" i="4"/>
  <c r="E373" i="4"/>
  <c r="F373" i="4"/>
  <c r="G373" i="4"/>
  <c r="H373" i="4"/>
  <c r="B373" i="4"/>
  <c r="L140" i="1"/>
  <c r="M140" i="1"/>
  <c r="AI139" i="1"/>
  <c r="AJ139" i="1"/>
  <c r="AK139" i="1"/>
  <c r="AL139" i="1"/>
  <c r="AM139" i="1"/>
  <c r="AN139" i="1"/>
  <c r="AF136" i="1"/>
  <c r="AH139" i="1"/>
  <c r="AG139" i="1"/>
  <c r="AF139" i="1"/>
  <c r="AE139" i="1"/>
  <c r="AD139" i="1"/>
  <c r="AC139" i="1"/>
  <c r="AB139" i="1"/>
  <c r="AH138" i="1"/>
  <c r="AG138" i="1"/>
  <c r="AM138" i="1"/>
  <c r="AF138" i="1"/>
  <c r="AE138" i="1"/>
  <c r="AD138" i="1"/>
  <c r="AC138" i="1"/>
  <c r="AI138" i="1" s="1"/>
  <c r="AB138" i="1"/>
  <c r="AJ138" i="1"/>
  <c r="AK138" i="1"/>
  <c r="AL138" i="1"/>
  <c r="AN138" i="1"/>
  <c r="AI137" i="1"/>
  <c r="L138" i="1"/>
  <c r="M138" i="1"/>
  <c r="L139" i="1"/>
  <c r="M139" i="1"/>
  <c r="AJ137" i="1"/>
  <c r="AK137" i="1"/>
  <c r="AL137" i="1"/>
  <c r="AM137" i="1"/>
  <c r="AN137" i="1"/>
  <c r="AH137" i="1"/>
  <c r="AG137" i="1"/>
  <c r="AF137" i="1"/>
  <c r="AE137" i="1"/>
  <c r="AD137" i="1"/>
  <c r="AC137" i="1"/>
  <c r="AB137" i="1"/>
  <c r="L137" i="1"/>
  <c r="M137" i="1"/>
  <c r="AH136" i="1"/>
  <c r="AG136" i="1"/>
  <c r="AE136" i="1"/>
  <c r="AD136" i="1"/>
  <c r="AC136" i="1"/>
  <c r="AB136" i="1"/>
  <c r="AJ136" i="1" s="1"/>
  <c r="C364" i="4"/>
  <c r="D364" i="4"/>
  <c r="E364" i="4"/>
  <c r="F364" i="4"/>
  <c r="G364" i="4"/>
  <c r="H364" i="4"/>
  <c r="B364" i="4"/>
  <c r="AI136" i="1"/>
  <c r="AK136" i="1"/>
  <c r="AL136" i="1"/>
  <c r="AM136" i="1"/>
  <c r="AN136" i="1"/>
  <c r="L136" i="1"/>
  <c r="M136" i="1"/>
  <c r="AI135" i="1"/>
  <c r="AJ135" i="1"/>
  <c r="AK135" i="1"/>
  <c r="AL135" i="1"/>
  <c r="AM135" i="1"/>
  <c r="AN135" i="1"/>
  <c r="AH135" i="1"/>
  <c r="AG135" i="1"/>
  <c r="AF135" i="1"/>
  <c r="AE135" i="1"/>
  <c r="AD135" i="1"/>
  <c r="AC135" i="1"/>
  <c r="AB135" i="1"/>
  <c r="L135" i="1"/>
  <c r="M135" i="1"/>
  <c r="AI134" i="1"/>
  <c r="AJ134" i="1"/>
  <c r="AK134" i="1"/>
  <c r="AL134" i="1"/>
  <c r="AM134" i="1"/>
  <c r="AN134" i="1"/>
  <c r="AD134" i="1"/>
  <c r="AE134" i="1"/>
  <c r="AF134" i="1"/>
  <c r="AH134" i="1"/>
  <c r="AG134" i="1"/>
  <c r="AC134" i="1"/>
  <c r="AB134" i="1"/>
  <c r="C357" i="4"/>
  <c r="D357" i="4"/>
  <c r="E357" i="4"/>
  <c r="F357" i="4"/>
  <c r="G357" i="4"/>
  <c r="H357" i="4"/>
  <c r="B357" i="4"/>
  <c r="L134" i="1"/>
  <c r="M134" i="1"/>
  <c r="AG133" i="1"/>
  <c r="AF133" i="1"/>
  <c r="AE133" i="1"/>
  <c r="AD133" i="1"/>
  <c r="AC133" i="1"/>
  <c r="AB133" i="1"/>
  <c r="C356" i="4"/>
  <c r="D356" i="4"/>
  <c r="E356" i="4"/>
  <c r="F356" i="4"/>
  <c r="G356" i="4"/>
  <c r="H356" i="4"/>
  <c r="B356" i="4"/>
  <c r="AJ133" i="1"/>
  <c r="AK133" i="1"/>
  <c r="AN146" i="1" l="1"/>
  <c r="AL146" i="1"/>
  <c r="AK146" i="1"/>
  <c r="AJ146" i="1"/>
  <c r="AM146" i="1"/>
  <c r="AI146" i="1"/>
  <c r="M147" i="1"/>
  <c r="AL140" i="1"/>
  <c r="AI140" i="1"/>
  <c r="AN140" i="1"/>
  <c r="AK140" i="1"/>
  <c r="AM140" i="1"/>
  <c r="AJ140" i="1"/>
  <c r="AL133" i="1"/>
  <c r="AI133" i="1"/>
  <c r="AN133" i="1"/>
  <c r="AM133" i="1"/>
  <c r="L133" i="1"/>
  <c r="M133" i="1"/>
  <c r="AI132" i="1"/>
  <c r="AJ132" i="1"/>
  <c r="AK132" i="1"/>
  <c r="AL132" i="1"/>
  <c r="AM132" i="1"/>
  <c r="AN132" i="1"/>
  <c r="AH132" i="1"/>
  <c r="AG132" i="1"/>
  <c r="AF132" i="1"/>
  <c r="AE132" i="1"/>
  <c r="AD132" i="1"/>
  <c r="AC132" i="1"/>
  <c r="AB132" i="1"/>
  <c r="L132" i="1"/>
  <c r="M132" i="1"/>
  <c r="AH131" i="1"/>
  <c r="AG131" i="1"/>
  <c r="AF131" i="1"/>
  <c r="AE131" i="1"/>
  <c r="AD131" i="1"/>
  <c r="AC131" i="1"/>
  <c r="AB131" i="1"/>
  <c r="AL131" i="1" s="1"/>
  <c r="L131" i="1"/>
  <c r="M131" i="1"/>
  <c r="AN131" i="1"/>
  <c r="AI130" i="1"/>
  <c r="AJ130" i="1"/>
  <c r="AK130" i="1"/>
  <c r="AL130" i="1"/>
  <c r="AM130" i="1"/>
  <c r="AN130" i="1"/>
  <c r="AM131" i="1"/>
  <c r="AH130" i="1"/>
  <c r="AG130" i="1"/>
  <c r="AF130" i="1"/>
  <c r="AE130" i="1"/>
  <c r="AD130" i="1"/>
  <c r="AC130" i="1"/>
  <c r="AB130" i="1"/>
  <c r="L130" i="1"/>
  <c r="M130" i="1"/>
  <c r="AH128" i="1"/>
  <c r="AG128" i="1"/>
  <c r="AF128" i="1"/>
  <c r="AE128" i="1"/>
  <c r="AD128" i="1"/>
  <c r="AC128" i="1"/>
  <c r="AB128" i="1"/>
  <c r="AI128" i="1" s="1"/>
  <c r="AJ128" i="1"/>
  <c r="AL128" i="1"/>
  <c r="AM128" i="1"/>
  <c r="AN128" i="1"/>
  <c r="AI129" i="1"/>
  <c r="AJ129" i="1"/>
  <c r="AK129" i="1"/>
  <c r="AL129" i="1"/>
  <c r="AM129" i="1"/>
  <c r="AN129" i="1"/>
  <c r="AH129" i="1"/>
  <c r="AG129" i="1"/>
  <c r="AF129" i="1"/>
  <c r="AE129" i="1"/>
  <c r="AD129" i="1"/>
  <c r="AC129" i="1"/>
  <c r="AB129" i="1"/>
  <c r="C345" i="4"/>
  <c r="D345" i="4"/>
  <c r="E345" i="4"/>
  <c r="F345" i="4"/>
  <c r="G345" i="4"/>
  <c r="H345" i="4"/>
  <c r="B345" i="4"/>
  <c r="B344" i="4"/>
  <c r="E344" i="4"/>
  <c r="F344" i="4"/>
  <c r="H344" i="4"/>
  <c r="G344" i="4"/>
  <c r="D344" i="4"/>
  <c r="C344" i="4"/>
  <c r="C343" i="4"/>
  <c r="D343" i="4"/>
  <c r="G343" i="4"/>
  <c r="H343" i="4"/>
  <c r="C342" i="4"/>
  <c r="D342" i="4"/>
  <c r="E342" i="4"/>
  <c r="F342" i="4"/>
  <c r="G342" i="4"/>
  <c r="H342" i="4"/>
  <c r="B342" i="4"/>
  <c r="H338" i="4"/>
  <c r="G338" i="4"/>
  <c r="F338" i="4"/>
  <c r="E338" i="4"/>
  <c r="D338" i="4"/>
  <c r="C338" i="4"/>
  <c r="B338" i="4"/>
  <c r="H337" i="4"/>
  <c r="G337" i="4"/>
  <c r="F337" i="4"/>
  <c r="E337" i="4"/>
  <c r="D337" i="4"/>
  <c r="C337" i="4"/>
  <c r="B337" i="4"/>
  <c r="H336" i="4"/>
  <c r="G336" i="4"/>
  <c r="F336" i="4"/>
  <c r="E336" i="4"/>
  <c r="D336" i="4"/>
  <c r="C336" i="4"/>
  <c r="B336" i="4"/>
  <c r="L129" i="1"/>
  <c r="M129" i="1"/>
  <c r="L128" i="1"/>
  <c r="M128" i="1"/>
  <c r="L127" i="1"/>
  <c r="M127" i="1"/>
  <c r="AI127" i="1"/>
  <c r="AJ127" i="1"/>
  <c r="AK127" i="1"/>
  <c r="AL127" i="1"/>
  <c r="AM127" i="1"/>
  <c r="AN127" i="1"/>
  <c r="AH127" i="1"/>
  <c r="AG127" i="1"/>
  <c r="AF127" i="1"/>
  <c r="AE127" i="1"/>
  <c r="AD127" i="1"/>
  <c r="AC127" i="1"/>
  <c r="AB127" i="1"/>
  <c r="AI126" i="1"/>
  <c r="AJ126" i="1"/>
  <c r="AK126" i="1"/>
  <c r="AL126" i="1"/>
  <c r="AM126" i="1"/>
  <c r="AN126" i="1"/>
  <c r="AH126" i="1"/>
  <c r="AG126" i="1"/>
  <c r="AF126" i="1"/>
  <c r="AE126" i="1"/>
  <c r="AD126" i="1"/>
  <c r="AC126" i="1"/>
  <c r="AB126" i="1"/>
  <c r="L126" i="1"/>
  <c r="M126" i="1"/>
  <c r="AI125" i="1"/>
  <c r="AJ125" i="1"/>
  <c r="AK125" i="1"/>
  <c r="AL125" i="1"/>
  <c r="AM125" i="1"/>
  <c r="AN125" i="1"/>
  <c r="AH125" i="1"/>
  <c r="AG125" i="1"/>
  <c r="AF125" i="1"/>
  <c r="AE125" i="1"/>
  <c r="AD125" i="1"/>
  <c r="AC125" i="1"/>
  <c r="AB125" i="1"/>
  <c r="C332" i="4"/>
  <c r="D332" i="4"/>
  <c r="E332" i="4"/>
  <c r="F332" i="4"/>
  <c r="G332" i="4"/>
  <c r="H332" i="4"/>
  <c r="B332" i="4"/>
  <c r="AI124" i="1"/>
  <c r="AJ124" i="1"/>
  <c r="AK124" i="1"/>
  <c r="AL124" i="1"/>
  <c r="AM124" i="1"/>
  <c r="AN124" i="1"/>
  <c r="AH124" i="1"/>
  <c r="AG124" i="1"/>
  <c r="AF124" i="1"/>
  <c r="AE124" i="1"/>
  <c r="AD124" i="1"/>
  <c r="AC124" i="1"/>
  <c r="AB124" i="1"/>
  <c r="M125" i="1" s="1"/>
  <c r="L125" i="1"/>
  <c r="BG125" i="1"/>
  <c r="L124" i="1"/>
  <c r="M124" i="1"/>
  <c r="AI123" i="1"/>
  <c r="AJ123" i="1"/>
  <c r="AK123" i="1"/>
  <c r="AL123" i="1"/>
  <c r="AM123" i="1"/>
  <c r="AN123" i="1"/>
  <c r="AH123" i="1"/>
  <c r="AG123" i="1"/>
  <c r="AF123" i="1"/>
  <c r="AE123" i="1"/>
  <c r="AD123" i="1"/>
  <c r="AC123" i="1"/>
  <c r="AB123" i="1"/>
  <c r="AI122" i="1"/>
  <c r="AJ122" i="1"/>
  <c r="AK122" i="1"/>
  <c r="AL122" i="1"/>
  <c r="AM122" i="1"/>
  <c r="AN122" i="1"/>
  <c r="AH122" i="1"/>
  <c r="AG122" i="1"/>
  <c r="AF122" i="1"/>
  <c r="AE122" i="1"/>
  <c r="AD122" i="1"/>
  <c r="AC122" i="1"/>
  <c r="AB122" i="1"/>
  <c r="M123" i="1" s="1"/>
  <c r="C327" i="4"/>
  <c r="D327" i="4"/>
  <c r="D328" i="4" s="1"/>
  <c r="E327" i="4"/>
  <c r="F327" i="4"/>
  <c r="G327" i="4"/>
  <c r="G328" i="4" s="1"/>
  <c r="H327" i="4"/>
  <c r="H328" i="4" s="1"/>
  <c r="B327" i="4"/>
  <c r="B328" i="4" s="1"/>
  <c r="C328" i="4"/>
  <c r="E328" i="4"/>
  <c r="F328" i="4"/>
  <c r="L123" i="1"/>
  <c r="L122" i="1"/>
  <c r="M122" i="1"/>
  <c r="AI121" i="1"/>
  <c r="AJ121" i="1"/>
  <c r="AK121" i="1"/>
  <c r="AL121" i="1"/>
  <c r="AM121" i="1"/>
  <c r="AN121" i="1"/>
  <c r="AH121" i="1"/>
  <c r="AG121" i="1"/>
  <c r="AF121" i="1"/>
  <c r="AE121" i="1"/>
  <c r="AD121" i="1"/>
  <c r="AC121" i="1"/>
  <c r="AB121" i="1"/>
  <c r="L121" i="1"/>
  <c r="M121" i="1"/>
  <c r="AH120" i="1"/>
  <c r="AG120" i="1"/>
  <c r="AM120" i="1" s="1"/>
  <c r="AF120" i="1"/>
  <c r="AL120" i="1" s="1"/>
  <c r="AE120" i="1"/>
  <c r="AD120" i="1"/>
  <c r="AJ120" i="1" s="1"/>
  <c r="AC120" i="1"/>
  <c r="AI120" i="1" s="1"/>
  <c r="AB120" i="1"/>
  <c r="AN120" i="1"/>
  <c r="AK131" i="1" l="1"/>
  <c r="AI131" i="1"/>
  <c r="AJ131" i="1"/>
  <c r="AK128" i="1"/>
  <c r="AK120" i="1"/>
  <c r="H325" i="4"/>
  <c r="C325" i="4"/>
  <c r="D325" i="4"/>
  <c r="E325" i="4"/>
  <c r="F325" i="4"/>
  <c r="G325" i="4"/>
  <c r="B325" i="4"/>
  <c r="C324" i="4"/>
  <c r="D324" i="4"/>
  <c r="E324" i="4"/>
  <c r="F324" i="4"/>
  <c r="G324" i="4"/>
  <c r="H324" i="4"/>
  <c r="B324" i="4"/>
  <c r="L120" i="1"/>
  <c r="M120" i="1"/>
  <c r="AI119" i="1"/>
  <c r="AJ119" i="1"/>
  <c r="AK119" i="1"/>
  <c r="AL119" i="1"/>
  <c r="AM119" i="1"/>
  <c r="AN119" i="1"/>
  <c r="AH119" i="1"/>
  <c r="AG119" i="1"/>
  <c r="AF119" i="1"/>
  <c r="AE119" i="1"/>
  <c r="AD119" i="1"/>
  <c r="AC119" i="1"/>
  <c r="AB119" i="1"/>
  <c r="L119" i="1"/>
  <c r="M119" i="1"/>
  <c r="AI118" i="1"/>
  <c r="AJ118" i="1"/>
  <c r="AK118" i="1"/>
  <c r="AL118" i="1"/>
  <c r="AM118" i="1"/>
  <c r="AN118" i="1"/>
  <c r="AH118" i="1"/>
  <c r="AG118" i="1"/>
  <c r="AF118" i="1"/>
  <c r="AE118" i="1"/>
  <c r="AD118" i="1"/>
  <c r="AC118" i="1"/>
  <c r="AB118" i="1"/>
  <c r="C320" i="4"/>
  <c r="D320" i="4"/>
  <c r="E320" i="4"/>
  <c r="F320" i="4"/>
  <c r="G320" i="4"/>
  <c r="H320" i="4"/>
  <c r="B320" i="4"/>
  <c r="L118" i="1"/>
  <c r="M118" i="1"/>
  <c r="AI117" i="1"/>
  <c r="AJ117" i="1"/>
  <c r="AK117" i="1"/>
  <c r="AL117" i="1"/>
  <c r="AM117" i="1"/>
  <c r="AN117" i="1"/>
  <c r="AH117" i="1"/>
  <c r="AG117" i="1"/>
  <c r="AF117" i="1"/>
  <c r="AE117" i="1"/>
  <c r="AD117" i="1"/>
  <c r="AC117" i="1"/>
  <c r="AB117" i="1"/>
  <c r="L117" i="1"/>
  <c r="M117" i="1"/>
  <c r="AI116" i="1"/>
  <c r="AJ116" i="1"/>
  <c r="AK116" i="1"/>
  <c r="AL116" i="1"/>
  <c r="AM116" i="1"/>
  <c r="AN116" i="1"/>
  <c r="AH116" i="1"/>
  <c r="AG116" i="1"/>
  <c r="AF116" i="1"/>
  <c r="AE116" i="1"/>
  <c r="AD116" i="1"/>
  <c r="AC116" i="1"/>
  <c r="AB116" i="1"/>
  <c r="H315" i="4"/>
  <c r="G315" i="4"/>
  <c r="F315" i="4"/>
  <c r="E315" i="4"/>
  <c r="D315" i="4"/>
  <c r="C315" i="4"/>
  <c r="B315" i="4"/>
  <c r="L116" i="1"/>
  <c r="M116" i="1"/>
  <c r="AI115" i="1"/>
  <c r="AJ115" i="1"/>
  <c r="AK115" i="1"/>
  <c r="AL115" i="1"/>
  <c r="AM115" i="1"/>
  <c r="AN115" i="1"/>
  <c r="AH115" i="1"/>
  <c r="AG115" i="1"/>
  <c r="AF115" i="1"/>
  <c r="AE115" i="1"/>
  <c r="AD115" i="1"/>
  <c r="AC115" i="1"/>
  <c r="AB115" i="1"/>
  <c r="C311" i="4"/>
  <c r="D311" i="4"/>
  <c r="E311" i="4"/>
  <c r="F311" i="4"/>
  <c r="G311" i="4"/>
  <c r="H311" i="4"/>
  <c r="B311" i="4"/>
  <c r="B310" i="4"/>
  <c r="C310" i="4"/>
  <c r="D310" i="4"/>
  <c r="E310" i="4"/>
  <c r="F310" i="4"/>
  <c r="G310" i="4"/>
  <c r="H310" i="4"/>
  <c r="L115" i="1"/>
  <c r="M115" i="1"/>
  <c r="AI114" i="1"/>
  <c r="AJ114" i="1"/>
  <c r="AK114" i="1"/>
  <c r="AL114" i="1"/>
  <c r="AM114" i="1"/>
  <c r="AN114" i="1"/>
  <c r="AH114" i="1"/>
  <c r="AG114" i="1"/>
  <c r="AF114" i="1"/>
  <c r="AE114" i="1"/>
  <c r="AD114" i="1"/>
  <c r="AC114" i="1"/>
  <c r="AB114" i="1"/>
  <c r="H309" i="4"/>
  <c r="G309" i="4"/>
  <c r="F309" i="4"/>
  <c r="E309" i="4"/>
  <c r="D309" i="4"/>
  <c r="C309" i="4"/>
  <c r="B309" i="4"/>
  <c r="L114" i="1"/>
  <c r="M114" i="1"/>
  <c r="AI113" i="1"/>
  <c r="AJ113" i="1"/>
  <c r="AK113" i="1"/>
  <c r="AL113" i="1"/>
  <c r="AM113" i="1"/>
  <c r="AN113" i="1"/>
  <c r="AH113" i="1"/>
  <c r="AG113" i="1"/>
  <c r="AF113" i="1"/>
  <c r="AE113" i="1"/>
  <c r="AD113" i="1"/>
  <c r="AC113" i="1"/>
  <c r="AB113" i="1"/>
  <c r="C308" i="4"/>
  <c r="D308" i="4"/>
  <c r="E308" i="4"/>
  <c r="F308" i="4"/>
  <c r="G308" i="4"/>
  <c r="H308" i="4"/>
  <c r="B308" i="4"/>
  <c r="L113" i="1"/>
  <c r="M113" i="1"/>
  <c r="AI112" i="1"/>
  <c r="AJ112" i="1"/>
  <c r="AK112" i="1"/>
  <c r="AL112" i="1"/>
  <c r="AM112" i="1"/>
  <c r="AN112" i="1"/>
  <c r="AH112" i="1"/>
  <c r="AG112" i="1"/>
  <c r="AF112" i="1"/>
  <c r="AE112" i="1"/>
  <c r="AD112" i="1"/>
  <c r="AC112" i="1"/>
  <c r="AB112" i="1"/>
  <c r="H307" i="4"/>
  <c r="G307" i="4"/>
  <c r="F307" i="4"/>
  <c r="E307" i="4"/>
  <c r="D307" i="4"/>
  <c r="C307" i="4"/>
  <c r="B307" i="4"/>
  <c r="L112" i="1"/>
  <c r="M112" i="1"/>
  <c r="AI111" i="1"/>
  <c r="AJ111" i="1"/>
  <c r="AK111" i="1"/>
  <c r="AL111" i="1"/>
  <c r="AM111" i="1"/>
  <c r="AN111" i="1"/>
  <c r="AH111" i="1"/>
  <c r="AG111" i="1"/>
  <c r="AF111" i="1"/>
  <c r="AE111" i="1"/>
  <c r="AD111" i="1"/>
  <c r="AC111" i="1"/>
  <c r="AB111" i="1"/>
  <c r="C306" i="4"/>
  <c r="D306" i="4"/>
  <c r="E306" i="4"/>
  <c r="F306" i="4"/>
  <c r="G306" i="4"/>
  <c r="H306" i="4"/>
  <c r="B306" i="4"/>
  <c r="H305" i="4"/>
  <c r="G305" i="4"/>
  <c r="F305" i="4"/>
  <c r="E305" i="4"/>
  <c r="D305" i="4"/>
  <c r="C305" i="4"/>
  <c r="B305" i="4"/>
  <c r="H304" i="4"/>
  <c r="G304" i="4"/>
  <c r="F304" i="4"/>
  <c r="E304" i="4"/>
  <c r="D304" i="4"/>
  <c r="C304" i="4"/>
  <c r="B304" i="4"/>
  <c r="H303" i="4"/>
  <c r="G303" i="4"/>
  <c r="F303" i="4"/>
  <c r="E303" i="4"/>
  <c r="D303" i="4"/>
  <c r="C303" i="4"/>
  <c r="B303" i="4"/>
  <c r="L111" i="1" l="1"/>
  <c r="M111" i="1"/>
  <c r="AI110" i="1"/>
  <c r="AJ110" i="1"/>
  <c r="AK110" i="1"/>
  <c r="AL110" i="1"/>
  <c r="AM110" i="1"/>
  <c r="AN110" i="1"/>
  <c r="AH110" i="1"/>
  <c r="AG110" i="1"/>
  <c r="AF110" i="1"/>
  <c r="AE110" i="1"/>
  <c r="AD110" i="1"/>
  <c r="AC110" i="1"/>
  <c r="AB110" i="1"/>
  <c r="C301" i="4"/>
  <c r="D301" i="4"/>
  <c r="E301" i="4"/>
  <c r="F301" i="4"/>
  <c r="G301" i="4"/>
  <c r="H301" i="4"/>
  <c r="B301" i="4"/>
  <c r="L110" i="1"/>
  <c r="M110" i="1"/>
  <c r="AI109" i="1"/>
  <c r="AJ109" i="1"/>
  <c r="AK109" i="1"/>
  <c r="AL109" i="1"/>
  <c r="AM109" i="1"/>
  <c r="AN109" i="1"/>
  <c r="AH109" i="1"/>
  <c r="AG109" i="1"/>
  <c r="AF109" i="1"/>
  <c r="AE109" i="1"/>
  <c r="AD109" i="1"/>
  <c r="AC109" i="1"/>
  <c r="AB109" i="1"/>
  <c r="L109" i="1"/>
  <c r="M109" i="1"/>
  <c r="AI108" i="1"/>
  <c r="AJ108" i="1"/>
  <c r="AK108" i="1"/>
  <c r="AL108" i="1"/>
  <c r="AM108" i="1"/>
  <c r="AN108" i="1"/>
  <c r="AH108" i="1"/>
  <c r="AG108" i="1"/>
  <c r="AF108" i="1"/>
  <c r="AE108" i="1"/>
  <c r="AD108" i="1"/>
  <c r="AC108" i="1"/>
  <c r="AB108" i="1"/>
  <c r="C299" i="4"/>
  <c r="D299" i="4"/>
  <c r="E299" i="4"/>
  <c r="F299" i="4"/>
  <c r="G299" i="4"/>
  <c r="H299" i="4"/>
  <c r="B299" i="4"/>
  <c r="L108" i="1"/>
  <c r="M108" i="1"/>
  <c r="AI107" i="1"/>
  <c r="AJ107" i="1"/>
  <c r="AK107" i="1"/>
  <c r="AL107" i="1"/>
  <c r="AM107" i="1"/>
  <c r="AN107" i="1"/>
  <c r="AH107" i="1"/>
  <c r="AG107" i="1"/>
  <c r="AF107" i="1"/>
  <c r="AE107" i="1"/>
  <c r="AD107" i="1"/>
  <c r="AC107" i="1"/>
  <c r="AB107" i="1"/>
  <c r="L107" i="1"/>
  <c r="M107" i="1"/>
  <c r="AI106" i="1"/>
  <c r="AJ106" i="1"/>
  <c r="AK106" i="1"/>
  <c r="AL106" i="1"/>
  <c r="AM106" i="1"/>
  <c r="AN106" i="1"/>
  <c r="AH106" i="1"/>
  <c r="AG106" i="1"/>
  <c r="AF106" i="1"/>
  <c r="AE106" i="1"/>
  <c r="AD106" i="1"/>
  <c r="AC106" i="1"/>
  <c r="AB106" i="1"/>
  <c r="C290" i="4"/>
  <c r="C291" i="4" s="1"/>
  <c r="D290" i="4"/>
  <c r="D291" i="4" s="1"/>
  <c r="E290" i="4"/>
  <c r="E291" i="4" s="1"/>
  <c r="F290" i="4"/>
  <c r="F291" i="4" s="1"/>
  <c r="G290" i="4"/>
  <c r="G291" i="4" s="1"/>
  <c r="H290" i="4"/>
  <c r="H291" i="4" s="1"/>
  <c r="B290" i="4"/>
  <c r="B291" i="4" s="1"/>
  <c r="L106" i="1"/>
  <c r="M106" i="1"/>
  <c r="AI105" i="1"/>
  <c r="AJ105" i="1"/>
  <c r="AK105" i="1"/>
  <c r="AL105" i="1"/>
  <c r="AM105" i="1"/>
  <c r="AN105" i="1"/>
  <c r="AB105" i="1"/>
  <c r="AC105" i="1"/>
  <c r="AD105" i="1"/>
  <c r="AE105" i="1"/>
  <c r="AF105" i="1"/>
  <c r="AH105" i="1"/>
  <c r="AG105" i="1"/>
  <c r="H288" i="4"/>
  <c r="G288" i="4"/>
  <c r="F288" i="4"/>
  <c r="E288" i="4"/>
  <c r="D288" i="4"/>
  <c r="C288" i="4"/>
  <c r="B288" i="4"/>
  <c r="L105" i="1"/>
  <c r="M105" i="1"/>
  <c r="AI104" i="1"/>
  <c r="AJ104" i="1"/>
  <c r="AK104" i="1"/>
  <c r="AL104" i="1"/>
  <c r="AM104" i="1"/>
  <c r="AN104" i="1"/>
  <c r="AH104" i="1"/>
  <c r="AG104" i="1"/>
  <c r="AF104" i="1"/>
  <c r="AE104" i="1"/>
  <c r="AD104" i="1"/>
  <c r="AC104" i="1"/>
  <c r="AB104" i="1"/>
  <c r="H286" i="4"/>
  <c r="B286" i="4"/>
  <c r="H285" i="4"/>
  <c r="C285" i="4"/>
  <c r="C286" i="4" s="1"/>
  <c r="D285" i="4"/>
  <c r="D286" i="4" s="1"/>
  <c r="E285" i="4"/>
  <c r="E286" i="4" s="1"/>
  <c r="F285" i="4"/>
  <c r="F286" i="4" s="1"/>
  <c r="G285" i="4"/>
  <c r="G286" i="4" s="1"/>
  <c r="B285" i="4"/>
  <c r="L104" i="1"/>
  <c r="M104" i="1"/>
  <c r="AI103" i="1"/>
  <c r="AJ103" i="1"/>
  <c r="AK103" i="1"/>
  <c r="AL103" i="1"/>
  <c r="AM103" i="1"/>
  <c r="AN103" i="1"/>
  <c r="AH103" i="1"/>
  <c r="AG103" i="1"/>
  <c r="AF103" i="1"/>
  <c r="AE103" i="1"/>
  <c r="AD103" i="1"/>
  <c r="AC103" i="1"/>
  <c r="AB103" i="1"/>
  <c r="H282" i="4"/>
  <c r="H284" i="4" s="1"/>
  <c r="C282" i="4"/>
  <c r="C284" i="4" s="1"/>
  <c r="D282" i="4"/>
  <c r="D284" i="4" s="1"/>
  <c r="E282" i="4"/>
  <c r="E284" i="4" s="1"/>
  <c r="F282" i="4"/>
  <c r="F284" i="4" s="1"/>
  <c r="G282" i="4"/>
  <c r="G284" i="4" s="1"/>
  <c r="B282" i="4"/>
  <c r="B284" i="4" s="1"/>
  <c r="L103" i="1" l="1"/>
  <c r="M103" i="1"/>
  <c r="AI102" i="1"/>
  <c r="AJ102" i="1"/>
  <c r="AK102" i="1"/>
  <c r="AL102" i="1"/>
  <c r="AM102" i="1"/>
  <c r="AN102" i="1"/>
  <c r="AH102" i="1"/>
  <c r="AG102" i="1"/>
  <c r="AF102" i="1"/>
  <c r="AE102" i="1"/>
  <c r="AD102" i="1"/>
  <c r="AC102" i="1"/>
  <c r="AB102" i="1"/>
  <c r="L102" i="1"/>
  <c r="M102" i="1"/>
  <c r="AI101" i="1"/>
  <c r="AJ101" i="1"/>
  <c r="AK101" i="1"/>
  <c r="AL101" i="1"/>
  <c r="AM101" i="1"/>
  <c r="AN101" i="1"/>
  <c r="AH101" i="1"/>
  <c r="AG101" i="1"/>
  <c r="AF101" i="1"/>
  <c r="AE101" i="1"/>
  <c r="AD101" i="1"/>
  <c r="AC101" i="1"/>
  <c r="AB101" i="1"/>
  <c r="H272" i="4"/>
  <c r="H273" i="4" s="1"/>
  <c r="G272" i="4"/>
  <c r="G273" i="4" s="1"/>
  <c r="E272" i="4"/>
  <c r="E273" i="4" s="1"/>
  <c r="D272" i="4"/>
  <c r="D273" i="4" s="1"/>
  <c r="C272" i="4"/>
  <c r="C273" i="4" s="1"/>
  <c r="L101" i="1"/>
  <c r="M101" i="1"/>
  <c r="AI100" i="1"/>
  <c r="AJ100" i="1"/>
  <c r="AK100" i="1"/>
  <c r="AL100" i="1"/>
  <c r="AM100" i="1"/>
  <c r="AN100" i="1"/>
  <c r="AH100" i="1"/>
  <c r="AG100" i="1"/>
  <c r="AF100" i="1"/>
  <c r="AE100" i="1"/>
  <c r="AD100" i="1"/>
  <c r="AC100" i="1"/>
  <c r="AB100" i="1"/>
  <c r="C269" i="4"/>
  <c r="D269" i="4"/>
  <c r="E269" i="4"/>
  <c r="F269" i="4"/>
  <c r="G269" i="4"/>
  <c r="H269" i="4"/>
  <c r="B269" i="4"/>
  <c r="AI99" i="1" l="1"/>
  <c r="AJ99" i="1"/>
  <c r="AK99" i="1"/>
  <c r="AL99" i="1"/>
  <c r="AM99" i="1"/>
  <c r="AN99" i="1"/>
  <c r="AH99" i="1"/>
  <c r="AG99" i="1"/>
  <c r="AF99" i="1"/>
  <c r="AE99" i="1"/>
  <c r="AD99" i="1"/>
  <c r="AC99" i="1"/>
  <c r="AB99" i="1"/>
  <c r="L100" i="1"/>
  <c r="M100" i="1"/>
  <c r="L99" i="1"/>
  <c r="M99" i="1"/>
  <c r="AI98" i="1"/>
  <c r="AJ98" i="1"/>
  <c r="AK98" i="1"/>
  <c r="AL98" i="1"/>
  <c r="AM98" i="1"/>
  <c r="AN98" i="1"/>
  <c r="AH98" i="1"/>
  <c r="AG98" i="1"/>
  <c r="AF98" i="1"/>
  <c r="AE98" i="1"/>
  <c r="AD98" i="1"/>
  <c r="AC98" i="1"/>
  <c r="AB98" i="1"/>
  <c r="D263" i="4"/>
  <c r="F263" i="4"/>
  <c r="C262" i="4"/>
  <c r="C263" i="4" s="1"/>
  <c r="D262" i="4"/>
  <c r="E262" i="4"/>
  <c r="E263" i="4" s="1"/>
  <c r="F262" i="4"/>
  <c r="G262" i="4"/>
  <c r="G263" i="4" s="1"/>
  <c r="H262" i="4"/>
  <c r="H263" i="4" s="1"/>
  <c r="B262" i="4"/>
  <c r="B263" i="4" s="1"/>
  <c r="L98" i="1" l="1"/>
  <c r="M98" i="1"/>
  <c r="AH97" i="1"/>
  <c r="AG97" i="1"/>
  <c r="AF97" i="1"/>
  <c r="AE97" i="1"/>
  <c r="AD97" i="1"/>
  <c r="AC97" i="1"/>
  <c r="AB97" i="1"/>
  <c r="AI97" i="1"/>
  <c r="AJ97" i="1"/>
  <c r="AK97" i="1"/>
  <c r="AL97" i="1"/>
  <c r="AM97" i="1"/>
  <c r="AN97" i="1"/>
  <c r="L97" i="1"/>
  <c r="M97" i="1"/>
  <c r="AI96" i="1"/>
  <c r="AJ96" i="1"/>
  <c r="AK96" i="1"/>
  <c r="AL96" i="1"/>
  <c r="AM96" i="1"/>
  <c r="AN96" i="1"/>
  <c r="AH96" i="1"/>
  <c r="AG96" i="1"/>
  <c r="AF96" i="1"/>
  <c r="AE96" i="1"/>
  <c r="AD96" i="1"/>
  <c r="AC96" i="1"/>
  <c r="AB96" i="1"/>
  <c r="AH95" i="1" l="1"/>
  <c r="AG95" i="1"/>
  <c r="AF95" i="1"/>
  <c r="AE95" i="1"/>
  <c r="AD95" i="1"/>
  <c r="AC95" i="1"/>
  <c r="AB95" i="1"/>
  <c r="AI95" i="1" s="1"/>
  <c r="L96" i="1"/>
  <c r="M96" i="1"/>
  <c r="AJ95" i="1"/>
  <c r="AN95" i="1"/>
  <c r="G249" i="4"/>
  <c r="H248" i="4"/>
  <c r="G248" i="4"/>
  <c r="F248" i="4"/>
  <c r="E248" i="4"/>
  <c r="D248" i="4"/>
  <c r="C248" i="4"/>
  <c r="B248" i="4"/>
  <c r="H247" i="4"/>
  <c r="G247" i="4"/>
  <c r="F247" i="4"/>
  <c r="E247" i="4"/>
  <c r="D247" i="4"/>
  <c r="C247" i="4"/>
  <c r="B247" i="4"/>
  <c r="L95" i="1"/>
  <c r="M95" i="1"/>
  <c r="AH94" i="1"/>
  <c r="AG94" i="1"/>
  <c r="AF94" i="1"/>
  <c r="AE94" i="1"/>
  <c r="AD94" i="1"/>
  <c r="AC94" i="1"/>
  <c r="AB94" i="1"/>
  <c r="AJ94" i="1" s="1"/>
  <c r="H245" i="4"/>
  <c r="H246" i="4" s="1"/>
  <c r="G245" i="4"/>
  <c r="G246" i="4" s="1"/>
  <c r="F245" i="4"/>
  <c r="F246" i="4" s="1"/>
  <c r="E245" i="4"/>
  <c r="E246" i="4" s="1"/>
  <c r="D245" i="4"/>
  <c r="D246" i="4" s="1"/>
  <c r="C245" i="4"/>
  <c r="C246" i="4" s="1"/>
  <c r="B245" i="4"/>
  <c r="B246" i="4" s="1"/>
  <c r="AI94" i="1"/>
  <c r="AK94" i="1"/>
  <c r="AM94" i="1"/>
  <c r="AL95" i="1" l="1"/>
  <c r="AM95" i="1"/>
  <c r="AK95" i="1"/>
  <c r="AN94" i="1"/>
  <c r="AL94" i="1"/>
  <c r="L94" i="1"/>
  <c r="M94" i="1"/>
  <c r="AI93" i="1"/>
  <c r="AJ93" i="1"/>
  <c r="AK93" i="1"/>
  <c r="AL93" i="1"/>
  <c r="AM93" i="1"/>
  <c r="AN93" i="1"/>
  <c r="AH93" i="1"/>
  <c r="AG93" i="1"/>
  <c r="AF93" i="1"/>
  <c r="AE93" i="1"/>
  <c r="AD93" i="1"/>
  <c r="AC93" i="1"/>
  <c r="AB93" i="1"/>
  <c r="AH92" i="1"/>
  <c r="AG92" i="1"/>
  <c r="AF92" i="1"/>
  <c r="AE92" i="1"/>
  <c r="AD92" i="1"/>
  <c r="AC92" i="1"/>
  <c r="AB92" i="1"/>
  <c r="C237" i="4"/>
  <c r="C238" i="4" s="1"/>
  <c r="D237" i="4"/>
  <c r="D238" i="4" s="1"/>
  <c r="E237" i="4"/>
  <c r="E238" i="4" s="1"/>
  <c r="F237" i="4"/>
  <c r="F238" i="4" s="1"/>
  <c r="G237" i="4"/>
  <c r="G238" i="4" s="1"/>
  <c r="H237" i="4"/>
  <c r="H238" i="4" s="1"/>
  <c r="B237" i="4"/>
  <c r="B238" i="4" s="1"/>
  <c r="H239" i="4"/>
  <c r="H241" i="4" s="1"/>
  <c r="H242" i="4" s="1"/>
  <c r="G239" i="4"/>
  <c r="G241" i="4" s="1"/>
  <c r="G242" i="4" s="1"/>
  <c r="F239" i="4"/>
  <c r="F241" i="4" s="1"/>
  <c r="F242" i="4" s="1"/>
  <c r="E239" i="4"/>
  <c r="E241" i="4" s="1"/>
  <c r="E242" i="4" s="1"/>
  <c r="D239" i="4"/>
  <c r="D241" i="4" s="1"/>
  <c r="D242" i="4" s="1"/>
  <c r="C239" i="4"/>
  <c r="C241" i="4" s="1"/>
  <c r="C242" i="4" s="1"/>
  <c r="B239" i="4"/>
  <c r="B241" i="4" s="1"/>
  <c r="B242" i="4" s="1"/>
  <c r="L93" i="1" l="1"/>
  <c r="M93" i="1"/>
  <c r="AI92" i="1"/>
  <c r="AJ92" i="1"/>
  <c r="AK92" i="1"/>
  <c r="AL92" i="1"/>
  <c r="AM92" i="1"/>
  <c r="AN92" i="1"/>
  <c r="L92" i="1"/>
  <c r="M92" i="1"/>
  <c r="AH91" i="1"/>
  <c r="AG91" i="1"/>
  <c r="AF91" i="1"/>
  <c r="AE91" i="1"/>
  <c r="AD91" i="1"/>
  <c r="AC91" i="1"/>
  <c r="AB91" i="1"/>
  <c r="AI91" i="1"/>
  <c r="AJ91" i="1"/>
  <c r="AK91" i="1"/>
  <c r="AL91" i="1"/>
  <c r="AM91" i="1"/>
  <c r="AN91" i="1"/>
  <c r="L91" i="1"/>
  <c r="M91" i="1"/>
  <c r="AI90" i="1"/>
  <c r="AJ90" i="1"/>
  <c r="AK90" i="1"/>
  <c r="AL90" i="1"/>
  <c r="AM90" i="1"/>
  <c r="AN90" i="1"/>
  <c r="AH90" i="1"/>
  <c r="AG90" i="1"/>
  <c r="AF90" i="1"/>
  <c r="AE90" i="1"/>
  <c r="AD90" i="1"/>
  <c r="AC90" i="1"/>
  <c r="AB90" i="1"/>
  <c r="L90" i="1"/>
  <c r="M90" i="1"/>
  <c r="AI89" i="1"/>
  <c r="AJ89" i="1"/>
  <c r="AK89" i="1"/>
  <c r="AL89" i="1"/>
  <c r="AM89" i="1"/>
  <c r="AN89" i="1"/>
  <c r="AH89" i="1"/>
  <c r="AG89" i="1"/>
  <c r="AF89" i="1"/>
  <c r="AE89" i="1"/>
  <c r="AD89" i="1"/>
  <c r="AC89" i="1"/>
  <c r="AB89" i="1"/>
  <c r="L89" i="1"/>
  <c r="M89" i="1"/>
  <c r="AH88" i="1" l="1"/>
  <c r="AG88" i="1"/>
  <c r="AF88" i="1"/>
  <c r="AE88" i="1"/>
  <c r="AD88" i="1"/>
  <c r="AC88" i="1"/>
  <c r="AB88" i="1"/>
  <c r="AI88" i="1" s="1"/>
  <c r="AJ88" i="1"/>
  <c r="AN88" i="1"/>
  <c r="C229" i="4"/>
  <c r="C230" i="4" s="1"/>
  <c r="D229" i="4"/>
  <c r="D230" i="4" s="1"/>
  <c r="E229" i="4"/>
  <c r="E230" i="4" s="1"/>
  <c r="F229" i="4"/>
  <c r="F230" i="4" s="1"/>
  <c r="G229" i="4"/>
  <c r="G230" i="4" s="1"/>
  <c r="H229" i="4"/>
  <c r="H230" i="4" s="1"/>
  <c r="B229" i="4"/>
  <c r="B230" i="4" s="1"/>
  <c r="L88" i="1"/>
  <c r="M88" i="1"/>
  <c r="AI87" i="1"/>
  <c r="AJ87" i="1"/>
  <c r="AK87" i="1"/>
  <c r="AL87" i="1"/>
  <c r="AM87" i="1"/>
  <c r="AN87" i="1"/>
  <c r="AH87" i="1"/>
  <c r="AG87" i="1"/>
  <c r="AF87" i="1"/>
  <c r="AE87" i="1"/>
  <c r="AD87" i="1"/>
  <c r="AC87" i="1"/>
  <c r="AB87" i="1"/>
  <c r="L87" i="1"/>
  <c r="M87" i="1"/>
  <c r="AI86" i="1"/>
  <c r="AJ86" i="1"/>
  <c r="AK86" i="1"/>
  <c r="AL86" i="1"/>
  <c r="AM86" i="1"/>
  <c r="AN86" i="1"/>
  <c r="AH86" i="1"/>
  <c r="AG86" i="1"/>
  <c r="AF86" i="1"/>
  <c r="AE86" i="1"/>
  <c r="AD86" i="1"/>
  <c r="AC86" i="1"/>
  <c r="AB86" i="1"/>
  <c r="L86" i="1"/>
  <c r="M86" i="1"/>
  <c r="AH85" i="1"/>
  <c r="AG85" i="1"/>
  <c r="AF85" i="1"/>
  <c r="AE85" i="1"/>
  <c r="AD85" i="1"/>
  <c r="AC85" i="1"/>
  <c r="AB85" i="1"/>
  <c r="AI85" i="1"/>
  <c r="AJ85" i="1"/>
  <c r="AK85" i="1"/>
  <c r="AL85" i="1"/>
  <c r="AM85" i="1"/>
  <c r="AN85" i="1"/>
  <c r="L85" i="1"/>
  <c r="M85" i="1"/>
  <c r="AL88" i="1" l="1"/>
  <c r="AM88" i="1"/>
  <c r="AK88" i="1"/>
  <c r="AH84" i="1"/>
  <c r="AG84" i="1"/>
  <c r="AF84" i="1"/>
  <c r="AE84" i="1"/>
  <c r="AD84" i="1"/>
  <c r="AC84" i="1"/>
  <c r="AI84" i="1" s="1"/>
  <c r="AB84" i="1"/>
  <c r="AJ84" i="1"/>
  <c r="AK84" i="1"/>
  <c r="AL84" i="1"/>
  <c r="AM84" i="1"/>
  <c r="AN84" i="1"/>
  <c r="L84" i="1"/>
  <c r="M84" i="1"/>
  <c r="AH83" i="1" l="1"/>
  <c r="AG83" i="1"/>
  <c r="AF83" i="1"/>
  <c r="AE83" i="1"/>
  <c r="AD83" i="1"/>
  <c r="AC83" i="1"/>
  <c r="AB83" i="1"/>
  <c r="AI83" i="1"/>
  <c r="AJ83" i="1"/>
  <c r="AK83" i="1"/>
  <c r="AL83" i="1"/>
  <c r="AM83" i="1"/>
  <c r="AN83" i="1"/>
  <c r="C218" i="4"/>
  <c r="C219" i="4" s="1"/>
  <c r="D218" i="4"/>
  <c r="D219" i="4" s="1"/>
  <c r="E218" i="4"/>
  <c r="E219" i="4" s="1"/>
  <c r="F218" i="4"/>
  <c r="F219" i="4" s="1"/>
  <c r="G218" i="4"/>
  <c r="G219" i="4" s="1"/>
  <c r="H218" i="4"/>
  <c r="H219" i="4" s="1"/>
  <c r="B218" i="4"/>
  <c r="B219" i="4" s="1"/>
  <c r="L83" i="1"/>
  <c r="M83" i="1"/>
  <c r="AH82" i="1"/>
  <c r="AG82" i="1"/>
  <c r="AF82" i="1"/>
  <c r="AE82" i="1"/>
  <c r="AD82" i="1"/>
  <c r="AC82" i="1"/>
  <c r="AB82" i="1"/>
  <c r="AI82" i="1"/>
  <c r="AJ82" i="1"/>
  <c r="AK82" i="1"/>
  <c r="AL82" i="1"/>
  <c r="AM82" i="1"/>
  <c r="AN82" i="1"/>
  <c r="L82" i="1"/>
  <c r="M82" i="1"/>
  <c r="AH81" i="1" l="1"/>
  <c r="AG81" i="1"/>
  <c r="AF81" i="1"/>
  <c r="AE81" i="1"/>
  <c r="AD81" i="1"/>
  <c r="AC81" i="1"/>
  <c r="AB81" i="1"/>
  <c r="AI81" i="1"/>
  <c r="AJ81" i="1"/>
  <c r="AK81" i="1"/>
  <c r="AL81" i="1"/>
  <c r="AM81" i="1"/>
  <c r="AN81" i="1"/>
  <c r="L81" i="1"/>
  <c r="M81" i="1"/>
  <c r="AH80" i="1" l="1"/>
  <c r="AG80" i="1"/>
  <c r="AF80" i="1"/>
  <c r="AE80" i="1"/>
  <c r="AD80" i="1"/>
  <c r="AC80" i="1"/>
  <c r="AB80" i="1"/>
  <c r="AI80" i="1"/>
  <c r="AJ80" i="1"/>
  <c r="AK80" i="1"/>
  <c r="AL80" i="1"/>
  <c r="AM80" i="1"/>
  <c r="AN80" i="1"/>
  <c r="L80" i="1"/>
  <c r="M80" i="1"/>
  <c r="AH79" i="1"/>
  <c r="AG79" i="1"/>
  <c r="AF79" i="1"/>
  <c r="AE79" i="1"/>
  <c r="AD79" i="1"/>
  <c r="AC79" i="1"/>
  <c r="AB79" i="1"/>
  <c r="AI79" i="1"/>
  <c r="AJ79" i="1"/>
  <c r="AK79" i="1"/>
  <c r="AL79" i="1"/>
  <c r="AM79" i="1"/>
  <c r="AN79" i="1"/>
  <c r="L79" i="1" l="1"/>
  <c r="M79" i="1"/>
  <c r="AI78" i="1"/>
  <c r="AJ78" i="1"/>
  <c r="AK78" i="1"/>
  <c r="AL78" i="1"/>
  <c r="AM78" i="1"/>
  <c r="AN78" i="1"/>
  <c r="AH78" i="1"/>
  <c r="AG78" i="1"/>
  <c r="AF78" i="1"/>
  <c r="AE78" i="1"/>
  <c r="AD78" i="1"/>
  <c r="AC78" i="1"/>
  <c r="AB78" i="1"/>
  <c r="H208" i="4"/>
  <c r="G208" i="4"/>
  <c r="F208" i="4"/>
  <c r="E208" i="4"/>
  <c r="C208" i="4"/>
  <c r="B208" i="4"/>
  <c r="L78" i="1"/>
  <c r="M78" i="1"/>
  <c r="AH77" i="1"/>
  <c r="AG77" i="1"/>
  <c r="AF77" i="1"/>
  <c r="AE77" i="1"/>
  <c r="AD77" i="1"/>
  <c r="AC77" i="1"/>
  <c r="AB77" i="1"/>
  <c r="AI77" i="1" l="1"/>
  <c r="AJ77" i="1"/>
  <c r="AK77" i="1"/>
  <c r="AL77" i="1"/>
  <c r="AM77" i="1"/>
  <c r="AN77" i="1"/>
  <c r="L77" i="1"/>
  <c r="M77" i="1"/>
  <c r="AI76" i="1"/>
  <c r="AJ76" i="1"/>
  <c r="AK76" i="1"/>
  <c r="AL76" i="1"/>
  <c r="AM76" i="1"/>
  <c r="AN76" i="1"/>
  <c r="AH76" i="1"/>
  <c r="AG76" i="1"/>
  <c r="AF76" i="1"/>
  <c r="AE76" i="1"/>
  <c r="AD76" i="1"/>
  <c r="AC76" i="1"/>
  <c r="AB76" i="1"/>
  <c r="H204" i="4"/>
  <c r="F204" i="4"/>
  <c r="F209" i="4" s="1"/>
  <c r="F210" i="4" s="1"/>
  <c r="G204" i="4"/>
  <c r="E204" i="4"/>
  <c r="E209" i="4" s="1"/>
  <c r="E210" i="4" s="1"/>
  <c r="D204" i="4"/>
  <c r="C204" i="4"/>
  <c r="C209" i="4" s="1"/>
  <c r="C210" i="4" s="1"/>
  <c r="B204" i="4"/>
  <c r="H203" i="4"/>
  <c r="G203" i="4"/>
  <c r="F203" i="4"/>
  <c r="E203" i="4"/>
  <c r="D203" i="4"/>
  <c r="C203" i="4"/>
  <c r="B203" i="4"/>
  <c r="H202" i="4"/>
  <c r="H214" i="4" s="1"/>
  <c r="H215" i="4" s="1"/>
  <c r="G202" i="4"/>
  <c r="G214" i="4" s="1"/>
  <c r="G215" i="4" s="1"/>
  <c r="F202" i="4"/>
  <c r="E202" i="4"/>
  <c r="E214" i="4" s="1"/>
  <c r="E215" i="4" s="1"/>
  <c r="D202" i="4"/>
  <c r="D214" i="4" s="1"/>
  <c r="D215" i="4" s="1"/>
  <c r="C202" i="4"/>
  <c r="C214" i="4" s="1"/>
  <c r="C215" i="4" s="1"/>
  <c r="B202" i="4"/>
  <c r="B214" i="4" s="1"/>
  <c r="B215" i="4" s="1"/>
  <c r="L76" i="1"/>
  <c r="M76" i="1"/>
  <c r="AI75" i="1"/>
  <c r="AJ75" i="1"/>
  <c r="AK75" i="1"/>
  <c r="AL75" i="1"/>
  <c r="AM75" i="1"/>
  <c r="AN75" i="1"/>
  <c r="AH75" i="1"/>
  <c r="AG75" i="1"/>
  <c r="AF75" i="1"/>
  <c r="AE75" i="1"/>
  <c r="AD75" i="1"/>
  <c r="AC75" i="1"/>
  <c r="AB75" i="1"/>
  <c r="F206" i="4" l="1"/>
  <c r="F207" i="4" s="1"/>
  <c r="F214" i="4"/>
  <c r="F215" i="4" s="1"/>
  <c r="B206" i="4"/>
  <c r="B207" i="4" s="1"/>
  <c r="D206" i="4"/>
  <c r="D207" i="4" s="1"/>
  <c r="D209" i="4"/>
  <c r="D210" i="4" s="1"/>
  <c r="G206" i="4"/>
  <c r="G207" i="4" s="1"/>
  <c r="H206" i="4"/>
  <c r="H207" i="4" s="1"/>
  <c r="H209" i="4"/>
  <c r="H210" i="4" s="1"/>
  <c r="C206" i="4"/>
  <c r="C207" i="4" s="1"/>
  <c r="E206" i="4"/>
  <c r="E207" i="4" s="1"/>
  <c r="G209" i="4"/>
  <c r="G210" i="4" s="1"/>
  <c r="B209" i="4"/>
  <c r="B210" i="4" s="1"/>
  <c r="AB74" i="1"/>
  <c r="AC74" i="1"/>
  <c r="AD74" i="1"/>
  <c r="AE74" i="1"/>
  <c r="AF74" i="1"/>
  <c r="AG74" i="1"/>
  <c r="AH74" i="1"/>
  <c r="L75" i="1"/>
  <c r="M75" i="1"/>
  <c r="AI74" i="1"/>
  <c r="L74" i="1"/>
  <c r="M74" i="1"/>
  <c r="AJ74" i="1"/>
  <c r="AL74" i="1"/>
  <c r="AN74" i="1"/>
  <c r="AH73" i="1"/>
  <c r="AG73" i="1"/>
  <c r="AF73" i="1"/>
  <c r="AE73" i="1"/>
  <c r="AD73" i="1"/>
  <c r="AC73" i="1"/>
  <c r="AB73" i="1"/>
  <c r="AI73" i="1" s="1"/>
  <c r="L73" i="1"/>
  <c r="M73" i="1"/>
  <c r="AJ73" i="1"/>
  <c r="AK73" i="1"/>
  <c r="AL73" i="1"/>
  <c r="AM73" i="1"/>
  <c r="AN73" i="1"/>
  <c r="C190" i="4"/>
  <c r="C191" i="4" s="1"/>
  <c r="D190" i="4"/>
  <c r="D191" i="4" s="1"/>
  <c r="E190" i="4"/>
  <c r="E191" i="4" s="1"/>
  <c r="F190" i="4"/>
  <c r="F191" i="4" s="1"/>
  <c r="G190" i="4"/>
  <c r="G191" i="4" s="1"/>
  <c r="H190" i="4"/>
  <c r="H191" i="4" s="1"/>
  <c r="B190" i="4"/>
  <c r="B191" i="4" s="1"/>
  <c r="AI72" i="1"/>
  <c r="AJ72" i="1"/>
  <c r="AK72" i="1"/>
  <c r="AL72" i="1"/>
  <c r="AM72" i="1"/>
  <c r="AN72" i="1"/>
  <c r="AH72" i="1"/>
  <c r="AG72" i="1"/>
  <c r="AF72" i="1"/>
  <c r="AE72" i="1"/>
  <c r="AD72" i="1"/>
  <c r="AC72" i="1"/>
  <c r="AB72" i="1"/>
  <c r="AH71" i="1"/>
  <c r="AG71" i="1"/>
  <c r="AF71" i="1"/>
  <c r="AE71" i="1"/>
  <c r="AD71" i="1"/>
  <c r="AC71" i="1"/>
  <c r="AB71" i="1"/>
  <c r="AI71" i="1" s="1"/>
  <c r="L72" i="1"/>
  <c r="M72" i="1"/>
  <c r="AJ71" i="1"/>
  <c r="AL71" i="1"/>
  <c r="AN71" i="1"/>
  <c r="G189" i="4"/>
  <c r="C186" i="4"/>
  <c r="D186" i="4"/>
  <c r="E186" i="4"/>
  <c r="F186" i="4"/>
  <c r="G186" i="4"/>
  <c r="H186" i="4"/>
  <c r="B186" i="4"/>
  <c r="C184" i="4"/>
  <c r="C198" i="4" s="1"/>
  <c r="C199" i="4" s="1"/>
  <c r="D184" i="4"/>
  <c r="D198" i="4" s="1"/>
  <c r="D199" i="4" s="1"/>
  <c r="E184" i="4"/>
  <c r="E198" i="4" s="1"/>
  <c r="E199" i="4" s="1"/>
  <c r="F184" i="4"/>
  <c r="F198" i="4" s="1"/>
  <c r="F199" i="4" s="1"/>
  <c r="G184" i="4"/>
  <c r="G198" i="4" s="1"/>
  <c r="G199" i="4" s="1"/>
  <c r="H184" i="4"/>
  <c r="H198" i="4" s="1"/>
  <c r="H199" i="4" s="1"/>
  <c r="B184" i="4"/>
  <c r="B198" i="4" s="1"/>
  <c r="B199" i="4" s="1"/>
  <c r="L71" i="1"/>
  <c r="M71" i="1"/>
  <c r="AM74" i="1" l="1"/>
  <c r="AK74" i="1"/>
  <c r="AM71" i="1"/>
  <c r="AK71" i="1"/>
  <c r="AI70" i="1"/>
  <c r="AJ70" i="1"/>
  <c r="AK70" i="1"/>
  <c r="AL70" i="1"/>
  <c r="AM70" i="1"/>
  <c r="AN70" i="1"/>
  <c r="AH70" i="1"/>
  <c r="AG70" i="1"/>
  <c r="AF70" i="1"/>
  <c r="AE70" i="1"/>
  <c r="AD70" i="1"/>
  <c r="AC70" i="1"/>
  <c r="AB70" i="1"/>
  <c r="C179" i="4"/>
  <c r="C180" i="4" s="1"/>
  <c r="D179" i="4"/>
  <c r="D180" i="4" s="1"/>
  <c r="E179" i="4"/>
  <c r="E180" i="4" s="1"/>
  <c r="F179" i="4"/>
  <c r="F180" i="4" s="1"/>
  <c r="G179" i="4"/>
  <c r="G180" i="4" s="1"/>
  <c r="H179" i="4"/>
  <c r="H180" i="4" s="1"/>
  <c r="B179" i="4"/>
  <c r="B180" i="4" s="1"/>
  <c r="H181" i="4"/>
  <c r="F181" i="4"/>
  <c r="D181" i="4"/>
  <c r="C181" i="4"/>
  <c r="B181" i="4"/>
  <c r="L70" i="1"/>
  <c r="M70" i="1"/>
  <c r="AI69" i="1" l="1"/>
  <c r="AJ69" i="1"/>
  <c r="AK69" i="1"/>
  <c r="AL69" i="1"/>
  <c r="AM69" i="1"/>
  <c r="AN69" i="1"/>
  <c r="AH69" i="1"/>
  <c r="AG69" i="1"/>
  <c r="AF69" i="1"/>
  <c r="AE69" i="1"/>
  <c r="AD69" i="1"/>
  <c r="AC69" i="1"/>
  <c r="AB69" i="1"/>
  <c r="L69" i="1"/>
  <c r="M69" i="1"/>
  <c r="AH68" i="1"/>
  <c r="AG68" i="1"/>
  <c r="AF68" i="1"/>
  <c r="AE68" i="1"/>
  <c r="AD68" i="1"/>
  <c r="AJ68" i="1" s="1"/>
  <c r="AC68" i="1"/>
  <c r="AB68" i="1"/>
  <c r="AI68" i="1" s="1"/>
  <c r="C178" i="4"/>
  <c r="D178" i="4"/>
  <c r="AL68" i="1"/>
  <c r="AN68" i="1"/>
  <c r="L68" i="1"/>
  <c r="M68" i="1"/>
  <c r="AH67" i="1"/>
  <c r="AG67" i="1"/>
  <c r="AF67" i="1"/>
  <c r="AE67" i="1"/>
  <c r="AD67" i="1"/>
  <c r="AC67" i="1"/>
  <c r="AB67" i="1"/>
  <c r="AI67" i="1" s="1"/>
  <c r="H175" i="4"/>
  <c r="H176" i="4" s="1"/>
  <c r="C175" i="4"/>
  <c r="C176" i="4" s="1"/>
  <c r="D175" i="4"/>
  <c r="D176" i="4" s="1"/>
  <c r="E175" i="4"/>
  <c r="E176" i="4" s="1"/>
  <c r="F175" i="4"/>
  <c r="F176" i="4" s="1"/>
  <c r="G175" i="4"/>
  <c r="G176" i="4" s="1"/>
  <c r="B175" i="4"/>
  <c r="B176" i="4" s="1"/>
  <c r="AJ67" i="1"/>
  <c r="AK67" i="1"/>
  <c r="AL67" i="1"/>
  <c r="AM67" i="1"/>
  <c r="AN67" i="1"/>
  <c r="L67" i="1"/>
  <c r="M67" i="1"/>
  <c r="AI66" i="1"/>
  <c r="AJ66" i="1"/>
  <c r="AK66" i="1"/>
  <c r="AL66" i="1"/>
  <c r="AM66" i="1"/>
  <c r="AN66" i="1"/>
  <c r="AH66" i="1"/>
  <c r="AG66" i="1"/>
  <c r="AF66" i="1"/>
  <c r="AE66" i="1"/>
  <c r="AD66" i="1"/>
  <c r="AC66" i="1"/>
  <c r="AB66" i="1"/>
  <c r="C170" i="4"/>
  <c r="C281" i="4" s="1"/>
  <c r="D170" i="4"/>
  <c r="D281" i="4" s="1"/>
  <c r="E170" i="4"/>
  <c r="E281" i="4" s="1"/>
  <c r="F170" i="4"/>
  <c r="F281" i="4" s="1"/>
  <c r="G170" i="4"/>
  <c r="G281" i="4" s="1"/>
  <c r="H170" i="4"/>
  <c r="H281" i="4" s="1"/>
  <c r="B170" i="4"/>
  <c r="B281" i="4" s="1"/>
  <c r="C168" i="4"/>
  <c r="D168" i="4"/>
  <c r="E168" i="4"/>
  <c r="F168" i="4"/>
  <c r="G168" i="4"/>
  <c r="H168" i="4"/>
  <c r="B168" i="4"/>
  <c r="C166" i="4"/>
  <c r="D166" i="4"/>
  <c r="E166" i="4"/>
  <c r="F166" i="4"/>
  <c r="G166" i="4"/>
  <c r="H166" i="4"/>
  <c r="B166" i="4"/>
  <c r="L66" i="1"/>
  <c r="M66" i="1"/>
  <c r="AH65" i="1"/>
  <c r="AG65" i="1"/>
  <c r="AF65" i="1"/>
  <c r="AE65" i="1"/>
  <c r="AD65" i="1"/>
  <c r="AC65" i="1"/>
  <c r="AB65" i="1"/>
  <c r="H177" i="4" l="1"/>
  <c r="H196" i="4" s="1"/>
  <c r="F177" i="4"/>
  <c r="F196" i="4" s="1"/>
  <c r="D177" i="4"/>
  <c r="D196" i="4" s="1"/>
  <c r="B177" i="4"/>
  <c r="B196" i="4" s="1"/>
  <c r="G177" i="4"/>
  <c r="G196" i="4" s="1"/>
  <c r="E177" i="4"/>
  <c r="E196" i="4" s="1"/>
  <c r="C177" i="4"/>
  <c r="C196" i="4" s="1"/>
  <c r="AM68" i="1"/>
  <c r="AK68" i="1"/>
  <c r="AI65" i="1"/>
  <c r="AJ65" i="1"/>
  <c r="AK65" i="1"/>
  <c r="AL65" i="1"/>
  <c r="AM65" i="1"/>
  <c r="AN65" i="1"/>
  <c r="L65" i="1"/>
  <c r="M65" i="1"/>
  <c r="AI64" i="1"/>
  <c r="AJ64" i="1"/>
  <c r="AK64" i="1"/>
  <c r="AL64" i="1"/>
  <c r="AM64" i="1"/>
  <c r="AN64" i="1"/>
  <c r="AH64" i="1"/>
  <c r="AG64" i="1"/>
  <c r="AF64" i="1"/>
  <c r="AE64" i="1"/>
  <c r="AD64" i="1"/>
  <c r="AC64" i="1"/>
  <c r="AB64" i="1"/>
  <c r="H158" i="4"/>
  <c r="H159" i="4" s="1"/>
  <c r="C158" i="4"/>
  <c r="C159" i="4" s="1"/>
  <c r="D158" i="4"/>
  <c r="D159" i="4" s="1"/>
  <c r="E158" i="4"/>
  <c r="E159" i="4" s="1"/>
  <c r="F158" i="4"/>
  <c r="F159" i="4" s="1"/>
  <c r="G158" i="4"/>
  <c r="G159" i="4" s="1"/>
  <c r="B158" i="4"/>
  <c r="B159" i="4" s="1"/>
  <c r="L64" i="1"/>
  <c r="M64" i="1"/>
  <c r="AI63" i="1"/>
  <c r="AJ63" i="1"/>
  <c r="AK63" i="1"/>
  <c r="AL63" i="1"/>
  <c r="AM63" i="1"/>
  <c r="AN63" i="1"/>
  <c r="AH63" i="1"/>
  <c r="AG63" i="1"/>
  <c r="AF63" i="1"/>
  <c r="AE63" i="1"/>
  <c r="AD63" i="1"/>
  <c r="AC63" i="1"/>
  <c r="AB63" i="1"/>
  <c r="L63" i="1"/>
  <c r="M63" i="1"/>
  <c r="AI62" i="1"/>
  <c r="AJ62" i="1"/>
  <c r="AK62" i="1"/>
  <c r="AL62" i="1"/>
  <c r="AM62" i="1"/>
  <c r="AN62" i="1"/>
  <c r="AH62" i="1"/>
  <c r="AG62" i="1"/>
  <c r="AF62" i="1"/>
  <c r="AE62" i="1"/>
  <c r="AD62" i="1"/>
  <c r="AC62" i="1"/>
  <c r="AB62" i="1"/>
  <c r="L62" i="1"/>
  <c r="M62" i="1"/>
  <c r="AH61" i="1"/>
  <c r="AG61" i="1"/>
  <c r="AF61" i="1"/>
  <c r="AE61" i="1"/>
  <c r="AD61" i="1"/>
  <c r="AC61" i="1"/>
  <c r="AB61" i="1"/>
  <c r="AI61" i="1" s="1"/>
  <c r="AJ61" i="1"/>
  <c r="AL61" i="1"/>
  <c r="AN61" i="1"/>
  <c r="L61" i="1"/>
  <c r="M61" i="1"/>
  <c r="AH60" i="1"/>
  <c r="AG60" i="1"/>
  <c r="AF60" i="1"/>
  <c r="AE60" i="1"/>
  <c r="AD60" i="1"/>
  <c r="AC60" i="1"/>
  <c r="AB60" i="1"/>
  <c r="AI60" i="1"/>
  <c r="AJ60" i="1"/>
  <c r="AK60" i="1"/>
  <c r="AL60" i="1"/>
  <c r="AM60" i="1"/>
  <c r="AN60" i="1"/>
  <c r="L60" i="1"/>
  <c r="M60" i="1"/>
  <c r="AI59" i="1"/>
  <c r="AJ59" i="1"/>
  <c r="AK59" i="1"/>
  <c r="AL59" i="1"/>
  <c r="AM59" i="1"/>
  <c r="AN59" i="1"/>
  <c r="AG59" i="1"/>
  <c r="AH59" i="1"/>
  <c r="AF59" i="1"/>
  <c r="AE59" i="1"/>
  <c r="AD59" i="1"/>
  <c r="AC59" i="1"/>
  <c r="AB59" i="1"/>
  <c r="L59" i="1"/>
  <c r="M59" i="1"/>
  <c r="AH58" i="1"/>
  <c r="AG58" i="1"/>
  <c r="AF58" i="1"/>
  <c r="AE58" i="1"/>
  <c r="AD58" i="1"/>
  <c r="AC58" i="1"/>
  <c r="AB58" i="1"/>
  <c r="AI58" i="1" s="1"/>
  <c r="AJ58" i="1"/>
  <c r="AL58" i="1"/>
  <c r="AN58" i="1"/>
  <c r="L58" i="1"/>
  <c r="M58" i="1"/>
  <c r="AH57" i="1"/>
  <c r="AG57" i="1"/>
  <c r="AF57" i="1"/>
  <c r="AE57" i="1"/>
  <c r="AD57" i="1"/>
  <c r="AC57" i="1"/>
  <c r="AB57" i="1"/>
  <c r="AJ57" i="1" s="1"/>
  <c r="C149" i="4"/>
  <c r="C151" i="4" s="1"/>
  <c r="D149" i="4"/>
  <c r="D151" i="4" s="1"/>
  <c r="E149" i="4"/>
  <c r="E151" i="4" s="1"/>
  <c r="F149" i="4"/>
  <c r="F151" i="4" s="1"/>
  <c r="G149" i="4"/>
  <c r="G151" i="4" s="1"/>
  <c r="H149" i="4"/>
  <c r="H151" i="4" s="1"/>
  <c r="B149" i="4"/>
  <c r="B151" i="4" s="1"/>
  <c r="AI57" i="1"/>
  <c r="AK57" i="1"/>
  <c r="AM57" i="1"/>
  <c r="AM61" i="1" l="1"/>
  <c r="AK61" i="1"/>
  <c r="AM58" i="1"/>
  <c r="AK58" i="1"/>
  <c r="AN57" i="1"/>
  <c r="AL57" i="1"/>
  <c r="L57" i="1"/>
  <c r="M57" i="1"/>
  <c r="AH56" i="1"/>
  <c r="AG56" i="1"/>
  <c r="AF56" i="1"/>
  <c r="AE56" i="1"/>
  <c r="AD56" i="1"/>
  <c r="AC56" i="1"/>
  <c r="AB56" i="1"/>
  <c r="AI56" i="1" s="1"/>
  <c r="AJ56" i="1"/>
  <c r="AL56" i="1"/>
  <c r="AN56" i="1"/>
  <c r="L56" i="1"/>
  <c r="M56" i="1"/>
  <c r="AI55" i="1"/>
  <c r="AJ55" i="1"/>
  <c r="AK55" i="1"/>
  <c r="AL55" i="1"/>
  <c r="AM55" i="1"/>
  <c r="AN55" i="1"/>
  <c r="AH55" i="1"/>
  <c r="AG55" i="1"/>
  <c r="AF55" i="1"/>
  <c r="AE55" i="1"/>
  <c r="AD55" i="1"/>
  <c r="AC55" i="1"/>
  <c r="AB55" i="1"/>
  <c r="AM56" i="1" l="1"/>
  <c r="AK56" i="1"/>
  <c r="L55" i="1"/>
  <c r="M55" i="1"/>
  <c r="BG43" i="1"/>
  <c r="BG54" i="1"/>
  <c r="AH54" i="1"/>
  <c r="AG54" i="1"/>
  <c r="AF54" i="1"/>
  <c r="AE54" i="1"/>
  <c r="AD54" i="1"/>
  <c r="AC54" i="1"/>
  <c r="AB54" i="1"/>
  <c r="C144" i="4"/>
  <c r="D144" i="4"/>
  <c r="E144" i="4"/>
  <c r="F144" i="4"/>
  <c r="G144" i="4"/>
  <c r="H144" i="4"/>
  <c r="B144" i="4"/>
  <c r="AI54" i="1"/>
  <c r="AJ54" i="1"/>
  <c r="AL54" i="1"/>
  <c r="AN54" i="1"/>
  <c r="AH53" i="1"/>
  <c r="AG53" i="1"/>
  <c r="AF53" i="1"/>
  <c r="AE53" i="1"/>
  <c r="AD53" i="1"/>
  <c r="AC53" i="1"/>
  <c r="AB53" i="1"/>
  <c r="AI53" i="1" s="1"/>
  <c r="L54" i="1"/>
  <c r="M54" i="1"/>
  <c r="AJ53" i="1"/>
  <c r="AL53" i="1"/>
  <c r="AN53" i="1"/>
  <c r="L53" i="1"/>
  <c r="M53" i="1"/>
  <c r="AH52" i="1"/>
  <c r="AG52" i="1"/>
  <c r="AF52" i="1"/>
  <c r="AE52" i="1"/>
  <c r="AD52" i="1"/>
  <c r="AC52" i="1"/>
  <c r="AB52" i="1"/>
  <c r="AI52" i="1"/>
  <c r="AJ52" i="1"/>
  <c r="AK52" i="1"/>
  <c r="AL52" i="1"/>
  <c r="AM52" i="1"/>
  <c r="AN52" i="1"/>
  <c r="L52" i="1"/>
  <c r="M52" i="1"/>
  <c r="AI51" i="1"/>
  <c r="AJ51" i="1"/>
  <c r="AK51" i="1"/>
  <c r="AL51" i="1"/>
  <c r="AM51" i="1"/>
  <c r="AN51" i="1"/>
  <c r="AH51" i="1"/>
  <c r="AG51" i="1"/>
  <c r="AF51" i="1"/>
  <c r="AE51" i="1"/>
  <c r="AD51" i="1"/>
  <c r="AC51" i="1"/>
  <c r="AB51" i="1"/>
  <c r="L51" i="1"/>
  <c r="M51" i="1"/>
  <c r="AH50" i="1"/>
  <c r="AG50" i="1"/>
  <c r="AF50" i="1"/>
  <c r="AE50" i="1"/>
  <c r="AD50" i="1"/>
  <c r="AC50" i="1"/>
  <c r="AB50" i="1"/>
  <c r="AJ50" i="1"/>
  <c r="AE49" i="1"/>
  <c r="AI50" i="1"/>
  <c r="AK50" i="1"/>
  <c r="AM50" i="1"/>
  <c r="L50" i="1"/>
  <c r="M50" i="1"/>
  <c r="AH49" i="1"/>
  <c r="AF49" i="1"/>
  <c r="AG49" i="1"/>
  <c r="AD49" i="1"/>
  <c r="AC49" i="1"/>
  <c r="AB49" i="1"/>
  <c r="AN49" i="1"/>
  <c r="AI49" i="1"/>
  <c r="AK49" i="1"/>
  <c r="AM49" i="1"/>
  <c r="H130" i="4"/>
  <c r="G130" i="4"/>
  <c r="F130" i="4"/>
  <c r="E130" i="4"/>
  <c r="D130" i="4"/>
  <c r="C130" i="4"/>
  <c r="B130" i="4"/>
  <c r="C127" i="4"/>
  <c r="C128" i="4" s="1"/>
  <c r="C129" i="4" s="1"/>
  <c r="D127" i="4"/>
  <c r="D128" i="4" s="1"/>
  <c r="D129" i="4" s="1"/>
  <c r="E127" i="4"/>
  <c r="E128" i="4" s="1"/>
  <c r="E129" i="4" s="1"/>
  <c r="F127" i="4"/>
  <c r="F128" i="4" s="1"/>
  <c r="F129" i="4" s="1"/>
  <c r="G127" i="4"/>
  <c r="G128" i="4" s="1"/>
  <c r="G129" i="4" s="1"/>
  <c r="H127" i="4"/>
  <c r="H128" i="4" s="1"/>
  <c r="H129" i="4" s="1"/>
  <c r="B127" i="4"/>
  <c r="B128" i="4" s="1"/>
  <c r="B129" i="4" s="1"/>
  <c r="L49" i="1"/>
  <c r="M49" i="1"/>
  <c r="AH48" i="1"/>
  <c r="AG48" i="1"/>
  <c r="AF48" i="1"/>
  <c r="AE48" i="1"/>
  <c r="AD48" i="1"/>
  <c r="AC48" i="1"/>
  <c r="AB48" i="1"/>
  <c r="AM54" i="1" l="1"/>
  <c r="AK54" i="1"/>
  <c r="AM53" i="1"/>
  <c r="AK53" i="1"/>
  <c r="AN50" i="1"/>
  <c r="AL50" i="1"/>
  <c r="AL49" i="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H121" i="4"/>
  <c r="H133" i="4" s="1"/>
  <c r="G121" i="4"/>
  <c r="G133" i="4" s="1"/>
  <c r="F121" i="4"/>
  <c r="F133" i="4" s="1"/>
  <c r="E121" i="4"/>
  <c r="E133" i="4" s="1"/>
  <c r="D121" i="4"/>
  <c r="D133" i="4" s="1"/>
  <c r="C121" i="4"/>
  <c r="C133" i="4" s="1"/>
  <c r="B121" i="4"/>
  <c r="B133" i="4" s="1"/>
  <c r="AH45" i="1"/>
  <c r="AG45" i="1"/>
  <c r="AF45" i="1"/>
  <c r="AE45" i="1"/>
  <c r="AD45" i="1"/>
  <c r="AC45" i="1"/>
  <c r="AB45" i="1"/>
  <c r="M46" i="1" s="1"/>
  <c r="AI46" i="1"/>
  <c r="AM46" i="1"/>
  <c r="L46" i="1"/>
  <c r="B122" i="4" l="1"/>
  <c r="B123" i="4" s="1"/>
  <c r="C135" i="4"/>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6" i="4"/>
  <c r="C118" i="4" s="1"/>
  <c r="D116" i="4"/>
  <c r="D118" i="4" s="1"/>
  <c r="E116" i="4"/>
  <c r="E118" i="4" s="1"/>
  <c r="F116" i="4"/>
  <c r="F118" i="4" s="1"/>
  <c r="G116" i="4"/>
  <c r="G118" i="4" s="1"/>
  <c r="H116" i="4"/>
  <c r="H118" i="4" s="1"/>
  <c r="B116" i="4"/>
  <c r="B118"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C114" i="4" s="1"/>
  <c r="D113" i="4"/>
  <c r="D114" i="4" s="1"/>
  <c r="E113" i="4"/>
  <c r="E114" i="4" s="1"/>
  <c r="F113" i="4"/>
  <c r="F114" i="4" s="1"/>
  <c r="G113" i="4"/>
  <c r="G114" i="4" s="1"/>
  <c r="H113" i="4"/>
  <c r="H114" i="4" s="1"/>
  <c r="B113" i="4"/>
  <c r="B114" i="4" s="1"/>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9" i="4"/>
  <c r="C110" i="4" s="1"/>
  <c r="D109" i="4"/>
  <c r="D110" i="4" s="1"/>
  <c r="E109" i="4"/>
  <c r="E110" i="4" s="1"/>
  <c r="F109" i="4"/>
  <c r="F110" i="4" s="1"/>
  <c r="G109" i="4"/>
  <c r="G110" i="4" s="1"/>
  <c r="H109" i="4"/>
  <c r="H110" i="4" s="1"/>
  <c r="B109" i="4"/>
  <c r="B110" i="4" s="1"/>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5" i="4"/>
  <c r="G105" i="4"/>
  <c r="F105" i="4"/>
  <c r="E105" i="4"/>
  <c r="D105" i="4"/>
  <c r="C105" i="4"/>
  <c r="B105" i="4"/>
  <c r="H106" i="4"/>
  <c r="G106" i="4"/>
  <c r="F106" i="4"/>
  <c r="E106" i="4"/>
  <c r="D106" i="4"/>
  <c r="C106" i="4"/>
  <c r="B106" i="4"/>
  <c r="AI35" i="1"/>
  <c r="AK35" i="1"/>
  <c r="AM35" i="1"/>
  <c r="L35" i="1"/>
  <c r="M35" i="1"/>
  <c r="AH34" i="1"/>
  <c r="AG34" i="1"/>
  <c r="AF34" i="1"/>
  <c r="AE34" i="1"/>
  <c r="AD34" i="1"/>
  <c r="AC34" i="1"/>
  <c r="AB34" i="1"/>
  <c r="AI34" i="1" s="1"/>
  <c r="H104" i="4"/>
  <c r="G104" i="4"/>
  <c r="F104" i="4"/>
  <c r="E104" i="4"/>
  <c r="C104" i="4"/>
  <c r="B104" i="4"/>
  <c r="F102" i="4"/>
  <c r="B102" i="4"/>
  <c r="F101" i="4"/>
  <c r="F272" i="4" s="1"/>
  <c r="F273" i="4" s="1"/>
  <c r="B101" i="4"/>
  <c r="B272" i="4" s="1"/>
  <c r="B273" i="4" s="1"/>
  <c r="AJ34" i="1"/>
  <c r="AN34" i="1"/>
  <c r="AH33" i="1"/>
  <c r="AG33" i="1"/>
  <c r="AF33" i="1"/>
  <c r="AE33" i="1"/>
  <c r="AD33" i="1"/>
  <c r="AC33" i="1"/>
  <c r="AB33" i="1"/>
  <c r="L34" i="1"/>
  <c r="M34" i="1"/>
  <c r="C100" i="4"/>
  <c r="D100" i="4"/>
  <c r="E100" i="4"/>
  <c r="F100" i="4"/>
  <c r="G100" i="4"/>
  <c r="H100" i="4"/>
  <c r="B100" i="4"/>
  <c r="B107" i="4" l="1"/>
  <c r="D107" i="4"/>
  <c r="F107" i="4"/>
  <c r="H107" i="4"/>
  <c r="C107" i="4"/>
  <c r="E107" i="4"/>
  <c r="G107"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90" i="4"/>
  <c r="D90" i="4"/>
  <c r="E90" i="4"/>
  <c r="F90" i="4"/>
  <c r="G90" i="4"/>
  <c r="H90" i="4"/>
  <c r="B90"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2" i="4"/>
  <c r="D82" i="4"/>
  <c r="E82" i="4"/>
  <c r="F82" i="4"/>
  <c r="G82" i="4"/>
  <c r="H82" i="4"/>
  <c r="B82" i="4"/>
  <c r="C81" i="4"/>
  <c r="D81" i="4"/>
  <c r="E81" i="4"/>
  <c r="F81" i="4"/>
  <c r="G81" i="4"/>
  <c r="H81" i="4"/>
  <c r="B81"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4" i="4"/>
  <c r="F74" i="4"/>
  <c r="B74"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<sst xmlns="http://schemas.openxmlformats.org/spreadsheetml/2006/main" count="4566" uniqueCount="838">
  <si>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</si>
  <si>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</si>
  <si>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</si>
  <si>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</si>
  <si>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</si>
  <si>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</si>
  <si>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</si>
  <si>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</si>
  <si>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</si>
  <si>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</si>
  <si>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</si>
  <si>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</si>
  <si>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</si>
  <si>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</si>
  <si>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</si>
  <si>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</si>
  <si>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</si>
  <si>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</si>
  <si>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</si>
  <si>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</si>
  <si>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</si>
  <si>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</si>
  <si>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</si>
  <si>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</si>
  <si>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</si>
  <si>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</si>
  <si>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</si>
  <si>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</si>
  <si>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</si>
  <si>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</si>
  <si>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</si>
  <si>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</si>
  <si>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</si>
  <si>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</si>
  <si>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</si>
  <si>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</si>
  <si>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</si>
  <si>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</si>
  <si>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</si>
  <si>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</si>
  <si>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</si>
  <si>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</si>
  <si>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</si>
  <si>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</si>
  <si>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</si>
  <si>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</si>
  <si>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</si>
  <si>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</si>
  <si>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</si>
  <si>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</si>
  <si>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</si>
  <si>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</si>
  <si>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</si>
  <si>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</si>
  <si>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</si>
  <si>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</si>
  <si>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</si>
  <si>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</si>
  <si>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</si>
  <si>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</si>
  <si>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</si>
  <si>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</si>
  <si>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</si>
  <si>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</si>
  <si>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</si>
  <si>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</si>
  <si>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</si>
  <si>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</si>
  <si>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</si>
  <si>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</si>
  <si>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</si>
  <si>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</si>
  <si>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</si>
  <si>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</si>
  <si>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</si>
  <si>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</si>
  <si>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</si>
  <si>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</si>
  <si>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</si>
  <si>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</si>
  <si>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</si>
  <si>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</si>
  <si>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</si>
  <si>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</si>
  <si>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</si>
  <si>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</si>
  <si>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</si>
  <si>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</si>
  <si>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</si>
  <si>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</si>
  <si>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</si>
  <si>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</si>
  <si>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</si>
  <si>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</si>
  <si>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</si>
  <si>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</si>
  <si>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</si>
  <si>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</si>
  <si>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</si>
  <si>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</si>
  <si>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</si>
  <si>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</si>
  <si>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</si>
  <si>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</si>
  <si>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</si>
  <si>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</si>
  <si>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</si>
  <si>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</si>
  <si>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</si>
  <si>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</si>
  <si>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</si>
  <si>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</si>
  <si>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</si>
  <si>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</si>
  <si>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</si>
  <si>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</si>
  <si>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</si>
  <si>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</si>
  <si>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</si>
  <si>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</si>
  <si>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</si>
  <si>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</si>
  <si>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</si>
  <si>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</si>
  <si>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</si>
  <si>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</si>
  <si>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</si>
  <si>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</si>
  <si>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</si>
  <si>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</si>
  <si>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</si>
  <si>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</si>
  <si>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</si>
  <si>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</si>
  <si>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</si>
  <si>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</si>
  <si>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</si>
  <si>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</si>
  <si>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</si>
  <si>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</si>
  <si>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</si>
  <si>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</si>
  <si>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</si>
  <si>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</si>
  <si>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</si>
  <si>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</si>
  <si>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</si>
  <si>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</si>
  <si>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</si>
  <si>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</si>
  <si>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</si>
  <si>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</si>
  <si>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</si>
  <si>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</si>
  <si>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</si>
  <si>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</si>
  <si>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</si>
  <si>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</si>
  <si>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</si>
  <si>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</si>
  <si>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</si>
  <si>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</si>
  <si>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</si>
  <si>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</si>
  <si>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</si>
  <si>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</si>
  <si>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</si>
  <si>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</si>
  <si>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</si>
  <si>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</si>
  <si>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</si>
  <si>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</si>
  <si>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</si>
  <si>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</si>
  <si>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</si>
  <si>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</si>
  <si>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</si>
  <si>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</si>
  <si>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</si>
  <si>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</si>
  <si>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</si>
  <si>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</si>
  <si>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</si>
  <si>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</si>
  <si>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</si>
  <si>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</si>
  <si>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</si>
  <si>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</si>
  <si>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</si>
  <si>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</si>
  <si>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</si>
  <si>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</si>
  <si>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</si>
  <si>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</si>
  <si>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</si>
  <si>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</si>
  <si>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</si>
  <si>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</si>
  <si>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</si>
  <si>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</si>
  <si>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</si>
  <si>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</si>
  <si>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</si>
  <si>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</si>
  <si>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</si>
  <si>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</si>
  <si>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</si>
  <si>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</si>
  <si>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</si>
  <si>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</si>
  <si>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</si>
  <si>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</si>
  <si>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</si>
  <si>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</si>
  <si>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</si>
  <si>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</si>
  <si>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</si>
  <si>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</si>
  <si>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</si>
  <si>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</si>
  <si>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</si>
  <si>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</si>
  <si>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</si>
  <si>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</si>
  <si>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</si>
  <si>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</si>
  <si>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</si>
  <si>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</si>
  <si>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</si>
  <si>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</si>
  <si>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</si>
  <si>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</si>
  <si>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</si>
  <si>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</si>
  <si>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</si>
  <si>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</si>
  <si>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</si>
  <si>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</si>
  <si>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</si>
  <si>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</si>
  <si>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</si>
  <si>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</si>
  <si>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</si>
  <si>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</si>
  <si>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</si>
  <si>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</si>
  <si>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</si>
  <si>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</si>
  <si>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</si>
  <si>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</si>
  <si>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</si>
  <si>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</si>
  <si>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</si>
  <si>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</si>
  <si>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</si>
  <si>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</si>
  <si>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</si>
  <si>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</si>
  <si>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</si>
  <si>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</si>
  <si>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</si>
  <si>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</si>
  <si>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</si>
  <si>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</si>
  <si>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</si>
  <si>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</si>
  <si>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</si>
  <si>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</si>
  <si>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</si>
  <si>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</si>
  <si>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</si>
  <si>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</si>
  <si>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</si>
  <si>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</si>
  <si>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</si>
  <si>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</si>
  <si>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</si>
  <si>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</si>
  <si>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</si>
  <si>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</si>
  <si>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</si>
  <si>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</si>
  <si>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</si>
  <si>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</si>
  <si>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</si>
  <si>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</si>
  <si>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</si>
  <si>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</si>
  <si>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</si>
  <si>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</si>
  <si>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</si>
  <si>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</si>
  <si>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</si>
  <si>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</si>
  <si>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</si>
  <si>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</si>
  <si>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</si>
  <si>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</si>
  <si>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</si>
  <si>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</si>
  <si>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</si>
  <si>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</si>
  <si>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</si>
  <si>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</si>
  <si>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</si>
  <si>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</si>
  <si>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</si>
  <si>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</si>
  <si>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</si>
  <si>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</si>
  <si>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</si>
  <si>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</si>
  <si>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</si>
  <si>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</si>
  <si>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</si>
  <si>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</si>
  <si>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</si>
  <si>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</si>
  <si>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</si>
  <si>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</si>
  <si>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</si>
  <si>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</si>
  <si>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</si>
  <si>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</si>
  <si>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</si>
  <si>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</si>
  <si>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</si>
  <si>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</si>
  <si>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</si>
  <si>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</si>
  <si>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</si>
  <si>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</si>
  <si>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</si>
  <si>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</si>
  <si>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</si>
  <si>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</si>
  <si>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</si>
  <si>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</si>
  <si>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</si>
  <si>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</si>
  <si>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</si>
  <si>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</si>
  <si>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</si>
  <si>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</si>
  <si>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</si>
  <si>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</si>
  <si>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</si>
  <si>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</si>
  <si>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</si>
  <si>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</si>
  <si>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</si>
  <si>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</si>
  <si>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</si>
  <si>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</si>
  <si>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</si>
  <si>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</si>
  <si>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</si>
  <si>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</si>
  <si>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</si>
  <si>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</si>
  <si>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</si>
  <si>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</si>
  <si>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</si>
  <si>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</si>
  <si>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</si>
  <si>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</si>
  <si>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</si>
  <si>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</si>
  <si>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</si>
  <si>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</si>
  <si>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</si>
  <si>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</si>
  <si>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</si>
  <si>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</si>
  <si>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</si>
  <si>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</si>
  <si>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</si>
  <si>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</si>
  <si>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</si>
  <si>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</si>
  <si>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</si>
  <si>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</si>
  <si>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</si>
  <si>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</si>
  <si>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</si>
  <si>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</si>
  <si>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</si>
  <si>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</si>
  <si>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</si>
  <si>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</si>
  <si>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</si>
  <si>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</si>
  <si>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</si>
  <si>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</si>
  <si>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</si>
  <si>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</si>
  <si>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</si>
  <si>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</si>
  <si>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</si>
  <si>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</si>
  <si>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</si>
  <si>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</si>
  <si>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</si>
  <si>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</si>
  <si>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</si>
  <si>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</si>
  <si>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</si>
  <si>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</si>
  <si>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</si>
  <si>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</si>
  <si>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</si>
  <si>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</si>
  <si>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</si>
  <si>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</si>
  <si>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</si>
  <si>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</si>
  <si>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</si>
  <si>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</si>
  <si>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</si>
  <si>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</si>
  <si>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</si>
  <si>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</si>
  <si>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</si>
  <si>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</si>
  <si>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</si>
  <si>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</si>
  <si>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</si>
  <si>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</si>
  <si>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</si>
  <si>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</si>
  <si>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</si>
  <si>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</si>
  <si>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</si>
  <si>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</si>
  <si>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</si>
  <si>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</si>
  <si>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</si>
  <si>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</si>
  <si>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</si>
  <si>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</si>
  <si>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</si>
  <si>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</si>
  <si>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</si>
  <si>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</si>
  <si>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</si>
  <si>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</si>
  <si>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</si>
  <si>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</si>
  <si>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</si>
  <si>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</si>
  <si>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</si>
  <si>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</si>
  <si>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</si>
  <si>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</si>
  <si>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</si>
  <si>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</si>
  <si>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</si>
  <si>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</si>
  <si>
    <t>85 degrees celsius bakery bottled 16 oz milk chocolate iced coffee, 2 servings per bottle, bottle:</t>
  </si>
  <si>
    <t>85 degrees celsius bakery blueberry muffin lg size.http://www.85cbakerycafe.com/wp-content/uploads/Nutrition-Facts.pdf, pg 13</t>
  </si>
  <si>
    <t>85 degrees celsius bakery 1/2 banana choco cream squares, no nutritional info on it, using http://www.85cbakerycafe.com/wp-content/uploads/Nutrition-Facts.pdf to search for it. Substituting a similar item: black forest sliced cake p16</t>
  </si>
  <si>
    <t>pot pasta 3/24/2021 recipe 2 tbs olive oil/1 pkg beyond meat/1 pkg barilla red fennel rotini/1 jar prego 3 cheese pasta sauce/2 peppers red &amp; green</t>
  </si>
  <si>
    <t>bowl rotini 3/24/2021 recipe</t>
  </si>
  <si>
    <t xml:space="preserve">bowl pasta 3-24-21 recipe 2 bell peppers/1 jar prego 3cheese sauce/red fennel rotini/1 pkg beyond meat/2 tbs olive oil
(768.00	26.19	6.69	48.88	91.63	16.88	951.25)
2tbs sourcream
(60	5	3.5	1	2	0	15)
1/2 cup mozzarella cheese Winco brand
(160	10	7	12	2	0	38)
85 degrees celsius item:
blueberry muffin
(480	26	5	6	59	0	590)
1/2 a chocolate mouse cake like a chocolate muffin but with whipped cream
(165	7	5.5	2.5	22	0	30)
full bottle of their cold coffee the color of lots of cream and sugar in it, made about 4 mugs worth to drink, 2 at work and 2 at home. 2 servings per container, 16 fluid oz
(740	30	30	0	120	0	50)
bowl pasta
(768.00	26.19	6.69	48.88	91.63	16.88	951.25)
1/2 cup mozz
(160	10	7	12	2	0	38)
2 tbs sourcream
(60	5	3.5	1	2	0	15)
After finishing homework ch5 from 8pm-1210am
1 mug about 8/5 serving using winking owl nutrition for their cabernet substituting for the Predator lady bug cabernet  approximate nutrition
(195.2	0	0	0	6.4	0	0)
=768+60+160+480+165+740+768+160+60+195.2
=26.19+5+10+26+7+30+26.2+10+5+0
=6.7+3.5+7+5+5.5+30+6.7+7+3.5+0
=48.9+1+12+6+2.5+0+48.9+12+1+0
=91.6+2+2+59+22+120+91.6+2+2+6.4
=16.9+0+0+0+0+0+16.9+0+0+0
=951.25+15+38+590+30+50+951.25+38+15+0
</t>
  </si>
  <si>
    <t xml:space="preserve">Woke up at 530 am, cleaned up pet mess only one, took them out late last night, went to bed around 1145 pm. Made coffee, fed babies and then fed again with pasta I made last night and sourcream to give Mr. Growly his heart medicine. I isolated him to make sure he was the only one eating his food. Sometimes he doesn't eat. Then reviewed assignments to complete in Genetics, and then started the Chemistry HW, did 5 problems before stopping to get ready for work. I also folded my clothes from laundry I did late last night. Part of the reason I stayed up late to put the clothes in the dryer. It takes an hour and almost 45 minutes to wash on the only setting that works and spin dry so the lousy dryer can dry the clothes in close to one cycle. Then ate breakfast a bowl of pasta with cheese and sourcream 1 tbs. Still spotty on my rag from this morning. Had a reg lg BM after 1st cup of coffee, but didn't make 2nd cup of coffee until breakfast. Took measurements after 1st cup of coffee and right before breakfast and before 2nd cup of coffee. At work, I didn't have time to make lunch because I spent it picking up the microdermabrasion and red light therapy wand that plugs into wall and not cordless then got to work on time. The microdermabrasion machine looks neat but I have no idea how to work it. I was getting that and a rolling steamer to contract out or lease out to other side ventures like a partner esthetician to get more spa bookings for clients who want facials and massage or rent out the truck as is with equipment to an esthetician or massage therapist like Sola salons does by week for an unset or undecided amount like $200/week, or only by service using commission. This is how these business models work. Cost less than $300 for both in total, and the red light wand is for clients as alternative therapeutic for pain relief with CBD to penetrate fat cells and be more readily available when needed for managing arthritic pain when applied topically. At work, diet not on point. Went to 85 degrees celsius bakery the next freeway stop over and close to freeway work and shop, got a bottled milk chocolate tasting heavy cream and sugar coffee from refrigerator, a blueberry muffin and a choco banana cream cake. Ate and drank all by end of day except half the cake. Drank 1/2 serving of 16 oz coffee at work and another 1/2 at home after private client in South Corona between 5pm and 630 pm. Got back by 730 pm, ate another large bowl of pasta with 1/2 cup of mozzarella cheese and 2 tbs sour cream, shared with the babies. Growly's cough is back btw. Poor little guy. I didn't know if the roommate gave him his water pill at 7 pm but we agreed he would. Not good to give him twice the meds from failure to communicate because he could die or get more sick or similar. Took me a while to finish the remaining homework problems, but did well. I did all but one problem by the due date time of 11:59 pm, but think the clock is wrong on the system of masteringLab compared to mine by a few minutes. Mine said I had another minute or two. It was 'late' in entirety because not all the problems completed by due date time. But had a 92.? % on those completed and a 96.?% by the time I completed the last problem from 8pm-12:10 am. Bunch of useful information on gas-evolution, precipitation, double replacement, acid-base, and redox reactions. Definitely need to study and make flash cards for those bits of information for exam 2 on campus. the first week of April. Mine is on a Tuesday. Got tons more to do for chemistry the lab from last week, that I am more confident now that I did ch 5 hw, and the lab this week. Had a glass of wine that was left after the exam while tallying my nutrition from the web and photos of the items from the bakery with nutrition facts on it, only the coffee with an expiration date of yesterday. Client is nice. She didn't have her grandma watch her 2 year old. He is adorable, but got a 90 minute massage with him in the room. She was upset about something I think, but still rescheduled. I only say that because she usually tips $12-$13 and tipped me $6 on credit card. She always pays with credit card. Not sure if it was because of the environment with not being able to relax with her 2 year old covering her with blankets or handing her phone to her. She is a nice lady though. She told me about the whole salon suites in Dos Lagos that is temporarily closed that made me search out alternatives that ended up being out of my price range of consideration to invest into at this moment in my life. Still need to do her SOAP notes and will before going to bed. Don't work tomorrow and have classes in the afternoon, can sleep in. I also had to get rid of the giant boulders the roommate put into the recyclable and waste bin and put actual amazon cardboard boxes in the recyclable and law and garden in the lawn bin. He is so mentally challenged. He got upset when I told him he is the definition of white male privilege and called it racist and to watch my mouth. The trash hasn't picked up his shit and he refuses to empty it. He is retarded, super retarded and yet seems so normal. He does shit, expects others not to tell him anything about it and have me clean up his shit. He is annoying AF as fuck.So annoying. He is that character in a book that absolutely has one role and doesn't evolve or change by the end of the story or book because he has no depth and is only meant to be an antagonist to anybody. Finishing up this glass of wine, then expecting bed to be around 2 am after finishing up the SOAP notes. </t>
  </si>
  <si>
    <t>pot of 3-25-21 gluten free spaghetti/prego 3cheese/2 bell peppers red orange/1 pkg beyond meat/2 tbs olive oil</t>
  </si>
  <si>
    <t>Organic Pure cane sugar 1 serving is 1tsp</t>
  </si>
  <si>
    <t>Organic Pure cane sugar 1 serving is 1tsp, 1 tbs is 3 tsp here as:</t>
  </si>
  <si>
    <t xml:space="preserve">Woke up 610 am got out of bed to feed the babies and put Growly's heart meds in his food at the same time everyday. Alarm went off at 6:30 am, went back to bed by about 645 am and got out of bed at 830 am. I went to bed at 330 am after spending 2 hours designing some window decals to promote my side biz and also try out new marketing ideas to grab attention. So I probably got about 5 hours but more like 4 1/2 hours of sleep. Got up and made coffee and folded laundry from yesterday's linens. Fed the cat outside because I saw her outside. She has a limp, poor baby, but has had it for a few days now. Noticed it Tuesday. Still a little spotty, not light but spotty. Didn't have a lg BM until 11 am approx. while drinking 3rd cup of coffee and after having a large bowl of the last of the pasta made a few days ago on 3-23-21. Started first half of week 6 ppt in genetics Bio-18. Tired now by 1130 am, and have all day of class starting at 3 pm. Might take a nap later. Measurements around 1 pm. Ate 2 quesadillas with cinnamon and paprika at around 1215 pm and shared last half of choco banana cake with babies. Finished the 2nd part of genetics recorded lecture. Made another pot of pasta with gluten free spaghetti, prego 3 cheese, 2 bell peppers orange and red, and 1 pkg beyond meat at break time between lecture and lab. The plumber David came by earlier before 1 pm to install a water heater, but Dave didn't tell us anything about it. He left the old one outside or the same one. But I heard him drilling and making banging noise under the house. I had made some cold pressed coffee earlier in the morning before starting the lectures in genetics that I drank a cup after taking a 10 minute nap around 1 pm. I put some organic sugar I had about a year now in the cabinet and some sour cream in it. I know, but no dairy. It didn't dissolve, so not an aqueous solution. But tasted good. I finally took out the kitchen stuff and mat from the IKEA trip last week early in the day into use. Only washed the coffee mug. I don't trust putting hot water into it, because it could be pyrite and not sure, but could break or crack. Like a pyrite bowl I put in the microwave last time I bought kitchen stuff there. I also took out all the note cards, pencils, pens, erasers, sketch pad, etc from Staples that was still in the bag a week, and the two decorative boxes from Michael's craft store bought at same time.  I was able to copy my notes on the videos of chemical reactions from my notebook into my personal lab manual before lecture and put together the facial machine, but screw up the wheel. Put it in my car and fixed the wheel with my personal tools and secured it to the inside. Its a light weight version of the pro quality facial steamers at work. I think I got my hydrocollator that I spent $200 on and it looks really tiny, smaller than a shoe box. This should be interesting. But it got great reviews, so could work fine for single or couples to plug it in and use the heating pads on their backs. I will have to upload a photo. I just opened it and forgot that I was also expecting a wifi booster for the roommate's room since he bitches and complains and gets on my case about getting it fixed. They sent me the wifi. Thats great, because that would have been a super tiny hydrocollator if it was. I have ordered two other items like my kabrow balm for eyebrows from benefit that was tinier and the aquagel for the RF machine that I thought would be the size of a regular 16 oz bottle of rubbing alcohol, but was more like a hand sanitizer portable size. It was misleading because it said 64 g, and that was confused with 64 oz. Not the same thing. I only saved $3-4 for ordering the tiny versions. Those items came in about 2 weeks ago. Bed time around 930 pm shortly after class ended. Mom called 10 minutes before class got out. </t>
  </si>
  <si>
    <t xml:space="preserve">1 1/2 bowls pasta
(1152.00	39.28	10.03	73.31	137.44	25.31	1426.88)
4 tbs sourcream
(120	10	7	2	4	0	30)
4 corn tortillas Guerrero
(200	2	0	4	42	4	40)
1/3 cup mozzarella cheese
(106.67	6.67	4.67	8.00	1.33	0.00	253.33)
1/2 chocobanana cake from 85degrees celsius
(330	14	11	5	44	0	60)
1 cup sirens starbucks medium roast French ground coffee cold pressed 5 hours in fridge
with 1 tbs pure can sugar full circle brand
pure can sugar
(45	0	0	0	12	0	0)
1 tbs sour cream
(30	2.5	1.75	0.5	1	0	7.5)
bowl pasta
(639.25	25.25	6.13	29.00	75.63	4.75	394.25)
1/4 cup mozzarella cheese
(80	5	3.5	6	1	0	190)
2 tbs parmesan cheese winco brand
(20	1.5	1	2	0	0	100)
cup of coffee cold brew with 1 tbs pure cane sugar
(45	0	0	0	12	0	0)
2 strawberry walmart brand poptarts of roommate's
(400	10	5	4	74	1	240)
=1152+120+200+106.7+330+45+30+639.3+80+20+45+400
=39.3+10+2+6.7+14+0+2.5+25.3+5+1.5+0+10
=10.0+7+0+4.7+11+0+1.8+6.1+3.5+1+0+5
=73.3+2+4+8+5+0+0.5+29+6+2+0+4
=137.44+4+42+1.3+44+12+1+75.6+1+0+12+74
=25.3+0+4+0+0+0+0+4.8+0+0+0+1
=1426.9+30+40+253.3+60+0+7.5+394.3+190+100+0+240
</t>
  </si>
  <si>
    <t>85 degrees celsius sea salt coffee medium</t>
  </si>
  <si>
    <t>85 degrees celsius hokkaido cheese tart</t>
  </si>
  <si>
    <t>chocolate hazelnet muffin</t>
  </si>
  <si>
    <t xml:space="preserve">bowl pasta 3-25-21 recipe
(639.25	25.25	6.13	29.00	75.63	4.75	394.25)
1/4 cup mozzarella cheese
(80	5	3.5	6	1	0	190)
85 degrees celsius sea salt coffee medium
(220    14       9      1	22	0	200)
chocolate hazelnut muffin tasted crappy, the oil was gross in the pan, tasted like mineral oil coated muffin, tried about 1/2 of it before throwing in the trash
(350	20.5	4	4	39	0	315)
hokkaido cheese tart
(230	18	10	5	20	0	140)
3/4 of 3 cheese quesadillas, bc tortillas broke off 1/4 of the shells in bag
 6*3/4=9/4 or 2 1/4 corn tortillas
(225	2.25	0	4.5	47.25	4.5	45)
1/2 cup mozzarella cheese
(160	10	7	12	2	0	380)
bowl pasta 3-25-21 recipe
(639.25	25.25	6.13	29.00	75.63	4.75	394.25)
=639.3+80+220+350+230+225+160+639.3
=25.3+5+14+20.5+18+2.25+10+25.3
=6.13+3.5+9+4+10+0+7+6.13
=29+6+1+4+5+4.5+12+29
=75.6+1+22+39+20+47.3+2+75.6
=4.75+0+0+0+0+4.5+0+4.75
=394.3+190+200+315+140+45+380+394.3
</t>
  </si>
  <si>
    <t>Woke up at 430 am to complete the worksheet on chemical reactions, stoichiometry, etc due today by 1159 pm. Got half way done. Mostly done in lab over last week but messy. Have to read through mess and calculate Molar mass and check items. Will finish the rest tonight. Had the rest of cold pressed about 1/2 cup with water, then 2 cups of my regular instant blend after making more of the cold pressed. Gave Mr. Growly his medicine when I woke up and the other when I get home around 5 pm and plan on working on homework till completed of this worksheet. I did my normal routine with feeding the babies after cleaning up some pet messes. Had a lg BM before finishing my 3rd cup of coffee for the day, then finished it. Checked the roommate's return he got and they took out an extra $100 approx bc they didn't charge his card even though the information was provided because the roommate wanted me to check it and asked why it was $100 less. Then took measurements around 705 am. then had a big bowl of spaghetti. Went to bed around 9pm. Was tired and started feeling it on how alert or focused I was in studying and memory recall.</t>
  </si>
  <si>
    <t>pot of pasta 3-27-2021 recipe 1 pkg Barilla red fennel penne, 1pkg beyond meat, 2 tbs olive oil, 1 jar prego 3 cheese sauce, makes 4 bowls</t>
  </si>
  <si>
    <t>bowl of pasta 3-27-2021 recipe</t>
  </si>
  <si>
    <t xml:space="preserve">3 bowls of pasta 3-26-21 recipe
(811.25	31.9375	7.8125	50.875	88	15.875	993.75)
(811.25	31.9375	7.8125	50.875	88	15.875	993.75)
(811.25	31.9375	7.8125	50.875	88	15.875	993.75)
8 tbs sourcream winco brand
(240	20	14	4	8	0	60)
1/2 cup mozzarella cheese winco brand
(160	10	7	12	2	0	380)
1/4 cup mozzarella cheese Stater Bros brand
(80	6	3	6	2	0	180)
2 strawberry poptarts of the roommates
(400	10	5	4	74	1	240)
=811.25+811.25+811.25+240+160+80+400
=31.9+31.9+31.9+20+10+6+10
=7.8+7.8+7.8+14+7+3+5
=50.9+50.9+50.9+4+12+6+4
=88+88+88+8+2+2+74
=15.9+15.9+15.9+0+0+0+1
=993.8+993.8+993.8+60+380+180+240
</t>
  </si>
  <si>
    <t>Woke up at 530 am, some time in the middle of the night woke up to have some water. Was going to study and read genetics ch5 to complete the discussion or prep for it, but only went over the slides some more yesterday before going to sleep. Left discussion open, but only looked at the topic after making a pot of penne, prego 3cheese, and 1 pkg beyond meat. All gluten free and plant based, no additional veggies, but didn't eat until before work. No shower today, just washed face. Did normal routine but no pet messes to clean, and new routine, drank last of cold brew, gave Mr. Growly his meds in his food with other babies separately as normally done, put the pasta in fridge, went over emails, have a couple inquiries on lymphatic drainage massage via my website being routed to my personal email. They used to go to my outlook email with website name but somehow have been changed to my personal email. Never fixed. I had a bowl of pasta for breakfast with 1/4 cup mozzarella cheese and 3 tbs sourcream. Had a bowl for lunch with 2 tbs sourcream and 1/4 cup cheese. Then a  bowl for dinner with 3 tbs sourcream and mozzarella cheese from Stater Bros. The other two bowls used the last of the Winco Mozzarella cheese. Shared with my babies the breakfast and dinner bowls of pasta.Still spotty today. This is the oddest menstruation I have had. I missed the heavy and extemely heavy days and went longer with more spotty and light days. Genetics homework next for discussion, reading the chapter and answering the questions to respond best to the discussion post. Very interesting stuff, both subjects. Plenty to keep me busy in both especially chemistry if I get bored. But not going to happen. An exam on Thursday in Genetics on this homework chapter 5, need to make some notecards after filling out the study guide with ppt info and additional  info from the text book. Also have some lab work to enter in a finer format. I sent in a very chicken scratch worksheet yesterday before going to bed and she announced an extension a couple days, but I am busy and rewriting the 10pp of the worksheet out would take another 2 hours to do. I figure thats why its called a worksheet, and not a formal report. After work I picked up this baker's rack that my cool client told me about that she couldn't sell on offerup and was going to sell it for $40. I realized I was looking for what she was describing and was going to pay $200 at IKEA for the glass door cabinets for my stuff, but wanted the arms that were metal on her baker's rack, that isn't the same thing really, but can hold nice toiletries or other items, especially if I get my own fancy salon room. But also nice for the pups who like to pee on everything, and wood pilters? what ever describes that wood splits apart. The metal will clean up great. Its actually really nice. I gave her $80 even though she reduced it to $40. She originally wanted $120 for it. Very nice couple. We're all UCSD alumni too, but they graduated in 2009 or so and me 2015. I am older than them and went to college at 32 I finished upper division and earned my BS there in economics and math transfering from Norco college. Where I am again 10 years later as I started my lower division there in 2011. This time doing prerequisites for a doctoral program. Went to bed at 930 pm.</t>
  </si>
  <si>
    <t>brie cheese Ile de France brand serving size 1 oz or 30 grams, 5 servings per pkg</t>
  </si>
  <si>
    <t>sesame oil https://www.calorieking.com/us/en/foods/f/calories-in-oils-sesame-oil/zBCgd25UQyywHp5OZXLU-A 1 tbs</t>
  </si>
  <si>
    <t>cream cheese generic 1 tbs https://www.calorieking.com/us/en/foods/f/calories-in-cream-cheese-regular-or-soft-cream-cheese/7H_cS7RSQlm_s0J7_UfSLw</t>
  </si>
  <si>
    <t>poki double salmon bowl w 2 tbs sesame oil and 2 tbs cream cheese</t>
  </si>
  <si>
    <t>chocolate mouse cheesecake from prepackaged cheesecake factory , serving 1 slice, but 6 slices per container</t>
  </si>
  <si>
    <t>Woke up at 6 am not by alarm. Cleaned up a few pet messes and gave Mr. Growly his meds in the food I feed the babies, restarted the dryer of my clothes started yesterday and in the middle of the night around 330 am when I got up to pee and drink water. The cold brew might be too strong or dehydrating. I had my regular instant cup of coffee for my 1st cup of coffee. The gym is open now and was charged my $29/month fee. I should be going to it. Time. A client wanted the appointment this Monday that is already set up for another client this Monday. She is a new client and her husband wouldn't be able to have a massage. I returned her email to see if the following Monday would work instead. I plan on answering the discussion questions before going to work. After reviewing the ch5 content on sex determining chromosomes. I didn't do the discussion but typed up the written responses for HW5 in BIO18, then went to work after having the last bowl of pasta with 2 tbs sour cream and 1/4 cup mozzarella and sharing with the babies of course. At work, I didn't pack lunch, but got a car wash for the Transit Connect and ate a poki bowl the same style as last time I got before waiting in the long line at the circle K where I also put fuel in the van. I did a variation of the 2 servings 2 scoop poki with 2 tbs sour cream and sesame oil with the teriyaki sauce. About 2 tbs each of those. At work, I was early and cleaned up the car magnets and reapplied them to the Transit Connect before work. and studied a few chemistry nomenclature. I already forgot a few. Then had two more clients before going home. I had a sweet tooth and picked up some prepackaged chocolate mouse cheesecake, a bottle of blackforest merlot, some French Brie cheese, and a box of organinc blueberry frozen waffles. Not gluten free. Also, I was complaining about my rag, and this morning before going to work at 730 am I took a peek at the orange moon that was big and round in the sky. I didn't think much of it, until I was putting my makeup on in the car and felt the blood come out. I was supposed to be ending my rag because I had been spotting since Tuesday, but this was a light amount of blood flow. Then at work, got the low back cramps while massaging 1st client, new. Then had more blood flow, and a big clot drop and some blood about medium flow and didn't have mensa pads so used the paper towels rolled up. Then a lot of blood came out at home, it poured out, gushed a lot, soaked the undies, went through to the pants and down leg. I fortunately had half a bag of very heavy flow pads to put on and cleaned up with a wash cloth. Drank wine and organized some. with the brie cheese. Feel low on blood iron levels. No coffee after work, so only 3 cups today so far. The 3rd was at lunch time as always. Unless I have it before last client before lunch. Going to work on the discussion question now. I already know the answer, then put in the lab part A equations neatly in formula mode with Word. The moon circada rhythm when I looked at it could have been the reason this happened, but also it could be that I dropped two eggs this month as I am getting older and am 39 years old. Went to bed after completing the formulas entered into the lab around 930 pm.</t>
  </si>
  <si>
    <t>pasta gluten free spaghetti/beyond meat/2 peppers yellow red/2 tbs olive oil/1 jar prego3 cheese, makes 4 bowls</t>
  </si>
  <si>
    <t>bowl of pasta 3-28-2021 recipe</t>
  </si>
  <si>
    <t xml:space="preserve">bowl pasta 3-27-21 recipe
(811.25	31.9375	7.8125	50.875	88	15.875	993.75)
2 tbs sour cream
(60	5	3.5	1	2	0	15)
1/4 cup mozzarella cheese
(80	5	3.5	6	1	0	190)
poki bowl same as the day with 2 servings salmon
(1140.5	417.175	404.15	413.8	482.55	394.35	1707)
3 glasses merlot or the bottle
(615	0	0	0	20	0	30)
about 2 oz or 2/5 the package of Ile de France brie cheese
(200	20	16	10	0	0	420)
2 slices the chocolate mouse cheesecake prepackaged by Cheesecake Factory
one of my slices is 1/16th a cake, the serving is 1 slice of 6 parts about 1 serving
(460	33	20	6	39	2	210)
2 servings brie cheese
(200	20	16	10	0	0	420)
bowl of pasta 3-28-21 recipe (639.25	25.25	6.125	29	75.625	4.75	394.25)
=811.25+50+80+1140.5+615+200+460+200+639.3
=31.9+5+5+417.2+0+20+33+20+25.3
=7.8+3.5+3.5+404+0+16+20+16+6.1
=50.9+1+6+413.8+0+10+6+10+29
=88+2+1+482.6+20+0+39+0+75.6
=15.9+0+0+394.4+0+0+2+0+4.75
=993.8+15+190+1707+30+420+210+420+394.3
</t>
  </si>
  <si>
    <t>intenational Delight carmel coffee creamer serving size 1 tbs</t>
  </si>
  <si>
    <t xml:space="preserve">bowl of pasta 3-28-21 recipe
(639.25	25.25	6.125	29	75.625	4.75	394.25)
1/2 serving chocolate cheesecake
(230	16.5	10	3	19.5	1	105)
bowl of pasta 3-28-21 recipe
(639.25	25.25	6.125	29	75.625	4.75	394.25)
bowl of pasta 3-28-21 recipe
(639.25	25.25	6.125	29	75.625	4.75	394.25)
1/2 serving chocolate cheesecake
(230	16.5	10	3	19.5	1	105)
3 coffee creamers international delight carmel flavor with work coffee 5th cup, the 4th cup was on the way to work after getting back from the private client of the instant coffee
(105	4.5	0	0	15	0	45)
=639.25*3+105+230*2
=25.25*3+4.5+16.5*2
=6.1*3+0+10*2
=29*3+0+3*2
=75.6*3+15+19.5*2
=4.75*3+1*2+0
=394.3*3+45+105*2
</t>
  </si>
  <si>
    <t xml:space="preserve">Woke up at 6 am, but got up around 1 am to pee and drink water, was dehydrated and also put the bed covers on from the dryer. Went back to bed without the heater on. Made Mr. Growly his food with his meds, and fed the babies, had a cup of instant coffee. and completed the discussion question in BIO18 and responded to a classmate's post. Had a BM reg lg size after 1st cup of coffee and made 2nd cuf of coffee. Recapped and organized my chemistry work for this week. I have a quiz on ch5 tomorrow and prelab questions to complete before the 6 pm lab, and the completed lab that I need to start part 2 on the unknown and work out the analysis of data that is due Thursday the 1st of April. No blood flow this morning, but not taking any chances, will know by the end of the day if still menstruating by being spotty. Nothing yet. Had a weird heavy flow yesterday that lasted when I got home till before bed time. I am a tiny bit spotty. Because two hours later at 940 am when getting ready for my 11 am MLD lipocavitation client, I saw a tiny spot of blood. So I will mark this as menstruation. Still shedding uterine lining. Hopefully not a fluke random heavy flow later or anything heavier than spotty. Had 3rd cup of coffee, the last leftover of cold brew diluted with water and microwaved. Didn't make another pitcher. This was after or while reviewing ppt slides on the quiz material of ch5 and ch14.5 for chemistry tomorrow. Also, had to cancel a Friday appointment, because client is going to be busy. And we cannot coordinate a time that works for both of us. Good thing she isn't a monthly subscriber. We could change that, but the whole schedule conflicts make that challenging. Today, the client is also super nice. Has the cute, friendly cat. She confirmed the appointment recently because it didn't say cancelled. I get notifications if someone alters the appointments. At work I ate the last bowl of pasta made yesterday as is heated though, and a slice or 1/2 serving of the chocolate cheesecake before starting work and after looking at chemistry flashcards. Then had light spotting throughout the day. I caught a glimpse of the moon again, round and bright but higher up in the sky after work on the way home off the freeway and later when I got home another heavy flow and huge blood clot fell that soaked the light flow pad and had to change to heavy flow pad and new underwear. This menstruation cycle is very weird. Fortunately it happened at home and not at work when the heavy flow hit. Had 4th cup of coffee instant on way to work and the 5th at work with 3 carmel coffee mate creamers about 3 tbs total. Went to bed at around 12 am. After my heavy rag had very painful lower abdominal and low back pain that wouldn't go away. Sharp and felt it moving in there, gas, water, blood, sharp pain on lower right abdomen and inside lower abdomen around where descending colon and rectum are roughly located from visuals. I drank a bottle of water and felt stuff moving around. Had a small BM that was dark like the wine I had the other day and solid, usually they aren't. I have been eating more meat like the sushi and the bottle of wine, the hormones for my uterine lining also. I imagined it was my uterine fibroid growing and going through cell division and pushing on the other organs and bowel in the lower abdominal cavity. Not a great meditatitve state to block pain. Somehow fell asleep by midnight. Not painful enough for tears, or painful enough to irritate my nervous system and make me vomit or have diarreah. It eventually subsided. Felt like I drank a bunch of cytokines and they hit my lower bowel. and I also thought it could be the poki bowls with wasabi hitting my bowels later and I am sensitive to spicy foods, but also the tons of sugar and cream I have been adding to my diet. Not sure. But bed time by 12 am. </t>
  </si>
  <si>
    <t>organic blueberry waffles Vons brand wheat-gluten product, 2 waffles serving:</t>
  </si>
  <si>
    <t>impossible meat pkg, 3 servings per pkg</t>
  </si>
  <si>
    <t>Good&amp;Gather gluten free spaghetti, 6 servings per pkg</t>
  </si>
  <si>
    <t>pasta recipe gluten free spaghetti Good&amp;Gather, impossible meat pkg, 1 jar Good&amp;Gather pasta sauce, 2 tbs olive oil, 1 orange bell pepper, 1 pkg broccoli florets</t>
  </si>
  <si>
    <t>Good&amp;Gather 3 cheese pasta sauce, 5 servings jar</t>
  </si>
  <si>
    <t>Good&amp;Gather mozzparm shred cheese, serving 1/4 cup</t>
  </si>
  <si>
    <t>bowl of spaghetti 3/30/21 recipe</t>
  </si>
  <si>
    <t xml:space="preserve">blueberry waffles organic
(190	7	1.5	4	29	2	340)
brie cheese from other night, 2 servings
(200	20	16	10	0	0	420)
blueberry waffles organic
(190	7	1.5	4	29	2	340)
bowl pasta 3-30-2021 recipe
(661.75	22.125	8.25	22.75	57.25	7.25	831.25)
tbs organic sugar with 4th cup of coffee
(45	0	0	0	12	0	0)
1/4 cup almond milk Silk unsweet
(8	0.8	0	0.25	0.25	0	28.8)
bowl pasta 3-30-2021 recipe
(661.75	22.125	8.25	22.75	57.25	7.25	831.25)
mozzParm cheese both bowls about 1/2 cup total
(200	12	8	16	4	0	560)
1 glass of wine after quiz
(123	0	0	0	4	0	6)
=190+200+190+661.8+45+8+661.8+200+123
=7+20+7+22.1+0+0.8+22.13+12+0
=1.5+16+1.5+8.25+0+0+8.25+8+0
=4+10+4+22.75+0+0.25+22.75+16+0
=29+0+29+57.25+12+0.25+57.25+4+4
=2+0+2+7.25+0+0+7.25+0+0
=340+420+340+831.3+0+28.8+831.25+560+6
</t>
  </si>
  <si>
    <t xml:space="preserve">Woke up at 630 am by alarm. Felt better. But lower abs still feel something needs to be fixed there. My rag isn't heavy but medium flow over night. And before the cramping up that ached terribly had stopped the heavy flow and blood clots. Did the normal routine of making Mr. Growly his heart meds in his food while feeding the babies, my coffee, and reviewing the course work to complete in both courses for today and also the week. Had a solid reg BM before finishing my 2nd cup of coffee dark in color but not black, then took my measurements. Finished my 2nd cup of coffee while reviewing chapter 5 homework responses and questions from a few weeks ago. I have a client later today I will leave by 1130 am to get to. Plan on looking and possibly completing the lab questions before that time or at least taking a shower. Had breakfast of 2 wheat blueberry frozen organic type and 2 servings or 2/5 of the brie which is the last of it. I have been eating the shell of the Brie, because its too creamy to take off and is bitter. Could also be why my lower abdomen hurt really bad last night. I marked the gluten free as no. Wheat is gluten. This was at 815 am. 3rd cup of coffee after taking a 10 minute nap, folding linens from yesterday, putting roommate's clothes in dryer, doing the dishes and finishing reveiw of the ch5 homework and worked out solutions of mine. Then looked over prelab questions and flashcards in chemistry on solubility, non solubility, gas-evolution, double reactions, nomenclature. Plan for showering at 1030 am, leaving by 1130 am finishing and out the door with my regular super nice client by 1230 pm, grocery shopping for necessities at 1pm and by 2 pm home. We'll see how that goes. Lecture starts at 3. Prelab questions due by 6 pm before the quiz starts at 6 pm. Showered at 10:40 am after completing the youtube short videos and the prelab questions associated with them and drawing in the template tables into the lab manual, taking photos, adding to the prelab questions, saving as a pdf. Then uploaded to the site before putting on my makeup. Took the quiz 9 word problems to be done in 30 minutes minus the few minutes to set up and test proctorio. Of course I bombed it. I hate her exams and quizzes. They are 25-30% of the grade overall. I should probably just drop the course and improve my health. I do fine on the homework. But between her ridiculous quizzes and exams and these clients who all of a sudden want massages, I am not going to be getting an A or B in it. I will probably keep my genetics course. I had a bowl of pasta at the beginning of lecture. a cup of coffee with 1 tbs sugar thats organic and 1/4 cup almond milk, then took a nap for 15 minutes between 440-500 pm, then studied the worksheet and the flash cards. They proved useless. Too much shit crammed into 10 pages, then memorizing and mixing between two chapters. Threw the scratch paper away, got a 4/25, mostly due to not answering any questions, as I started them and couldn't finish them due to stress. I hate being stressed, it blocks my brain functions for recall. Not even sure why I log in to her lectures, she posts the recorded ones right away to download. I am tired when listening to her. Got me feeling depressed about this course, and then have to listen to her during lab after the quiz. Half the class didn't log in either. Usually 17-21 people, only 10-11 people. We're doing some online lab that's digital. If I drop the class I will get a W, and I have put a lot of time and effort into it to not really show much for it. I have went from 0 clients a week, to now, right now I have 3-6 this week, and I am behind. We are working on this week's digital lab and I still have to enter part II of last lab and the write up and tables and study for a quiz in genetics on Thursday, complete the lab I am behind in for Friday. I have a client tomorrow after work and can use tomorrow night afterwards and the morning to study more for genetics but this chemistry class is a bitch with my time and has me doing a lot. I don't think I can handle it and need to drop it. I need a class with a lab, but not right now. I'll wait. The quiz questions aren't available to review or look at, so I cannot share how much your supposed to recall. I couldn't recall most of what I studied. The quizzes are 10%, exams 30% and final exam 25%. </t>
  </si>
  <si>
    <t xml:space="preserve">Guerrero corn tortillas 6
(300	3	0	3	63	6	60)
mozzParmesan cheese blend 1/2 cup Good&amp;Gather
(200	12	8	16	4	0	560)
2 bowls of 3-30-21 recipe pasta
(1323.5	44.25	16.5	45.5	114.5	14.5	1662.5)
1 protein smoothie chocolate Olly brand, 1 serving
(130	2	0	18	9	2	320)
2 bananas
(210	0	0	2	54	6	2)
2 1/4 cups almond milk protein shake and 4th cup of coffee
(67.5	5.625	0	2.25	2.25	0	258.75)
1 tbs organic sugar 4th cup of coffee at home
(45	0	0	0	12	0	0)
3 creamers of international delight carmel creamers the coffee at work 3rd cup
(35	1.5	0	0	5	0	15)
=1323.5+130+210+67.5+45+35+300+200
=44.25+2+0+5.6+0+1.5+3+12
=16.5+0+0+0+0+0+0+8
=45.5+18+2+2.25+0+0+3+16
=114.5+9+54+2.25+12+5+63+4
=14.5+2+6+0+0+0+6+0
=1662.5+320+2+258.8+0+15+60+560
</t>
  </si>
  <si>
    <t>Woke up at 1240 am ish, in lots of pain, same as other night, after a bunch of blood and a clot in undies, had to change pad, the lower abdominal and low back ached, drank a bottle of water entirely in two parts, walked around and tried sitting and going to bed but it hurt a lot, sharp pain all over lower midsection. Not much blood passed after the huge heavy flow that woke me. I took a shower and felt a little better by the time done washing hair and body and for the water to go through my system. Braided my hair and was able to go to sleep by 145 am. I woke up by alarm at 530 am and gave Mr. Growly his meds, fed the babies, drank my coffee, and worked on the lab from last week due tomorrow or by the end of the day today. Wasn't able to determine the unknowns but got the video notes in for descriptions of reactants. I have to compare to the reactions in part 1 observed. Took measurements after 730 am and before eating and after finishing 2nd cup of coffee. Had a reg solid BM reg color as normal after 1st cup of coffee and before my 630 alarm went off. The roommate had just arrived a few minutes before that time. At work ate a chocolate protein shake with 2 bananas with tips cut off and 1 serving protein powder and about 2 cups of almond milk. Then after work, had a bowl of pasta no cheese the last of it and a 4th cup of coffee with 1 tbs organic sugar and 1/4 cup almond milk. Made me too relaxed and had to shake it off, my eyelids felt heavy. Went to clients and got their 15 minutes late due to traffic and started another 15 minutes late. She is super nice though. She will be busy and get back to me on scheduling her next massage. Her cute 2 year old was in the room with us bored because his ipad wasn't charged and playing with all sorts of stuff like his big blocks and other random parts of toys. He likes to put a bunch of stuff on her to cover her, like pieces of paper, the blankets already in the room, her foam rollers, etc. I ran out of eucalyptus oil and will have to remember to get some more at Sprouts or Marshal's. Rather be Sprouts but the line to wait is long. I haven't been there since the quarantine lifted some. Only the Chino Hills one has a line. Not the Corona Sprouts. For Breakfast I had a bowl of pasta and no cheese, because I ate it fast. Was able to send my super nice client yesterday her notes and reciept, but the jotform submissions to download was filled in all blank and emailed her my forwarded email of the jotform receipt that gets sent. I now have a 5 hour family massage with a previous family of two plus another two from a referral. Great people. Sunday I don't work at ME but will study if I don't drop the courses, and have a couples massage for 3 hours in Chino Hills at 6 pm. Also a very nice couple. Got home around 8 pm, and still on my rag, spotty, but afraid to drink a glass of wine in case I wake up again like the insides of my belly are kicking me and my low back. Disinfected the supplies, used hot stones and was going to use the massage gun but she didn't today because was tender in muscles, and got my oily hands on it, so it had to be disinfected. Also, tried out using the hotpacks but in hot water instead, and they didn't stay warm in the pot of water I brought, and 35 minutes of traffic. I left around 10 minutes till 5 pm and got there at 545 pm. I was supposed to be there at 530 pm, the south 15 is backed up at that time and now with the express lanes, its worse. I am going to try out my hydocollator by plugging it in and using it on my Sunday clients. The other family massage wants me to go up the stairs and its too much to use any add-ons to bring up the stairs too. I finished the soap notes and receipt for today's client, and emailed admissions at my college to ask them to give me an excused withdraw from my chem course due to the stress and history of cancer, her unfair tests/exams, how heavy they are weighted, being distracted by the camera while taking exams, etc. I have a course I can actually and realistically do well in quiz tomorrow. I want to get great sleep tonight, forget about the lab and the class for now, and study for my other course quiz. It is very interesting, so is chemistry, but the course is designed to filter out for elite super test takers with no full time job, or other factors, and spend way too much time and forget all stress and constraints while interpreting exam questions to recall how to answer them. Ate some quesadillas with the Target Good&amp;Gather mozzparmesan blend, it was delicious, 3 of them with paprika. Shared with Princess. Went to bed around 10 pm.</t>
  </si>
  <si>
    <t>Good&amp;Gather broccoli</t>
  </si>
  <si>
    <t>bowl of 4/1/2021 pasta recipe</t>
  </si>
  <si>
    <t>penne red fennel barilla/1 pkg broccoli frozen Good &amp; Gather brand/1 pkg beyond meat/1 yellow bell pepper/2 tbs olive oil/4 tbs sourcream Winco brand 1 pot makes about 5 bowls</t>
  </si>
  <si>
    <t>Starbucks Nitro cold brew with sweet cream https://www.starbucks.com/menu/product/2122237/iced?parent=%2Fdrinks%2Fcold-coffees%2Fnitro-cold-brews</t>
  </si>
  <si>
    <t xml:space="preserve">2 bowls of pasta 4/1/2021 recipe
(1494	57.6	16.4	90.2	162.2	34.4	1850)
1/4 cup mozz Stater brand
(80	6	3	6	2	0	180)
1/4 cup mozzParm Good&amp;Gather brand
(100	6	4	8	2	0	280)
3 corn mozzparm blend quesadillas
6 corn tortillas Guerrero
(300	3	0	6	63	6	60)
1/2 cup mozz/parm Good&amp;Gather brand
(200	12	8	16	4	0	560)
Grande Nitro Sweet Cream approximately because it looked mostly cream
(70    5    3.5      1      4     0     20)
=1494+80+100+300+200+70
=57.6+6+6+3+12+5
=16.4+3+4+0+8+3.5
=90.2+6+8+6+16+1
=162.2+2+2+63+4+4
=34.4+0+0+6+0+0
=1850+180+280+60+560+20
</t>
  </si>
  <si>
    <t>Woke up at 430 and laid in bed until 10 minutes before 5 am and got up, cleaned pet messes, took babies outside, warmer weather this week, not chilly like previous week. Made their food and Mr. Growly's meds, one pill he used up of the one he takes every 12 hours. He still has the other 2 meds. I had a cup of coffee, no BM movement until 3rd cup, I drank water and had the 3rd cup of coffee. The other plumber or worker of the landlords came by right before I felt like having a BM, with some movement, but feeling dehydrated. He was rude, because the gate is locked, but I unlocked it and asked him to keep the gate closed for our dogs to not escape, and he didn't acknowlege the request, and I asked him after unlocking it and he said he would. He's an old guy in late 60s or 70s even. The landlord has some older workers, I think his bug spray guy is 80 years old. I have class at 9 am and was working on the quiz 2 study guid of ch 5 on sex determining chromosomes and factors. I finished by 830 am and took my measurements, still no BM. I felt somewhat brain fogged or bogged to start off the day, not alert and ready. But thankfully no heavy and painful menstruation in the middle of the night that felt like I was ran over my midsection the last two other nights. Had a BM after entering the data for measurements and updating notes, made another 3 quesadillas before lecture in genetics. Earlier while getting over brain fog or minimal brain clarity less so than normal at the beginning of the day I finished the laundry and prepacked the linen and top cover sets and disinfected hot stones and oils to put in the work van. The hot pads are still drying and were still drying at that time. This house is ca. 1908-1911 Spanish Flu era part of the historical district of Corona, CA, and the workers the landlord has have probably spent a lot of their younger years working on this house. It is odd to have workers that old though. Did the lecture, more of a Q&amp;A, only 4-5 females, some questions, ended early. Found documents to prove my stress related oncology for hodgkins and uploaded those and the form to norco college to remove me from CHE-1A with an EW excused withdrawal because it is stressing me out. Sent that by 10:22 am. The landlord stopped by too to do something with the other side or basement not sure what. He was gone by the time I sent it. Then made flashcards and got ready for quiz. Took the quiz, and feel like I did well on it. Some questions are input types that require actual grading as the other quizes are. I am going to continue the chemistry course, but not invest too much stress into it or my time, if late, then late. I am waiting for the excused withdrawal to be approved, and if not then I have to complete the course so might as well. Made pasta and then logged into course. Thinking about not, and finishing lab, but don't know yet. I also had a sweet cream nitro cold brew from Starbucks when I went to the bank to get a cashier's check from the roommate's share of rent he had me transfer to my checking account. Put that on the porch for the landlord to grab when he is able to. Expecting my decals from build a sign to come in soon. Also, I started out spotty, but when I left to get the cashier's check and coffee, a bunch of blood fell out and soaked light pad, got on driver seat. Had to use some paper towels after entering the bank and thankfully not have it drip down my leg. I used the paper towels while driving back home and waiting in Starbuck's drive thru. They put more sweet cream than coffee in my nitro sweet cream. Bed time around 10 pm.</t>
  </si>
  <si>
    <t xml:space="preserve">2 bowls pasta 4/1/2021 recipe
(1494	57.6	16.4	90.2	162.2	34.4	1850)
1 cup mozz cheese Stater Bros
(320	24	12	24	8	0	720)
1 serving chocolate protein powder
(130	2	0	18	9	2	320)
1 1/2 cups almond milk
(45	3.75	0	1.5	1.5	0	172.5)
1 banana
(105	0	0	1	27	3	1)
3 carmel coffee creamers International Delight
(105	4.5	0	0	15	0	45)
2 glasses of red blend used approximate merlot nutrition
(246	0	0	0	8	0	12)
2 quesadillas
4 corn tortillas Guerrero
(200	2	0	4	42	4	40)
1/2 cup Mozzarella Stater Bros brand
(160	12	6	12	4	0	360)
=1494+320+130+45+105+105+246+200+160
=57.6+24+2+3.75+0+4.5+0+2+12
=16.4+12+0+0+0+0+0+0+6
=90.2+24+18+1.5+1+0+0+4+12
=162.2+8+9+1.5+27+15+8+42+4
=34.4+0+2+0+3+0+0+4+0
=1850+720+320+172.5+1+45+12+40+360
</t>
  </si>
  <si>
    <t>Woke up at 5:15 am and got out of bed a few minutes later, made my coffee, made Mr. Growly his meds and the babies their food, cleaned up one pet mess. Finished the last unknown part of the lab and answered the questions, but when I inserted the image of my lab notebook, the whole file was distorted in layout view that wasn't portrait, when I tried to fix it, the tables for part 1 didn't fit and there would be about A-O tables to fix in number , so I left it in the wide format I think is called orientation view instead of portrait. Haven't checked to see if I got the EW from norco college, just doing what I can. One client today after work, she is getting the 10 MLD massages post-op, today will be the first one. She lives in Riverside, so hopefully, not too much time to get to her in Friday traffic from Chino by 5:30 pm. I get out of work a little after 4 pm. Had a lg BM solid one after 2 cups of coffee and before my measurements at 7:23 am. Then ate breakfast. Need to get some fuel in my vehicle before going to work, but it might make it.  I had a bowl of pasta 4/1/21 recipe and 1/2 cup of mozz Stater bros brand, then for lunch a 3rd cup of coffee with 3 carmel creamers and a protein shake with 1 serving chocolate protein powder, 1 banana, 1 1/2 cup almond milk. For dinner a bowl of pasta with 1/2 cup mozz cheese Stater brand. Went to Dollar Tree on lunch break and got fuel before that at Shell in Chino Hills. I got 10 bottles of their coconut oil that doesn't solidify in the cold and stays liquid. I love it. And 7 pkgs of their 3 small bottles per pkg to mix the oil and aroma for each client. I had my bowl of pasta for dinner before going to my 530 appointment in Riverside, but off Mckinley, so not far from me, about 10-15 minutes on the side streets, but still Friday traffic. The new client is nice and moving around great for 2 weeks post op tummy tuck, but had 3 C sections before and she bought the prepaid manual lymph drainage massages for 10 hour MLD for $45 each instead of $60 each. She also prebooked each appointment for Fridays and Mondays. Spaced between, and plans on doing the lipocavitation on her side area after that time. I checked email and won't be getting approved for an Excused Withdrawal unless the withdrawal is approved by my doctor but I am not paying for health insurance right now and can't do that. So I will have to see if I can do better in the course. Or take a W by May 15 if in the below C range. Possibly below the B range take a Withdrawal, because I could bomb the final and not just a D or close, but like I did the last exam practically a zero and showed up, but blanked on the questions. It could be the CBD oil I use on client before taking exams, or the fact I hate being on camera stressed and having to think about problems that don't allow enough time to write them down to read them on paper instead of the computer screen with a camera looking at you. Have time to study this weekend and Tuesday before the exam, but have to complete the homework for Chapter 6 due in a day or two. Also, work on genetics course work for the power point slides this week and lectures. Taking a glass of wine right now unwinding in a way. Its a brand from Target that I didn't drink the whole 3 glasses from the other day on Tuesday when I had the first glass of wine from it. Called 'the Headliner' red blend from Target. I had the first glass after bombing the quiz on Tuesday. Also had the middle of the night aches in midsection from the full moon cimbiatic cycle and my lengthy painful menstruation, unless I am somehow psychic or 'intuitive' from my nervous system binding to my clients over time and pick up their pain instead. Just a thought, a crazy one. But I have been massaging people who have had extreme pain around those areas of their bodies recently due to surgery.  I have also been massaging for more than 15 years. I drank a bottle of water while finishing this glass of wine. I could look at the flash cards I have and also the homework in ch 6 due before Monday. Tomorrow is a lengthy day. Work 8-2pm, then at 4-9pm a five hour family massage split between 4 family members but local. No 2nd glass of wine tonight. Sunday I don't have a couple's massage until 6 pm. Have laundry to do before going to bed and wake up by atleast 5:30 am. If I wake up at 6:30 am I have to eat and shower to get to work by 8 am. Again, no 2nd glass of wine tonight. Hopefully, I don't wake up in the middle of the night in pain. I also started out spotty, but around 9:45 am had a medium heavy gush of blood that soaked the light pad and some around the pad on my undies but not through to my pants. I still had 3 more massages to complete by that time. No cramps though. The loss of blood could be the reason for the brain fog too. To be clear (1 hour later) it is now 830 pm and after that 1st glass of wine I decided to drink the 2nd one and feel like my brain fog is on, its game time for it. And not my client's CBD oil that gives me it. It most likely is that irritation I get from trying to think and be on camera looking into it while thinking. So, 2nd glass of wine for the evening, and finishing up client's SOAP notes and the receipt and how to enter into my own business expenses/income database. Made an extra column for 'balance' though I should have done it with my monthly subscriber a month ago. Not a big deal. This business is like a little kid I just created a couple years ago and am shaping into a growing, living, product of me. I have some window decals on the way. Stress is what blind sides me and gives me brain fog. I am great when not stressed. I will have to wear my blue light blockers when taking quizzes/exams online and see if it helps. Had a reg solid BM by middle of drinking 2nd glass of wine and some of another bottle of water at around 9 pm. I also want to note that I received those hydrocollator pad covers today and thought they were the window decals. Amazon was on time this time, and a few others. Pretty good. Password still says AmazonSucks in it among other things. Getting the max benefits for this monthly membership expires tomorrow or soon. Still waiting on those decals. I want to see if they work for the non-metal parts of my van to advertise to people, and if so, I want to get more. These ones include a special offer of two free add-ons to Covid vaccinated clients, a decal for 'proud sponsor of the best massage therapist in Corona' with images of a male and female getting crowned and wearing sashes, and something else I am blanking on. They are supposed to arrive on or before my exam 2 in chemistry 1A. Not excited or anxious until I know they can be used on my van. Ford Transit Connect. I also increased my selling price on Tred, because no buyers interested in last few months. I increased it back to $20,000 from $18,000 because it is a great car, and not going lower as time goes on, so if anybody is checking it and waiting, they can kiss my ass. To bed around 10 pm</t>
  </si>
  <si>
    <t>mozzarella cheese Stater Bros brand, 1/4 cup serving</t>
  </si>
  <si>
    <t xml:space="preserve">1/2 bowl pasta 4/2/21 recipe
(373.5	14.4	4.1	22.55	40.55	8.6	462.5)
1/2 mozz cheese SB
(160	12	6	12	4	0	360)
3 carmel creamers at work 3rd cup of coffe1/2 bowl pasta 4/2/21 recipe
(373.5	14.4	4.1	22.55	40.55	8.6	462.5)
1/2 mozz cheese SB
(160	12	6	12	4	0	360)
3 carmel creamers at work 3rd cup of coffe
(105	4.5	0	0	15	0	45)
2 servings protein powder
(260	4	0	36	18	4	640)
2 1/2 cups Almond milk
(75	7.5	0	2.5	2.5	0	287.5)
4 corn tortillas (Guerrero)
(200	2	0	4	42	4	40)
1/4 cup mozzarella cheese SB
(80	6	3	6	2	0	180)
2 eggs
(140	10	3	12	0	0	140)
2 tbs olive oil
(240	28	4	0	0	0	0)
1/4 cup mozz SB
(80	6	3	6	2	0	180)
=373.5+160+105+260+75+200+80
=14.4+12+4.5+4+7.5+2+6
=4.1+6+0+0+0+0+3
=22.55+12+0+36+2.5+4+6
=40.55+4+15+18+2.5+42+2
=8.6+0+0+4+0+4+0
=462.5+360+45+640+287.5+40+180
(105	4.5	0	0	15	0	45)
2 servings protein powder
(260	4	0	36	18	4	640)
2 1/2 cups Almond milk
(75	7.5	0	2.5	2.5	0	287.5)
4 corn tortillas (Guerrero)
(200	2	0	4	42	4	40)
1/4 cup mozzarella cheese SB
(80	6	3	6	2	0	180)
=373.5+160+105+260+75+200+80
=14.4+12+4.5+4+7.5+2+6
=4.1+6+0+0+0+0+3
=22.55+12+0+36+2.5+4+6
=40.55+4+15+18+2.5+42+2
=8.6+0+0+4+0+4+0
=462.5+360+45+640+287.5+40+180
</t>
  </si>
  <si>
    <t>Woke up just before 530 am and did the normal routine, clean pet messes, take them outside, was a little chilly when I woke up, made Mr. Growly his meds and fed the babies, had my coffee. Less time to do anything, have to get ready by 630 am. Still have laundry to fold. Did that and looked at half the ch 6 gases ppt slides in chemistry and watched the other AMoeba sisters video on gel electrophoresis in Genetics. Had 2 cups of coffee total, downed the 2nd one fast as after 630 am and had laundry put away, packed the smoothie supplies for breakfasta and lunch. Had  a reg solid BM after 2nd cup of coffee. Did measurements at 640 am. Showered and got ready for work. Don't plan on coming back until 930 pm or between work and private clients for a family massage special from 4-9 pm split 4 family members time. Still spotty, but could have another bloody gush during work. Bringing extra pads just in case. Light today but some medium flow at night during Family massage slightly half way through the five hours. Very nice family. They want to do that every month on Saturdays. I had about half a bowl of the pasta for breakfast from the other night on 4/2/21 with 1/4 cup mozzarella cheese Stater Bros brand. That was the last of the pasta, and for lunch I brought all the smoothie supplies, but the cup to blend it in, so I ate bits of the 2 bananas for lunch. Got some supplies for work from Marshall's of 2 long handle dry brushes for potential MLD clients needing dry brushing and only $4 each, and a pack of their aromatherapy with Eucalyptus, Peppermint, and Lavendar for only $8. They smelled great. When I stopped by for my break after work I made the smoothie with just 2 1/2 cups almond milk and 2 servings or 4 scoops of the chocolate protein powder and made 2 quesadillas with Mozzarella cheese about 1/3 cup Stater Bros brand. The last of the corn tortillas. Need to go grocery shopping. Went to Navy Federal after the family massage and deposited the check for the 10 MLD massages from my new client in Riverside into my savings account. At work I had 3 carmel creamers for my 3rd cup of coffee their Donut shop keurig, and when arriving home from work before going to the family massage I had my 4th cup of coffee. Had a couple eggs scrambled with  a couple tbs almond milk and 2 tbs olive oil with 1/4 cup mozzarella cheese around 11 pm. Looked over assignments in Genetics before that and have a discussion due Monday. In chemistry study and homework ch 6, but I already know that. She extended the lab I just turned in to the 9th in her announcements. I wrote a reply to the last email on my EW application and told them the doctor said I am susceptible to stress and showed the database and factors that affect and determine health are being effected by the course load. And asked when deadline is to elect pass/no pass and if I can take other subsequent courses if I get a pass in it. And when deadline for W for withdraw is and how it effects my GPA or what it affects.</t>
  </si>
  <si>
    <t>frozen bag blackberries, raspberries, blueberries, been in freezer a year or so, serving 3/4 cup</t>
  </si>
  <si>
    <t>bertolli pasta sauce alfredo sauce, 7 servings per jar, or 1/4 cup</t>
  </si>
  <si>
    <t>pot pasta 4/4/21 recipe 1 jar bertolli alfredo sauce, 1 pkg impossible meat, 1 red pepper, 2 tbs olive oil</t>
  </si>
  <si>
    <t xml:space="preserve">1 bowl of pasta from pot of pasta makes 4 bowls </t>
  </si>
  <si>
    <t xml:space="preserve">Strawberry poptarts walmart brand
(400	10	5	4	74	1	240)
bowl of pasta 4/4/21 penne pasta
(1173	57.75	29.5	46.5	25.5	7.25	961.25)
1/2 cup mozz G&amp;G
(200	12	8	16	4	0	560)
1 serving pea protein chocolate Olly
(130	2	0	18	9	2	320)
1 1/4 cup mixed frozen berries
(133.33	8.33	1.67	1.67	33.33	15.00	0.00)
2 cups almond milk Silk
(60	5	0	2	2	0	230)
bowl of pasta 4/4/21 penne pasta
(1173	57.75	29.5	46.5	25.5	7.25	961.25)
1/2 cup mozz G&amp;G
(200	12	8	16	4	0	560)
=400+1173+200+130+133.3+60+1173+200
=10+57.8+12+2+8+5+57.75+12
=5+29.5+8+0+1.7+0+29.5+8
=4+46.5+16+18+1.7+2+46.5+16
=74+25.5+4+9+33.3+2+25.5+4
=1+7.3+0+2+15+0+7.25+0
=240+961.3+560+320+0+230+961.3+560
</t>
  </si>
  <si>
    <t xml:space="preserve">Woke up around 530 am, got out of bed around that time. I didn't have any pet messes to clean, gave Mr. Growly his meds and fed babies, had a cup of coffee, did the SOAP notes and receipts for clients last night and emailed them. Looked at some stock images of moms with robes and kids and grandmas for May Mother's Day all month long promotion. Need to wait some more for my window decals, before designing and making that promotion, because I still haven't received them and I want to make sure they are right for my van. I emailed the admissions counselor last night or this morning about using the database I sent with hospital docs as a machine learning database for predicting my health based on the number of days of menstuation, BMs, hours of sleep, weight lost or gained, calories consumed as indicators of stress and my disease being associated with high levels of stress. It must have been last night because I didn't check my email. I had 3 cups of coffee and no BM, had a couple strawberry poptarts of the roommates he left on counter, and tested out the hydrocollator machine on my clients tonight. I want to make sure the water gets hot and will soak into hot pads and not be less than a hot temperature that doesn't burn or is only warm. I noticed a piece of the plastic was broke where screw is that holds the plastic cover onto the metal when carrying by handles, might come off and pour hot water all over me. Need a way to keep it in the van while transporting, because I can plug it in. I have an extension cord I got at Best Buy yesterday. I folded the linens and supplies from clients yesterday. also, I went over the ch 6 ppt slides of last week to answer discussion and decided I need to read the book for that chapter for better clarity, my notes aren't great from when I filled in the blanks and typed in extra content the instructor talks about to elaborate on each slide. I didn't take my measurements until 10 am, was waiting for a BM. Didn't happen by that time. Just peed a lot. I drank a whole bottle of water while finishing 3rd cup of coffee. Still spotty light mensa flow. Today is Easter Sunday. I read chapter 6 and then took a nap halfway through for 15 minutes, was tired. Made some pasta before reading the chapter of penne red fennel, impossible meat, 1 red bell pepper, 2 tbs olive oil and 1 jar bertolli alfredo sauce. Had a bowl of it with 1/2 cup shredded cheese mozzarella Good&amp;Gather brand. Had 4th cup of coffee and still no BM by 230 pm and made a smoothi of a serving of protein powder, 1 1/4 cups berries frozen from freezer that have been there about a year and used some earlier. They had ice all over the berries, and 2 cups almond milk. It ended up spilling on me in splashes because the ice didn't get chopped off enough and when it went back into the tall cup spashed it all over me. Good thing I wasn't ready for work. Tested the hydrocollator and it has a setting that keeps it from running the whole time but checks temperature. The hot pack seems to work like it should and not too hot. I just have to figure out how to transport it to clients to use. I need a rolling case. For now, maybe my laundry basket. The top seems secure enough as long as I don't take turns going more than 25 mph it should be fine. It holds a lot of water about 5 gallons or 4-4 gallons, I filled up my large spaghetti pot with it before making pasta earlier and had to use it 5 times but not completely filled to cover the pads. Too many pads too, so had to take out the neck pad. I have the covers so thats good. They might have something for it at DDs. Put the hydrocollator in the van around 4 pm, then ate a bowl of pasta with mozz cheese. Took a shower and left for my 6 pm in Chino Hills before 530 pm. Got back home before 10 pm, did the laundry or started it and washed the stones and put the hydrocollator in the kitchen from the car. The hot packs stayed hot and the clients liked them. They helped them relax. It was plugged in the car and worked the whole time, was kept hot. The battery beeped by the time done 3 1/2 hours later. It runs on its own supply. </t>
  </si>
  <si>
    <t>chocolate chip cookies walmart from roommates cookies, serving 1 cookie</t>
  </si>
  <si>
    <t xml:space="preserve">Woke up by alarm at 630 am, no pet messes to clean. Went to bed around 1115 pm last night after putting laundry in the dryer. Made Mr. Growly his meds and fed the babies, had to get water from the car for 2nd cup of coffee while making 1st cup of coffee. All out inside the house of water bottles. I only drink water from packaged water bottles that go through the filtration and inspection process and preferrably without bpa toxins in plastic. Fed the cat outside around that time 645 am or so. No BM yesterday and had a lg BM solid this morning after 1st cup of coffee. Finished the clients SOAP notes and receipts from last night and sent them out, then completed the discussion in genetics due today. Did zero studying for the chemistry exam this Tuesday, and still haven't checked to see if I got an excused withdrawal from last email or student registration. I have a client for her 2nd MLD of 10 prepaid massages at 1115 but leaving by 1045 am. she lives about 3 miles away. Not that far. But unexpected road work could delay, and we started early last time. I noticed a pending transaction in my checking and didn't have a receipt, but found out the IN-HOME TYLER CHINO CAUS pending charge was for a Best Buy purchase of the extension cord and clock I want to take back that was emailed to me and not printed, because of my BestBuy preferences that I have to login to change. I had breakfast, a bowl of pasta made the other day with parmesan and mozz cheese G&amp;G brand. The 4-3-21 recipe. I do still need to reply to a classmate's post in discussion by the end of the day. But going to wait. I noticed some typos in my own post after posting it. Folded the linens and put in separate gallon plastic baggies. Finished he response then took a shower and got ready for my 1115 appointment 3 miles away. I need to get some groceries on the way back before going to work. Still a light mensa flow. Got back from client's house, put linens in laundry, and unpacked groceries from Winco by 130 pm. Ate a bowl of pasta and fed the babies, then filled in this database, after doing the dishes and making a smoothie for my break with chocolate protein powder, berries frozen, and almond milk which I made before making my pasta to eat after unpacking groceries. Late on ch6 homework, but will start it tonight after work and finish it tomorrow before the exam2 at 3 pm. That is for chemistry even though I plan on dropping it, want to see if it helps taking exam in person. Left for work by 220 pm. Had 3rd cup of coffee while eating my first bowl of pasta for breakfast, and plan for 4th cup at work. Didn't calculate creamers, so probably none tonight. I still need to do the client's soap notes and receipt for her 2/10 MLD massage she already paid for. Very nice lady. Plan on making more from her when she gets her BBL. </t>
  </si>
  <si>
    <t>bowl of pasta 4-3-21 recipe
(1173	57.75	29.5	46.5	25.5	7.25	961.25)
1/4 cup mozz G&amp;G
(100	6	4	8	2	0	280)
1/4 cup parmesan cheese
(40	3	2	4	0	0	200)
2 chocolate chip cookies of roommates
(240	10	6	2	34	2	200)
bowl of pasta 4-3-21 recipe
(1173	57.75	29.5	46.5	25.5	7.25	961.25)
1/4 cup mozz G&amp;G
(100	6	4	8	2	0	280)
1/4 cup parmesan cheese winco
(40	3	2	4	0	0	200)
1 serving pea protein chocolate Olly
(130	2	0	18	9	2	320)
1 1/4 cup mixed frozen berries
(133.33	8.33	1.67	1.67	33.33	15.00	0.00)
2 cups almond milk Silk
(45	1.75	0	0.6	0.6	0	70)
3 coffee creamers carmel international delight
(105	4.5	0	0	7.5	0	45)
=1173+100+40+240+1173+100+40+130+133.3+45+105
=57.8+6+3+10+58+6+3+2+8.3+1.8+4.5
=29.5+4+2+6+29.5+4+2+0+1.7+0+0
=46.5+8+4+2+46.5+8+4+18+1.7+0.6+0
=25.5+2+0+34+25.5+2+0+9+33.3+0.6+7.5
=7.25+0+0+2+7.25+0+0+2+15+0+0
=961.3+280+200+200+961.3+280+200+320+0+70+45</t>
  </si>
  <si>
    <t>Mission tortilla rounds chips serving 1 oz ~10 chips</t>
  </si>
  <si>
    <t>nachos 2tbs olive oil/1 pkg beyond beef/2 bell peppers orange and red, makes 3 bowls</t>
  </si>
  <si>
    <t>bowl nachos</t>
  </si>
  <si>
    <t xml:space="preserve">nachos beyond meat/orange and red bell peppers/2 tbs olive oil
(448.00	33.33	8.00	27.33	11.00	3.67	469.00)
1/2 cup mozzarella cheese Winco brand
(160	10	7	12	2	0	380)
3 tbs sour cream Winco brand
(180	15	10.5	3	6	0	45)
serving of tortilla chips mission tortilla rounds ~10 chips
(140	7	1	2	18	2	90)
nachos beyond meat/orange and red bell peppers/2 tbs olive oil
(448.00	33.33	8.00	27.33	11.00	3.67	469.00)
1/2 cup mozzarella cheese Winco brand
(160	10	7	12	2	0	380)
3 tbs sour cream Winco brand
(180	15	10.5	3	6	0	45)
serving of tortilla chips mission tortilla rounds ~10 chips
(140	7	1	2	18	2	90)
6 corn tortillas Guerrero
(300	3	0	6	63	6	60)
1/2 cup mozzarella cheese Winco brand
(160	10	7	12	2	0	380)
=448+160+180+140+448+160+180+140+300+160
=33.3+10+15+7+33.3+10+15+7+3+10
=8+7+10.5+1+8+7+10.5+1+0+7
=27.3+12+3+2+27.3+12+3+2+6+12
=11+2+6+18+11+2+6+18+63+2
=3.7+0+0+2+3.7+0+0+2+6+0
=469+380+45+90+469+380+45+90+60+380
</t>
  </si>
  <si>
    <t xml:space="preserve">Woke up around 3 am and had some pain in my lower back, went back to bed and woke up at 4 am and got out of bed, pain in my lower abdomen and lower back. I drank half a bottle of water before bed when my lower back and abs started hurting a little around 1130 pm when I went to bed. Drank another half of bottle of water around 3 am, before going back to bed. I am still bleeding, a clot fell out when peeing around 3 am. At 4 am downed a bottle of water, made my cup of coffee early. My pain wasn't its worst at that time, I checked the SOAP notes I wrote last night before bed for the client yesterday morning to see if I could download it as it wasn't working again with the fill in part of the submissions. My email showed it completed, but the jotform online site was showing empty data in the form to download. It worked so downloaded it. I was going to email it to client but started feeling a lot more intense pain in lower midsection.  In a lot of pain around lower abdomen and lower back. Maybe I am gluten intolerant now that I haven't had it for so long. I had a deli chocolate cookie, 2 yesterday of the roommates yesterday, and when I had the last terrible back and lower abdominal pain I also was eating gluten and a lot of processed sweets around the time of the cheesecake. I didn't eat anything spicy. It could also me my uterus lining aching as its still bleeding and stress from having to study for this exam today and finish a late homework to prepare for the exam. It was a lot of pain. I didn't have to pee and had a tiny BM. Started feeling like I might vomit after drinking my coffee. By 445 am, I squatted above the toilet to see if I could have another BM, but instead a whole bunch of blood clots poured out and it lifted a weight from my lower back and lower abs. No BM, but a lot of blood. Then started bleeding more. Didn't pee either, like the water went straight to my uterus and emptied out a bunch of the lining clotting along it. The fibroids likely block the blood and it forms clots. This is the longest menstruation I have had in a while. Like years as a while. I only remember bleeding non-stop for weeks when on blood thinners when being treated for Hodgkins Disease and having a blood clot in my upper thorax. A DVT. Deep Vein Thrombosis. After the lymph node removal in my neck back in 2014. Went to bed by 5 am and woke up at 615 am, so I can add another hour to my sleep. I was still bleeding heavy, and some clots, but not as much pain. I didn't have a BM all morning, was finishing ch6 homework, and finished it by 12 pm with a 20 minute break to make some beyond meat with olive oil and 2 bell peppers orange and red with 1/2 cup mozzarella cheese, and some tortilla rounds chips and 3 tbs sour cream at around 1030 am. Because I needed a break and the worker of the landlords was over. He looks like a creep. Still here. 2 hours till I leave to go to the campus for exam 2. I need to take my measurements, so I will now. I have already had 3 cups of coffee since 430 am when I first got up, and 2 after 630 am. Had my 4th cup of coffee before taking a shower around 130 pm and leaving for the exam at 2 pm with no creamer in any of them coffees as I use the work creamers and am not at work. Was able to go to the exam site and study up using my made flashcards, didn't have any for chapter 6. I liked the exam on paper and person instead of online. Could have a physical copy and write on it, instead of looking at a screen. Got as many points as possible. After the exam and on campus, I dropped a lot of blood clots on my mensa and am bleeding heavy. My complexion looks pale in the bathroom lights there. I am probably very low on iron. But the pain isn't as intense as earlier in the day. When I got back I put on a couple of the window decals, but there are bubbles under the stickers. I thought they would be removable window stickers. They still look good enough to get the promotion across. I put on the covid one for happy hour add-on services, and the one for special events with women in robes toasting and one wearing a tiara and a biracial couple in the sauna wearing robes and smiling all of them. I have to look into designing the Mother's Day window decal. I also need a car wash, but its white, so not noticeable as long as not close. I made 3 quesadillas the normal style on break and we worked on our labs in lab on our own for remaining time. The professor told me I did well on the exam in chat during quiet time, she must have been grading them. Very nice lady. Fortunately the exam wasn't that difficult and my mind didn't blank. thankfully. Went to bed shortly after class ended around 930 pm. </t>
  </si>
  <si>
    <t>almond breeze milk, 1 serving is 1 cup, https://www.instacart.com/landing?product_id=42844&amp;retailer_id=105&amp;region_id=237880178&amp;mrid=115840673&amp;utm_source=instacart_bing&amp;utm_medium=sem_shopping&amp;utm_campaign=ad_demand_shopping_food_ca_losangeles_bing&amp;utm_content=accountid-146005746_campaignid-367693851_adgroupid-1210562746126611_device-c&amp;utm_term=matchtype-e_keyword-_targetid-pla-4579259774669206_locationid-&amp;msclkid=250e7d27b3b617f2867a1d49f0709745</t>
  </si>
  <si>
    <t>Dates, 4 dates: https://www.calorieking.com/us/en/foods/f/calories-in-fresh-fruits-medjool-dates/-R74ltwGQI-2ffcxo6pFCA</t>
  </si>
  <si>
    <t>hersheys chocolate syrup, 4 tbs, https://www.calorieking.com/us/en/foods/f/calories-in-syrups-chocolate-syrup/YWolsx2JTXiskD9ar4lDHw</t>
  </si>
  <si>
    <t>feta cheese 4 1" cubes or about 1/4 cup, https://www.calorieking.com/us/en/foods/f/calories-in-cheese-feta-cheese/VSnj7K8lSoOTI1TpD_iCzw</t>
  </si>
  <si>
    <t xml:space="preserve">bowl of nacho meat
(448.00	33.33	8.00	27.33	11.00	3.67	469.00)
3 tbs sourcream
(90	7.5	5.25	1.5	3	0	22.5)
1/2 cup mozz cheese winco brand
(160	10	7	12	2	0	380)
almond milk 2 cups by Almond Breeze
(60	5	0	2	2	2	340)
hersheys syrup 4 tbs
(180	0	0	0	48	4	20)
Dates four Dates
(266	0.1	0	1.7	72	6.4	0)
feta cheese 4 cubes 1"
(179    14.5    10.2    9.7    2.8    0    759)
2 servings chips
(280	14	2	4	36	4	180)
feta cheese 4 cubes 1"
(179    14.5    10.2    9.7    2.8    0    759)
1/4 cup pasta 3 cheese sauce prego
(35	0.75	0.25	1	5.5	0.5	240)
six corn tortillas (Guerrero)
(300	3	0	6	63	6	60)
1/2 cup mozz cheese winco 
(160	10	7	12	2	0	380)
=448+90+160+60+180+266+179+280+179+35+300+160
=33.33+7.5+10+5+0+0.1+14.5+14+14.5+0.75+3+10
=8+5.25+7+0+0+0+10.2+2+10.2+0.25+0+7
=27.33+1.5+12+2+0+1.7+9.7+4+9.7+1+6+12
=11+3+2+2+48+72+2.8+36+2.8+5.5+63+2
=3.67+0+0+2+4+6.4+0+4+0+0.5+6+0
=469+22.5+380+340+20+0+759+180+759+240+60+380
</t>
  </si>
  <si>
    <t xml:space="preserve">Woke up at 430 am and got out of bed, soaked my undies in blood. Bled a lot, but no middle of the night back or lower ab pain, because I drank almost a whole bottle of water before bed. Cleaned up some pet messes. Realized I think I have an exam this week in Genetics and its already Wednesday. I need to look that up. We don't, but do have homework due after Spring Break. Going to go back to bed. I have an appointment at 630 pm tonight after work. Laid in bed until 515 am then got up and made coffee and fed the babies and gave Mr Growly his meds. Paid the electric and two car payments. My elecetric bill is $40-$50 higher now that it is in the roommate's name. The gas bill is already paid. Got paid from my full time job today and it was a good amount. The next one will be similar to the last one in February due to the missed day on Easter Sunday. And this last one had an extra day for last half of March having 31 days in it from 16th - 31st. Haven't heard from this new client on Friday who wants me to go to Wildomar on Friday with the Friday traffic, and make it in 1/2 hour after my earlier client's appointment cancels. I emailed her when I got the appointment booked, but haven't heard a reply. She lives outside the bounds of time and distance, and might have to charge her extra if the drive time is a while or cancel for that reason alone and call her or call her before since she is new. After paying some bills had a BM reg size. Feeling dehydrated. Need to drink more water, but have been bleeding a lot, the water goes right to the uterus. I emailed the client and will see if she replies, confirms, cancels, calls, etc. I will pay my last smileDirect invisible braces payment this month, for a product that doesn't work well and not worth $2250. I started that early April 2019 with a $250 down payment and $80 a month. Made a Mother's Day promo Window decal and its on its way. Should be here in time to market on my van for Mother's Day. Ate the last of nachos with chips sourcream and cheese mozz, dishes, showered, plan on eating chips with hummus today but fresh hummus and bringing my own chips. Forgot measurements until getting ready and after shower, had enough time. Took measurements after eating and 2nd cup of coffee. No 3rd cup by this time, even though got up early at 430 am, still got 7 hours from 930 pm to 430 am. Also, cramping slightly, been losing weight, could be weather change, added stress, working more on the side, and eating the same or less, also losing a lot of blood. Non-stop now. Heavy day to start see by the end if tapering off. It has cycles now. Non stop menstruation now since the 18th of March and it is now the 7th of April. For lunch I had Hummus Republic and found out the zesta feta hummus, was actually just zesty feta. Had a small container to go and its spicy. I only ate about 1/4 cup of it with my tortilla chips because its spicy. I also had their chocolate vegan shake made with 4 dates, 4 tbs hersheys chocolate syrup, and 2 cups of almond milk by Almond Breeze the regular sweetened kind. It was good but I felt tired after drinking it.  Only had 1 massage for an hour after it then home. I have the 630 pm MLD massage in Yorba Linda I will leave by around 545 pm to get to. When home, had to check security cameras because the roommate said he saw some cop cars out in the alley parked for a while. Checked and around 2:03 pm to about 2:20 pm there was a narc car and a cop car and a bummy guy indistinguishable by distance on a bike hanging out in the alley, possibly trying to steal supplies from the plumber's truck that was in the alley. Who knows? I talked to one of the estheticians at work to start the morning, because I heard them talking about wanting to earn extra money. And she is considering renting my esthetician supplies for 20% of her service cost to do facials and waxing on the side or with me for a mother's day special with microdermabrasion facial, waxing, massage, for $200. I can now make some window decals for that one. Also, had 4th cup of coffee when I got home and updated this data. I am still bleeding heavy and had blood clots earlier in the day, it was seeming lighter around afternoon, but then gushed more during the day.  Before leaving I also had 3 quesadillas, with a side of feta cheese and pasta sauce. Stayed awake until I put the clothes in the dryer, and then went to bed around 10 pm. </t>
  </si>
  <si>
    <t>2 Neopolitan icecream sandwhiches Great Value brand</t>
  </si>
  <si>
    <t>5 snack size snickers candy bars about 2 reg sized, https://www.calorieking.com/us/en/foods/f/calories-in-chocolate-snickers-chocolate-bar/IYBahNeOTOCVfqHTdgauRw</t>
  </si>
  <si>
    <t xml:space="preserve">Woke up at 430 am and got out of bed 15 minutes later. Cleaned some pet messes, made 1st cup of coffee, bled really heavy during the night again, made the babies their food and gave Mr. Growly his heart meds. He was under the bed whole time. He might be hot, its not that hot inside the house, its a little warm but chilly outside at this time. Mr. Goody and Princess went outside to potty and came in right away instead of lingering and making me wait like they do when I have them potty outside at night before bed. Princess does anyways. Got some homework and lectures to view and write down notes on in genetics and labs to work on for chemistry. Next week is spring break, and we have a little break that I can use to catch up on work. I finished the part 2 lecture and wrote in the ppt slides of blanks for ch9 by 645 am. The roommate was home 15 minutes before that time. This instructor will be doing a live lecture but also has a recorded lecture up to view. We are looking at ch10 for this lecture. After filling in the blanks, I need to read the chapter. Same with chapter 10. Its good to study from, but feel like there is more depth to the content in the book than in the lectures. Good motivation to read the book and find that other information. Her study guides are good too. Little additional info is added and the many interjections of ums are distracting. She is probably distracted by her own recording or video when recording herself talking on the recorded lectures. Reminds me of a classmate who went by Caiti, in my grad bioinformatics research course who railed my lecture post for choppy tech and microphone problems, but her lecture had 1000s of 'um' s in it that otherwise I had to call brain farts and the instructor said it was offensive. Then, don't have us critique other people who leave negative criticism and allow us to criticize their work. The instructor of that course was retaliating because I told her she was allowing bullying in the discussion posts. The most annoying thing about online education is the discussion posts for the classmate criticisms and public posts. Every course has to post something about the way to post like nettiquette to follow or no bullying etc. Going to read or look through chapter 9 and see what chapter 10 is about. The morning lecture I will participate in, but know we won't finish it, because this same instructor has to pause every slide to get the participants in the zoom to navigate to the emojis to give a thumbs up or to the microphone to turn it on to say they understand or ok to move on. Such a stressor when time to get things done isn't being maximized. Like the dryer you think will take an hour to dry the clothes but you have to run it through 3 hours of cycles or more to get the clothes dry. I do like and respect this instructor, but the lectures can almost be avoided or not fill in the blank, because they make me anxious to pause or switch screens to fill in the blanks, and miss anything additional added, that isn't really additional information, only a few slides have other information to the slide. Was feeling tired, but decided to wash the blankets because Mr. Growly got poop stuck to his butt and dragged it on the bed blankets, didn't read the ch9 or ch10, but looked over the content on DNA structure and analysis and replication. Ch 7 we skipped, but it actually looks interesting because it discusses linkage in chromosomes and reminds me of linkage analysis research reports that didn't get much discussion but were an area to test for disease specific origination in linkage of genes on the chromosomes and the statistical analysis of the genes in my particular research studies' studied for my research on Uterine leiomyomas and gene origination or pathogenesis of the disease. There weren't many examples or information to google that could explain it better. Might read that one before reading the ch9 and ch10 genetics book. Did the dishes, and almost forgot to take measurements. Had a lg BM around 610 am while finishing the genetics ch9 part 2 lecture. Then did the laundry folding and dishes around 8 am. The workers of the landlord arrived around 8 am to work on the next apartment in this duplex. I was going to clean and cut the hairs on Mr. Growly's poodle butt before lecture but he hid under the bed. I took the pet staircase away from the bed so they wouldn't get on the bed without covers on it. They are in the wash. For breakfast, before putting blankets in the laundry around 8 am, I had 3 quesadillas with mozz Winco brand and Guerrero corn tortillas, and 1/4 cup of the marinara sauce and parmesan cheese to dip in. The prego 3 cheese sauce. and winco parmesan cheese. I had my 3rd cup of coffee after finishing the ch9 part 2 recorded lecture to write the fill in the blank answers into. The ch10 lecture starts at 9 am live, but there are recorded versions. I felt tired after that lecture and negative about the fill in the blank type format and having to read the chapter from the book to understand better. It made me tired mentally and the reason I was going to take a nap but washed the blankets instead. There was some useable area, Mr. Growly only got a little of his poop stuck to his but on the pillow cover he lays on, not the bed. But I did those chores and made breakfast at that time and didn't feel tired. Also, had read through the overview of the chapters 7, 9, and 10. Seems interesting. Finished live lecture at slide 24 of 32 then finished the recording to complete fill in the blanks on ch10 ppt for genetics by 1040 am. I ate 5 snickers snack size candy bars, 2 neopolitan walmart brand ice cream sandwhiches, and 2 poptarts shortly after around 11 am, then began reading reading some more of chapter 7 only the first section or 2 on linked genes. Nothing in the chapter on linkage analysis, but that the genes being close to each other and on the same homolog make them linked genes. I skimmed the book and found the back section on gene therapies interesting, read most of it, took a 15 minute nap around 12 pm, then woke up and read the rest of it. Interesting, on how they use in vivo and ex vivo gene therapies or technology to delete or edit genes and replace with inserted normal genes into the deleted or inhibited genes to reproduce normal cells in the body. It is easier to use blood for in vivo as it can be extracted and treated with normal genes and reinserted in many billions of copies to flood the system into reproducing the normal genes instead of the mutant deadly variants born with. But for tissue cells with various compositions, it is more difficult to get the right cells to take up the treated gene therapies, and ex vivo or vectors using viruses such as the common cold virus and lento virus and even HIV all deactivated can bind with the normal gene DNA copies to be inserted into cells and produce healthy genes that can cure or temporarily cure a person. Although, there is a high rate of death and complications that give rise to death in some trials due to auto immune response. Stem cells and such can be implanted with normal cells to enter the body and not be rejected by immune system. There are genes that have mutant variants that are copied and placed into people with a disease such as leukemia that will deactivate the binding activity responsible for HIV and prevent it from forming and cause the person to be cured. When doing my own research on data Zinc Fingers type genes came up often and it explained these are binding motifs of genes that can replace or inhibit some genes. There is still much work to be done to prevent the caveats like activating certain promotor genes that cause one illness while trying to prevent another. And also the safer deactivated viruses like the cold and lentovirus can only carry up to 10kb long genes, when many human genes are much longer in sequence length than that capacity. It was Study Case 6 of 6 studies that all are about 1/2 a chapter long to read, but interesting. I am going to work on my lab due in 2 days now. We don't have lecture in chemistry today but will have a lecture in the lab today, because the other part of the class is taking their exam 2 today at 3 pm that didn't take it Tuesday when I did. The workers and the landlord and his wife came by from what I saw on the cameras outside thought it was his son and his girlfriend. The wife dyed her hair dark and its long. Wasn't expecting guests, and them fiddling with the other side made our electricity go out powering the lights in the living room. I was trying to do the lab but had to repeat everything and didn't put pants on all day, lounging around on my rag and my day off. So the landlord and his workers came inside because the roommates told them to and I wasn't dressed decent for them to be shown where the outlet is. So I had to put on my pajamas. My roommate didn't tell them I need to put my pants on or that they should wait. Its retarded. They are renting out the other side once they are done working on it for the next month and a half for $1800/month. That's $300/month more than here. The roommate wants to have it rented out to someone we know because he doesn't want to have to give up one of his parking spots. But that is expensive. I don't have enough clients to pay that sort of additional rent and utilities a month. He wouldn't be able to pay the utilities and my share of rent on this side either. It would have to be a rented apartment with a studio inside, but not a commercial business since its residential as far as I know. </t>
  </si>
  <si>
    <t xml:space="preserve">six corn tortillas (Guerrero)
(300	3	0	6	63	6	60)
1/2 cup mozz cheese winco 
(160	10	7	12	2	0	380)
1/2 cup prego 3 cheese sauce
(70.00	1.50	0.50	2.00	11.00	1.00	480.00)
1/4 cup parmesan cheese
(40	3	2	4	0	0	200)
2 stawberry poptarts
(400	10	5	4	74	1	240)
5 snack sized snickers candy bars approx 2 reg sized candy bars
(500	24	9	8	66	2	240)
2 neopolitan icecream sandwhiches
(300	10	6	4	38	2	240)
10 chips approximately
(140	7	1	2	18	2	90)
3 tbs sourcream
(90	7.5	5.25	1.5	3	0	22.5)
1/4 cup mozzarella cheese Winco brand
(80    5     3.5     6     1     0     190)
bowl of nachos same recipe as the other day 4-5-21
(448.00	33.33	8.00	27.33	11.00	3.67	469.00)
8 corn tortillas
(400	4	0	8	84	8	80)
3/4 cup mozz cheese winco brand
(240	15	10.5	18	3	0	570)
=300+160+70+40+400+500+300+140+90+80+448+400+240
=3+10+1.5+3+10+24+10+7+7.5+5+33.3+4+15
=0+7+0.5+2+5+9+6+1+5.25+3.5+8+0+10.5
=6+12+2+4+4+8+4+2+1.5+1+27.3+8+18
=63+2+11+0+74+66+38+18+3+0+11+84+3
=6+0+1+0+1+2+2+2+0+190+3.7+8+0
=60+380+480+200+240+240+240+90+22.5+190+469+80+570
</t>
  </si>
  <si>
    <t>Bluecheese Centercut brand, serving 1 oz 28 g, total pkg is 5, so about 2 tbs</t>
  </si>
  <si>
    <t xml:space="preserve">2 bowls of nachos
(896.00	66.67	16.00	54.67	22.00	7.33	938.00)
serving chips Mission tortilla rounds
(140	7	1	2	18	2	90)
6 corn tortillas Guerrero
(300.00	3.00	0.00	6.00	63.00	6.00	60.00)
1/2 cup mozz Winco brand
(160.00	10.00	7.00	12.00	2.00	0.00	380.00)
4 tbs sourcream
(120.00	10.00	7.00	2.00	4.00	0.00	30.00)
2 tbs blue cheese
(110.00	9.00	5.00	6.00	1.00	0.00	260.00)
banana
(105	0	0	1	27	3	1)
poki bowl approximate
(982.50	13.78	2.75	38.80	174.75	13.05	1283.00)
orange
(81	0	0	2	21	4	2)
7 coffee creamers
(245	10.5	0	0	35	0	105)
=896+140+300+160+120+110+105+982.5+81+245
=66.67+7+3+10+10+9+0+13.78+0+10.5
=16+1+0+7+7+5+0+2.75+0+0
=54.67+2+6+12+2+6+1+38.8+2+0
=22+18+63+2+4+1+27+174.75+21+35
=7.33+2+6+0+0+0+3+13.05+4+0
=938+90+60+380+30+260+1+1283+2+105
</t>
  </si>
  <si>
    <t>Woke up at 515 am and got out of bed 5 minutes later, not by alarm, Mr. Goody barked to be on the bed, Mr. Growly bullies him and keeps him from using the stairs. I made Mr. Growly his meds and fed the babies after cleaning a few pet messes, then made my coffee. Had a lg BM after 1st cup of coffee and worked on the lab, did 3 trials of each of the 25-20-15 mL HPK and all same changes then entered in all data for part I and the calculated avg molarity of the standardized NaOH that is off by quite a bit from 0.1 M NaOH, at 0.003291 M NaOH, but did it correctly as far as I can tell. Then finished the 2nd cup of coffee. Also cancelled the Wildomar appointment at 8 pm after my 530 pm MLD. Too far and drive time says 30 minutes to an hour to get to client. That is beyond the limits of price and drive time. I apologized in the cancellation. I haven't talked to her or heard any replies from the client via email or in response to the square notification she got in cancelling or editing the appointment. It will be dark at that time and also don't feel comfortable going to a new client I haven't talked to at darkness. I ate the other 2 bowls of the nachos by the end of the day. The last bowl after the client at 530 in Riverside/Corona area and after getting groceries from Sprouts. I added 2 tbs blue cheese and 2 tbs sourcream. The first nachos bowl was for breakfast with a serving of tortilla chips and 2 tbs sour cream. For lunch I had a poki bowl with added albacore tuna pretty much the same way except no edemame and added sweet corn that tasted gross. And didn't eat.  This poki bowl had salmon, albacore, blue fin tuna, misago, pineapples, sweet corn, wasabi, brown rice, and cucumbers with mild house sauce similar to soy sauce and teriyaki. I didn't eat all of it. At work I had 7 creamers, 6 were french vanilla about the same calories as the carmel ones, the 7th was a carmel one, or actually the 4th one was. I had 2 cups of coffee there and 2 at home totalling 4 cups all day. Also had 3 quesadillas with the last bowl of nachos. And a banana. Took back my clock that I got almost a week ago or about a week ago. I planned on taking it back because it doesn't work when not plugged in, it says it would, but only keeps the time in place running in the background. Pointless to bring to massage clients to ask to plug in. Yesterday I was on a medium light bloody flow of this very long lasting menstrual cycle and today very light, pink blood, not quite spotty but not flowing a lot of blood. Still had a few blood clots yesterday even though medium light. They were tiny clots. I plan on eating an orange some time between 8:20 PM and before I go to bed, hopefully accomplished on the lab due tomorrow night by 10 pm. Sent out receipt and SOAP notes of client by 8:50 PM and noticed the wrong receipt number and date and time on last receipt and sent client the right data. I was probably rushed and sending it out before work. Because it was in the morning. Went to bed a little after 11:30 pm after doing the virtual part of the lab and calculating molarity.</t>
  </si>
  <si>
    <t xml:space="preserve">8 corn tortillas
(400	4	0	8	84	8	80)
1/2 cup mozz provolone G&amp;G brand cheese
(90	6	3.5	7	2	0	200)
1 avocado
(322	29	4	4	17	18	14)
3 bananas
(315	0	0	3	81	9	3)
1 orange
(81	0	0	2	21	4	2)
1 serving pea protein Olly chocolate
(130	2	0	18	9	2	320)
2 cups Silk almond milk
(60	5	0	2	2	0	230)
2 neopolitan ice cream sandwhiches of roommates
(300	10	6	4	38	2	240)
3 coffee creamers
(105	4.5	0	0	7.5	0	22.5)
=400+90+322+315+81+130+60+300+105
=4+6+29+0+0+2+5+10+4.5
=0+3.5+4+0+0+0+0+6+0
=8+7+4+3+2+18+2+4+0
=84+2+17+81+21+9+2+38+7.5
=8+0+18+9+4+2+0+2+0
=80+200+14+3+2+320+230+240+22.5
</t>
  </si>
  <si>
    <t>Woke up at 5:30 am by alarm tired, but the 1st cup of coffee woke me up. Gave Mr. Growly his meds and fed the babies, and cleaned up one pet mess. They went out right before I went to bed last night and didn't make many pet messes in the house. I should have a few hours after work and after the private client in South Corona to complete the lab. Few calculations. Did the laundry before reviewing what else needs to be completed in the lab. I ate 2 quesadillas with 1 whole avocado and then made 2 quesadillas for lunch. Almost forgot my measurements, and took those running late for work with waist trimmer on and lifted it up for the abs fat after eating my meal and drank 3 rd cup of coffee on way to work, had 4th cup at work with 3 creamers french vanilla. Also 2 bananas and an orange, and packed an avocado but didn't eat it, got home and thought my appointment was at 530 but checked on my lunch break for 330, so rushed in with worker vehicles and landlord's in alley, got out the hydrocollator. At client's on time, a A hole looking tall white pig looking guy with a german shepard was giving me a dirty looklike a mad dog stare down across the street then said hi like he didn't stare me down, when I turned away, because I gave him an equally dirty look right back to that white guy looking at me like I'm some sort of thug or girl who should get hit by his piece of shit stare down of me as a white guy. Not my type of clients. I am just going to my client's house to provide massage services and some scumbag white guy wants to look at me like that. My client is from a nice middle class black family too. I ignored himbut thought about him while massaging my client and afterwards saw a white lady walking by on the same opposite side of the street who made eye contact with me and smiled then drove up the street on the way out and saw an older white guy a little older than the other white guy working on his lawn what attempted to make eye contact with me while driving by and smile. That was odd, probably all part of the same household. The hotpacks relaxed her back a lot, that and the hot stones, she fell asleep some with the hot packs on her back. Got home, very low on fuel, need to get some more on the way to work tomorrow. Made a protein shake of 1 banana 2 cups almond milk and 1 serving Olly brand chocolate pea protein. Drank that while entering this data and then working on my homework. Figured out how to get the molarity right, so it was closer, I was multiplying by the standard molarity, when I needed to just divide by the discovered liters to titration equivalence and divide the moles by that amount. Then figured out the net ionic equation at work on scratch pad. Need to fill in and answer the report problems now and upload the attached lab notebook sheets to the report before midnight or 20% off on points. It is almost 7 pm now. The roommate's shoulder hurts and wants me to massage him instead of using the massage gun, biofreeze, or a hotpack. I told him when he gets back from working out and when I am done with my homework. The instructor extended the deadline for this assignment to the 15th, and I found out a few hours before it was due by checking announcements, because I thought she might. I got stumped on the last 2 questions, because I wasn't sure how they were worded what it or they were asking. It seemed like it was asking to titrate the reverse for the molarity of an acid from an approximated base, but the acid is solid so must be dissolved, then how to discover the molar mass given both are not really known if standardized means approximate molar mass. Also, the table fill in was confusing to figure out what mass or substance is unknown solution but we can find the molar mass of the base from the given molarity of the acid. I wasn't sure what it was asking. Turned it in after emailing instructor. She was super cool and gave me extra points on my exam we took earlier probably because she had to curve it for the rest of the class. Not sure, didn't ask. Just asked about the questions that stumped me. Went to bed around 11 pm after restarting the dryer. My mensa was tapering off all day light pink spotty with excess liquid as normal. It seems like it is getting back to normal. again</t>
  </si>
  <si>
    <t>mozzProvolone Good &amp; Gather 1/4 cup serving</t>
  </si>
  <si>
    <t>vegetable oil soybean oil Target brand, serving is 1 tbsp</t>
  </si>
  <si>
    <t>1 bowl of pastafrom 4-11-2021 recipe</t>
  </si>
  <si>
    <t>pasta pot recipe 4-11-2021, makes about 6 bowls filled, beyond meat 1 pkg, 2 pkgs barilla gluten free fetuccini, 1 jar prego 3 cheese sauce, 1 red bell pepper, 1 green bell pepper</t>
  </si>
  <si>
    <t>protein smoothie
2 bananas
(210	0	0	2	54	6	2)
1 serving chocolate protein powder
(130	2	0	18	9	2	320)
2 cups almond milk
(60	5	0	2	2	0	230)
3 coffee creamers
(105	4.5	0	0	15	0	45)
3 1/2 quesadillas with mozzProvolone and bluecheese
7 quesadillas Guerrero
(350	3.5	0	7	73.5	7	70)
3/4 cup mozzProvo cheese
(270	18	10.5	21	6	0	600)
two cubes or about 1/4 cup or large tbs bluecheese 1 serving
(110.00	9.00	5.00	6.00	1.00	0.00	260.00)
avocado whole
(322	29	4	4	17	18	14)
bowl pasta 4/11/21 recipe 
(686.17	21.42	4.83	25.00	103.75	7.17	663.33)
parmesan cheese 2 tbsp
(20	1.5	1	2	0	0	100)
glass beringer red crush wine Main&amp;Vine sublabel
(195.2	0	0	0	6.4	0	0)
glass beringer red crush wine Main&amp;Vine sublabel
(195.2	0	0	0	6.4	0	0)
bowl pasta 4/11/21 recipe 
(686.17	21.42	4.83	25.00	103.75	7.17	663.33)
glass beringer red crush wine Main&amp;Vine sublabel
(195.2	0	0	0	6.4	0	0)
=210+130+60+350+270+110+686.2+20+195.2+195.2+105+686.2+195.2+322
=0+2+5+3.5+18+9+21.4+1.5+0+0+4.5+21.4+0+29
=0+0+0+0+10.5+5+4.8+1+0+0+0+4.8+0+4
=2+18+2+7+21+6+25+2+0+0+0+25+0+0+4
=54+9+2+73.5+6+1+103.75+0+6.4+6.4+15+103.8+6.4+17
=6+2+0+7+0+0+7.17+0+0+0+0+7.2+0+18
=2+320+230+70+600+260+663.3+100+0+0+45+663.3+0+14</t>
  </si>
  <si>
    <t xml:space="preserve">Woke up at 6 am not by alarm, and cleaned pet messes, one of the babies belly is upset, fed Mr. Growly his meds and the babies their food, then made my coffee and made the SOAP notes and receipt for client and emailed them to her. The roommate came in complaining about his shoulder Right side, told him I would massage him after work. I also need to get fuel in my car as it is very low before I go to work. Had a second cup of coffee and caught up on yesterday's notes for this database. Folded laundry and made a smoothie. I had a late start going to pack tortillas, an avocado, and cheese for later at work on my break. Had 3rd cup of coffee after folding linens and taking my measurements. No BM by 3rd cup. Felt like I might, but too close to getting ready. Didn't shower yesterday or today it looks like. But didn't sweat and my arms are always clean and my clothes. Finished 3rd cup of coffee after measurements and measurements after my protein smoothie with 2 bananas, 1 serving chocolate protein, and 2 cups almond milk. Packed quesadillas with bluecheese and mozzprov mix for lunch with quesadilla maker and roll paper towels. Had a reg BM after 3rd cup of coffee and before 8 am. The workers were next door working and didn't have a spot to park my van at first. I did the dishes and brought in the hydrocollator from the car and used it to massage my roommate. I uploaded a video of it about 35 minutes long on youtube my janisharris1982@gmail account. Too long for instagram. His shoulder has been aching all the way to his upper trapezius and levator scapulas and scalenes and rhomboids. Used 4 hotpacks in total on his back and chest, biofreeze, infrared light with CBD cream, and biofreeze for his R shoulder ubns R side and his Left pecs and anterior deltoid that also was tight and ached. Went to Winco to get some more water, and disinfecting wipes, wet catfood, large size laundry detergent, paper towels and toilet paper and a cheap bottle of red blend Beringer wine for $5. Drinking it now. Its like a wine spritzer, very mild. Also with water to drown it out. It is spring break but have some notes and homework to catch up on and flash cards to make. Not tonight, though, because my creative night, going to put out more snazzy blogs and promotions and link the blogs to my recent video of massage therapy healing a shoulder injury. At work I had 3 creamers I didn't note above, in my 4th cup of coffee. I had 3 cups of coffee before going to work this morning. I had a bowl of pasta I made before massageing the roommate. I posted it to my janis@themassagenegotiator blog and youtube site and also on instagram in bits and pieces at janisharris1982. 'The Roommate Massage that Heals' is the youtube search. Had 2 glasses of wine by 9:33 pm. Had a bowl of pasta after massaging the roommate. He laid on the table with the hot packs soaking on his chest while I ate, then disinfected and laundered the linens and hot pack covers and put the items back in the work truck other than the hydocollator and hot packs in the laundry. Made a new blog on memory and massage helping with it and if someone forgets a special occasion to get regular massage to improve their memory. Then entered in the data of the day's diet into this database and notes for the day. Went to bed around 11 pm after a 3rd glass of wine. Menstruation is still light but shedding the lining. </t>
  </si>
  <si>
    <t>parmesan cheese shredded 1/4 cup serving Winco</t>
  </si>
  <si>
    <t>Wendys large center cut fries no salt added https://fastfoodnutrition.org/wendys/natural-cut-fries/large</t>
  </si>
  <si>
    <t>85 degrees celsius black forest cake, http://www.85cbakerycafe.com/wp-content/uploads/Nutrition-Facts.pdf</t>
  </si>
  <si>
    <t>nacho cheese sause about 1/4 cup Wendy's brand, generic nutrition: https://www.calorieking.com/us/en/foods/f/calories-in-sauces-cheese-sauce-ready-to-serve/3llnQ7rURJaqfD_4L7nhqQ</t>
  </si>
  <si>
    <t xml:space="preserve">bowl pasta 4-11-21 recipe
(686.17	21.42	4.83	25.00	103.75	7.17	663.33)
3/4 avocado some was cut off that held black in it
(241.5	21.75	3	3	12.75	13.5	10.5)
1/4 cup parmesan shredded cheese Winco
(110	7	4	10	2	0	330)
bowl pasta 4-11-21 recipe
(686.17	21.42	4.83	25.00	103.75	7.17	663.33)
1/4 cup parmesan shredded cheese Winco
(110	7	4	10	2	0	330)
wendys lg french fries
(480	23	4	7	63	6	370)
nacho cheese sauce 4 tbs
(76	5.8	2.6	2.9	3	0.2	361)
black forest cake slice 85 degrees celsius
(330	14	11	5	44	0	60)
2 tbs sourcream
(60	5	3.5	1	2	0	15)
3 coffee creamers
(35	1.5	0	0	5	0	15)
=686.2+241.5+110+686.2+110+480+76+330+60+35
=21.4+21.8+7+21.4+7+23+5.8+14+5+1.5
=4.83+3+4+4.83+4+4+2.6+11+3.5+0
=25+3+10+25+10+7+2.9+5+1+0
=103.8+12.8+2+103.8+2+63+3+44+2+5
=7.17+13.5+0+7.17+0+6+0.2+0+0+0
=663.3+10.5+330+663.3+330+370+361+60+15+15
</t>
  </si>
  <si>
    <t>Woke up at 630 am by alarm and laid in bed until 730 am, feeling groggy from the wine last night and its cloudy outside. Cloudy days make me tired. Got up and made coffee and fed the babies and gave Mr. Growly his meds, then noticed the garbage disposal wasn't turning on with the switch, the roommate noticed it last night. Likely the workers of the landlord crossed the wrong wires and turned off the power to the garbage disposal switch. Dave said Michael will be here today probably all day and he can look at it and fix it. I have a client at 11:15 am then work from 3-10 pm today. Spring break but going to catch up on notes and reading. I have a 9:40 am tomorrow and a 12 pm appointment. Want to put the hydrocollator in the van early in the morning. I got a car wash on my Charger last night before going to the Winco to get groceries or more household goods. I haven't showered in 2 days and will do that today before my 11:15 am appointment. Steve the younger one and Micheal the older one but both older than mid 50s, were trying to figure out the plug. I cleaned up all the old mouse mess from a year or two ago, because we couldn't figure out how to remove the drawers. They removed them. I cleaned it while Steve was waiting for Michael to get back from Home Depot. They tried figuring it out from about 830 am past 9 am and I have to take a shower to get to my client by 1115 am. Its kind of making me sick, they don't wear masks, so I am and I smell ash stuck to it from the guys smoking lingering on them. Haven't had a BM yet, and would like to before they start hammering and drilling and banging on the walls. And before taking a shower. Had a small BM before leaving to my client's house around 10:50 am. Got there a little after 11 am. Her daughter was leaving for Six Flags with her bf. Still cloudy out, when I came back, there were 3 trucks in the alley, the workers and landlord's and somebody else's truck. I parked behind one, before leaving for work around 2 pm the plan. Had my 4th cup of coffee at that time and the sun was coming out some. I looked at how much a harp player would cost for 3 hours in Corona, CA while waiting for client to get ready around 1115 am for June 21 6-9 pm on a Monday. To throw a nonprofit event through gigsalad.com. Got my business cards in today. They were on the front lawn, not even on the steps. Not sure if it was USPS or fedEx or who did that but got them. Measurements taken after wearing 31" waist trimmer 10:30 am-1:45 pm and before lunch pasta. Had my 5th cup of coffee at work with 3 creamers to waken up a bit, felt exhausted or run down and tired. It worked. For dinner, since I didn't pack one, I had a piece of black forest cake from 85 degrees and a large french fries from Wendy's with 2 sides of sour cream and a side of nacho cheese sauce. I gave my coworker a business card, Jenny, who speaks Mandarin and understands some Cantonese for a potential client named Amanda who called around 6 weeks ago asking if I had any massage therapists that speak Chinese. She was nice, both of them. Jenny will let me know what she called about like if she wanted me to hire massage therapists who only speak Chinese or wants a mobile massage therapist who speaks Chinese. Had a full schedule which is great. My tomorrow morning client has to reschedule but I will find out when. I see my other client tomorrow with the R knee aches and have been feeling some R knee aches myself today and yesterday that hit while in session. Got home around 1030 pm. I am expecting my window decal to arrive some time this week, I thought today or tomorrow but it might be by the 16th. I have to check my email.Went to bed around 1115 pm</t>
  </si>
  <si>
    <t>lindt chocolate stick approx 3 balls in a stick size, https://www.calorieking.com/us/en/foods/f/calories-in-chocolate-lindor-milk-chocolate-truffles/vuOIO2RxRHOzJvHWtJxfRg</t>
  </si>
  <si>
    <t>welchs fruit snacks a lg bag approx 4 snack sized bags worth, https://www.calorieking.com/us/en/foods/f/calories-in-fruit-snacks-fruit-snacks-mixed-fruit/Ts5u5UOiQhWa6BrpDtDpdw</t>
  </si>
  <si>
    <t>2 bowls pasta
(1372.33	42.83	9.67	50.00	207.50	14.33	1326.67)
2 servings bluecheese
(220.00	18.00	10.00	12.00	2.00	0.00	520.00)
1/2 cup parmesan shredded cheese
(220	14	8	20	4	0	660)
1 serving chocolate protein powder
(130	2	0	18	9	2	320)
2 cups Almond Breeze almond milk
(60	5	0	2	2	2	340)
2 bananas
(210	0	0	2	54	6	2)
2 strawberry poptarts
(400	10	5	4	74	1	240)
1/2 stick of Lindt chocolate or about 3 balls worth
(220	17	12	2	16	1	35)
1 lg bag of fruit snacks
(519	0	0	4	124	0	60)
=1372.3+220+220+130+60+210+400+220+519
=42.8+18+14+2+5+0+10+17+0
=9.67+10+8+0+0+0+5+12+0
=50+12+20+18+2+2+4+2+4
=207.5+2+4+9+2+54+74+16+124
=14.3+0+0+2+2+6+1+1+0
=1326.67+520+660+320+340+2+240+35+60</t>
  </si>
  <si>
    <t xml:space="preserve">Woke up at 6:15 am but stayed in bed until after the roommate got home and my alarm went off at 630 am. Made the food for the babies and gave Mr. Growly his meds, my coffee and the roommate had already cleaned their pet messes before I got out of bed. Had to pee and still on my rag a little. Light blood or diluted blood. Spotty. Had a lg BM after 2nd cup of coffee. Had 3 cups of coffee, worked on a covid19 database analysis from some samples I downloaded and had before starting school but never got around to. I uploaded it to its own github repo and rpubs as a document. Just exploratory and finding genes with more than 3 fold or less than 40% down grade expression as well as copy number variations and compared to the other blood samples of diseased PBMCs after my client. My client missed a week and I got to her at noon on time. The workers were here as the norm for now until they are done about a month and a half was told by roommate. Client got an hour and a half because we're splitting one hour she missed due to vacation planned ahead of time and also loves the hot packs, we worked her knee. She thinks its much better. Dried the hot pad covers before next client and worked on analysis some more for covid 19. Didn't get around to studying or making flashcards or answering the study sheet. I need to stop by Target on the way back from my client later at 5 pm in South Corona because I need printer ink. I got some stuff at Stater Bros earlier. Like more pads, becuase I am still bleeding and stuff for a protein shake, just almond milk and bananas. Had a protein smoothie when I came back. I had a bowl of pasta for breakfast with bluecheese and parmesan shredded cheese. The cheese is tart and even after brushing my teeth, when I breathe and talk in my mask I smell sour cheese like its the clients feet or something, but its my breath from the blue cheese stuck to my face mask. Its kind of gross the smell like stank feet. Got home after client. Doing great with hot packs, and massage gun, no hot stones today. I was tired on the way there and slightly early so I stoppen in the CVS on her exit and got a lindt chocolate stick and bag of the green Welch's fruit snacks and ate all the fruit snacks and half the lindt chocolate, gave the other half to the babies when I got home. Had pasta when I got home with bluecheese and parmesan cheese shredded. My belly kind of ached. Not sure why. Still on my rag, the bananas also weren't all ripe, some rotten ends taken off and the rest was green yellow slightly but more yellow on the peel. Inside firm and new but slightly too new. My knee has been bugging me, the compression socks are pulling fluid above it and I haven't worked out in 6-8 weeks. I got my window decal and it looks nice but need a car wash to put it on. Hopefully no bubbles, not sure how to get rid of the bubbles. maybe put on wet with a squeegy. Don't have one but maybe get one at Dollar tree store. I had a couple strawberry poptarts after taking a swig of this cheap vodka I still have. After it being a really strong taste that burned and having stomach aches. Maybe a little medicinal and force me to drink water. Had the laundry from both clients in the wash on spin and then put into the dryer. Fed allie cat, but the cat thats eating it isn't the regular cat it hides when I come out to see it. Not sure what happened to the black cat, but it was injured and alive for a few weeks seemed better. It does have other places it goes to that feed it but hopefully it is ok. Its a sweet cat. </t>
  </si>
  <si>
    <t xml:space="preserve">last bowl of pasta 4/11/21 recipe
(686.17	21.42	4.83	25.00	103.75	7.17	663.33)
serving blue cheese
(110.00	9.00	5.00	6.00	1.00	0.00	260.00)
1/4 cup parmesan shredded Winco cheese
(110	7	4	10	2	0	330)
1 serving protein powder
(130	2	0	18	9	2	320)
2 cups almond breeze milk
(60	5	0	2	2	2	340)
1.25 bananas
(125	0	0	1.25	32	3.75	1.25)
2 oranges
(162	0	0	4	42	8	4)
2 strawberry poptarts
(400	10	5	4	74	1	240)
4 coffee creamers
(140	6	0	0	20	0	60)
6 corn tortillas Guerrero
(300.00	3.00	0.00	6.00	63.00	6.00	60.00)
2 servings blue cheese
(220.00	18.00	10.00	12.00	2.00	0.00	520.00)
1/2 cup mozz provolone G&amp;G brand shredded cheese
(180.00	12.00	7.00	14.00	4.00	0.00	400.00)
=686.17+110+110+130+60+125+162+400+140+300+220+180
=21.42+9+7+2+5+0+0+10+6+3+18+12
=4.83+5+4+0+0+0+0+5+0+0+10+7
=25+6+10+18+2+1.25+4+4+0+6+12+14
=103.75+1+2+9+2+32+42+74+20+63+2+4
=7.17+0+0+2+2+3.75+8+1+0+6+0+0
=663.33+260+330+320+340+1.25+4+240+60+60+520+400
</t>
  </si>
  <si>
    <t>Woke up at 5:30 am, restarted the laundry in dryer another cycle then washed my laundry. Worked on the Covid 19 analysis just adding in textual information as a better understanding of gene therapeutics and shortened some display data. The usual routine, Mr Growly's meds, feed babies, 1 pet mess to clean up, my coffee. Had a lg BM after 1st cup of coffee, had a 2nd cup of coffee finishing up covid 19 analysis edit of additional content, then folded laundry and put my personal laundry in dryer. Took measurements before breakfast around 7:27 am. Still a little spotty on rag, so marking it as menstruation. Have 2 clients separate locations tonight, edge of Corona Riverside at 5 pm 1 hour and a 1 hour in Yorba Linda edge of Corona other end, no traffic normally around that time. Both MLD type massages. One cancelled by 2pm and rescheduled for tomorrow at 7 pm. She is busy. The other is prepaid and will likely be getting her massage at 5 pm. At lunch I had 2 oranges and a protein shake, brought 2 bananas, but they look gross. The ends are brown and only ripe in the middle, so it was like eating 1 banana after taking off the ends. Had 4 creamers in my 4th cup of coffee, had the 3rd cup before work. Had 2 strawberry poptarts before leaving to my 5pm appointment. Got home, left hydrocollator in the car running off little battery. Will last through the night. Still spotty on my rag today. not a bunch of liquid. no clots. Finished client's notes then sent them to her with receipt. Had 3 quesadillas with bluecheese and the mozzProv blend of Good&amp;Gather brand. The burnt bluecheese tastes like mozzarella cheese sticks. Ate that before completing the notes. It was a little after 8 pm at that time. Linens and covers in the dryer too. Went to bed after sending out client SOAP notes, didn't want to start studying because I was tired and wouldn't study well. That was about 9-930 pm.</t>
  </si>
  <si>
    <t>Woke up at 520 am, ambulatory alarms out side, but was up earlier to tell Mr. Goody to shut up around 430 am for barking because Mr Growly wouldn't let him on the bed. Got out of bed, because I plan on studying. I have a couples massage at 1 pm in Corona, and then my rescheduled MLD in Yorba Linda at 7 pm. I left hydrocollator in the van and ran the vehicle about 45 minutes then left it running off 2nd battery. I input some analysis on my covid 19 analysis on a gene related to Down Syndrome VEGF and the DSR1 genes in severe cases. The VEGFC gene of the VEGF family showed 50% up regulation in severe cases. It is the vascular endothelial growth factor that causes tumors to grow. Down Syndrom people seem to be immune or have low cases of cancer. Then I wrote in the genetics homework questions to study for and the Exam 2 questions to study for. Didn't get to Chemistry yet. Plan for Sat/Sun as they aren't booked. Not taking any new clients after work those days. The landscaping guy Eddie was in the basement when I went to turn off my engine before 8 am or at 8 am, I was cooking another pot of red fennel penne/bynd meat/3 bell peppers no olive oil with prego 3 cheese sauce. I smelled cigarette smoke and didn't see him smoking. Assumed the worker Steve was with him in basement. They didn't park their truck because last Thursday they had to keep moving it for the garbage trucks for garbage day. They aren't making that much noise next door, all in the basement. Took the dogs out to pee with them working back there and Princess bit at Eddies R calf. She doesn't like him. I answered the ch6 homework questions and had 3 cups of coffee by 9 am. I had a couple strawberry poptarts, then entered in this data. Didn't take my measurements. But ate a bowl of the pasta that makes about 4 bowls of penne, with 2 tbs sourcream and 1/4 cup shredded parmesan Winco cheese, shared with the  babies after turning off van engine and letting hydrocollator run off 2nd battery around 8 am. Took my measurements at 10:15 am. The roommate got up to look and see where they were and pee. I think today is first day not spotty or bloody, just liquid discharge, the norm a few days after spotty it lasts. Used last of protein powder yesterday, only 1/4 serving left so threw it out. Went to Target after clients and got protein powder, wanted printer ink but they were all out, also picked up some bananas and threw out the nasty ones from Stater Bros off Hidden Valley I bought the other day that had brown dark brown at ends inside once peeled on all but 2 not touched. Also got a new small digital clock and AAA batteries for it. Then put that  laundry in the wash and dryer when I got home, sent out their receipt and SOAP notes and left for my 7 pm at 630 pm. Got there 15 minutes early as usual no traffic. I had a bowl of pasta before the 1st set of clients around 12 pm, then another before the last client for the day around 5 pm and 2 strawberry poptarts after that around 6 pm. Didn't eat when I came home, because wasn't feeling like a 4 th bowl of pasta. But considering it, but its almost 10 pm. The time went by fast. I have a couple's tomorrow in South Corona they're a nice couple. I referred her to my other client with knee arthritis and she likes the product this client markets for. Had a few people fill out consent forms the other day and this morning but not book an appointment. I emailed them both separately about when they would want a massage and a link to the booking site. One client responded back or potential client.  Had my 4th cup of coffee before leaving for my 7 pm client around 4:30 or 5 pm. After eating the 3rd bowl of pasta.</t>
  </si>
  <si>
    <t>Gardein soy meat substitute grounds, serving size 3/4 cup, 4.5 per bag</t>
  </si>
  <si>
    <t>barillaGlutenFreeSpaghetti_2oz, servings 7</t>
  </si>
  <si>
    <t>Birds Eye Brocolli frozen, servings 1 1/3 cups, 3.5 servings per pkg</t>
  </si>
  <si>
    <t>pot spaghettie, 4-16-21 recipe, 2 pkg barilla gluten free spaghetti/Gardein soy meat substitute grounds,pkg frzn brocolli, 2 yellow bell peppers, no added oil, 1 jar prego 3 cheese sauce</t>
  </si>
  <si>
    <t>bowl of spaghettie 4-16-21 recipe, makes about 6 bowls</t>
  </si>
  <si>
    <t>3 bowls of 4-14-21 pasta recipe
(1227.75	66.375	18.75	77.25	78.375	16.5	2985)
1/4 cup parmesan cheese regula Winco
(60.00	4.50	3.00	6.00	0.00	0.00	300.00)
6 tbs sour cream 
(180.00	15.00	10.50	3.00	6.00	0.00	45.00)
4 strawberry poptarts
(800.00	20.00	10.00	8.00	148.00	2.00	480.00)
=1227.75+60+180+800
=66.38+4.5+15+20
=18.75+6+3+8
=77.25+0+6+148
=78.375+0+0+2
=16.5+0+0+2
=2985+300+45+480</t>
  </si>
  <si>
    <t>penne 4-15-21 recipe similar to 4-1-21 recipe but 3 bell peppers 2 green, 1 red, pkg penne, pkg beyond meat, prego 3 cheese, no olive oil, no broccoli</t>
  </si>
  <si>
    <t>bowl of 4-15-21 recipe, makes 4 bowls</t>
  </si>
  <si>
    <t xml:space="preserve">bowl of pasta 4-15/21 recipe
(409.25	22.125	6.25	25.75	26.125	5.5	995)
2 tbs sourcream
(60	5	3.5	1	2	0	15)
1/4 cup mozzProv G&amp;G brand
(100	6	4	8	2	0	280)
1 serving pea protein
(120	2	0	18	6	1	360)
1 avocado
(322	29	4	4	17	18	14)
1 banana
(105	0	0	1	27	3	1)
1 cup Almond Breeze almond milk
(30	2.5	0	1	1	1	170)
3 coffee creamers
(35	1.5	0	0	5	0	15)
bowl of spaghetti 4-16-21 recipe
(723.17	9.17	0.42	68.00	88.46	20.38	1627.33)
=409.25+60+100+120+322+105+30+35+723.17
=22.125+5+6+2+29+0+2.5+1.5+9.17
=6.25+3.5+4+0+4+0+0+0+0.42
=25.75+1+8+18+4+1+1+0+68
=26.125+2+2+6+17+27+1+5+88.46
=5.5+0+0+1+18+3+1+0+20.38
=995+15+280+360+14+1+170+15+1627.3
</t>
  </si>
  <si>
    <t>Carls Jr stawberry cheesecake</t>
  </si>
  <si>
    <t>Carls Jr med french fries (ordered a small but they were the size of a medium)</t>
  </si>
  <si>
    <t>Betty Crocker Supreme Triple Chunk brownies, 16 servings per box, 1 egg 1/4 cup veg oil 1/4 cup water</t>
  </si>
  <si>
    <t>2 brownies, betty crocker made 12 brownies serves 16</t>
  </si>
  <si>
    <t xml:space="preserve">2 bowls pasta 4/16/21 recipe
(1446.33	18.33	0.83	136.00	176.92	40.75	3254.67)
3 1/4 bananas
(341.25	0	0	3.25	87.75	9.75	3.25)
1/4 cup parmesan cheese
(20	1.5	1	2	0	0	100)
1 serving pea protein
(120	2	0	18	6	1	360)
1 cup almond milk
(30	2.5	0	1	1	1	170)
Carls Jr small/med french fries
(300	15	2.5	3	39	4	600)
Carls Jr stawberry cheesecake
(320	17	10	7	35	1	250)
betty crocker 2 brownies
(480.00	6.67	4.00	2.67	69.33	2.67	226.67)
=1446.33+341.25+20+120+30+300+320+480
=18.33+0+1.5+2+2.5+15+17+6.67
=0.83+0+1+0+0+2.5+10+4
=136+3.25+2+18+1+3+7+2.67
=176.92+87.75+0+6+1+39+35+69.33
=40.75+9.75+0+1+1+4+1+2.67
=3254.67+3.25+100+360+170+600+250+226.67
</t>
  </si>
  <si>
    <t>Woke up at 530 am by alarm, input data into this data base and corrected the pasta recipe counts for wrong date and calculated nutrition for yesterday and day before yesterday. Cleaned up the pet messes to start, fed babies and gave Mr. Growly his meds, made my coffee first, had a lg BM when done inputing data for yesterday and day before yesterday data edits and before 2nd cup of coffee was finished. No blood for rag for last 2 days, I skipped a cycle however and it has been close to 30 days for a new cycle. because that last cycle never ended. I normally would be starting my rag around now. Few females I massaged yesterday were on their rags yesterday. Had to restart the dryer and folded clothes before eating a bowl of pasta from yesterday and showering for work. Have to leave by 725 am at latest. Measurements taken after lg BM and before eating pasta. No time after folding clothes. Packed supplies for protein smoothie later. Will eat a banana for breakfast instead. Did that and had 2 strawberry poptarts then for lunch had a 3rd cup of coffee my own instant, brought my own no creamer. And a smoothie with 1 1/4 bananas, took off some soft wet parts and ends of 2 bananas that I discarded, 1 serving vanilla Olly protein powder, and 1 cup of almond milk. Then on the way to my client's I was tired and stopped at the Carls Jr drive thru for some med french fries and a slice of stawberry cheesecake. When I got home I made a bowl of pasta after disinfecting supplies and putting linens in laundry and bringing hydrocollator inside. The client was nice, first massage, a bunch of cute little dachsunds, her brother's bday but she didn't tell anybody, so they were surprised she was getting a massage, her whole family there. Her ubns ached from repetitive copy filing printing at work that wasn't used to. Very tight L arm/shoulder, ub, LB. But was relieved and relaxed and less tense after wards, signature occipital neck stretch massage supine. Had 2 hot packs on her to start and massaged arms and then used massage gun on ubns and ESM. She felt much better she said and loved the massage. I need to start my chemistry homework and it is early 630. Want to read through the ppt first. then do it. My knee aches consistently for days now. I do my work standing and prop my R leg up but knee has been swollen and aches when I do.  I poured a 1/4 cup that cheap vodka 80 proof in a mug and diluted with water before entering in my nutrition for the day and drank it by 7pm before uploading this. Now will start reading the power point slides for chapter 7. Dilution is key, but not for this chapter, thermodynamics. Its all interesting, had to unwind or wound up with alcoholic humor only I get. Few people do. I try telling jokes at work and people look at me like I'm weird. So this guy I know since he was an extern at Massage Green back in 2016-2017. I know he likes It the clown Pennywise and the movie was out. I was massaging someone and thought, if I was a dude, what a great marketing gimmick, to have a photo of the It clown in a Ring doorbell offering his massage table in full clown costume and smiling, with a slogan that says, 'You won't get a clown from us...unless you want one' and told the dude that while washing my hands and a few witnesses and they all stared at me, and nobody laughed but me. And I thought it was funny. Because it would be funny. Whatever. They silently laughed inside. Thats what it was. But it would be a nice marketing gimmick, for a dude. Some people like creeping out their buds for fun. Why not? Studied but made some brownies that were in the pantry, I bought before dieting. Had the ingredients and a sweet tooth. Ate two of those and a banana. Finished reading/reviewing the ppt Ch7 slides but didn't start the hw bc tired. Bed by 10 pm.</t>
  </si>
  <si>
    <t>Woke up at 5:45 am, cleaned up a bunch of pet messes, made Mr. Growly his heart meds with food for all babies, drank my 1st cup of coffee, started typing in my hw for genetics ch6 and ch9 into word, drank another cup of coffee. Had a lg BM after talking to the roommate who wants me to schedule in his partner, Ronnie's, dog grooming Monday for him before I go to work. The landscaping guy is already outside around 6:45 am. Finished the hw typed in and saved as pdf to turn in, turned it in, due in 3 days. Need to do ch7 hw in chemistry. Made no notecards. Also, emailed a potential new client to schedule in this Saturday at 3 pm, lives in Corona, ubm only, 1st massage for ubns tension. I requested she hold the appointment with a credit card as I just unblocked it for her only due to it previously being blocked off to study. I will see if she secures the service with a credit card, and if not, then I will study instead. It is a requirement. I am taking a break from the compression socks too, because they seem to push up fluid above my R knee that causes it to ache like I have arthritis. Seeing if it is the compression socks or getting soft from not working out for 8 weeks. We'll see. I have a 3 hour couples massage at 5 pm. I want to put the hydrocollator in the van before leaving for work. Measurements taken after my lg BM and before breakfast. Packing a smoothie for lunch, eating the last of the 4-15-21 recipe penne pasta for breakfast with sourcream and parmesan cheese. The smoothie had an avocado, banana 1 cup almond milk and 1 serving vanilla Olly protein powder. I went to the car wash on my break and got my van washed, then after work traffic made me late 10 minutes, but I told the clients that when I left Chino to get to south Corona. After work I got some Gardein soy meat substitute and made spaghetti with 2 pkgs of the spaghetti Barilla gluten free, 1 pkg the Gardein soy, 2 yellow bell peppers, no olive oil, and 1 jar prego 3 cheese sauce. I had the linens in the laundry. And got the 2 new hot pack covers I ordered so washed those too. Got a new client tomorrow after work in Corona. My knees didn't feel too swollen without the compression socks on, but now are feeling it at 10:28 pm. I had a bowl of the pasta after I made it and shared with the babies with parmesan cheese about 3 tbs. Then made soap notes for clients and receipt. I only had 3 cups of coffee today, but might make it 4 to stay up to do SOAP notes and to maybe do some homework in chemistry, ch7 is due 11:59 pm Sunday. Went to bed around 11 pm.</t>
  </si>
  <si>
    <t>haribo gummy bears 9 servings</t>
  </si>
  <si>
    <t>hersheys chocolate almond and toffee bar 4 servings per Xl bar</t>
  </si>
  <si>
    <t>1 BOTTLE WINE ROSE GENERIC 3 GLASSES, https://www.calorieking.com/us/en/foods/f/calories-in-wines-cabernet-franc-red-wine-10-alc/-kpHuBQISOKXQPyfyKIobA</t>
  </si>
  <si>
    <t>1 slice pita bread, https://www.calorieking.com/us/en/foods/f/calories-in-bread-rolls-buns-white-pita-khoubiz-pocket/gVZwM5UNRSGaUF9qX5K2qg</t>
  </si>
  <si>
    <t>Woke up at 4:30 am and was going to go back to bed but got out of bed at 4:45 am and did the normal routine, cleaned a pet mess, made Mr. Growly his meds, fed the babies, made my coffee, then prepped the notebook for ch7 hw in chemistry and looked at some stuff on the headlines of msn or yahoo then logged into masteringChemistry. We had spring break, and I completely forgot about the other lab that is due I thought tomorrow, but the 20th. The virtual gas law lab. The hw ch 7 is due first and worth 10% and the lab is worth 25% of grade. I will do hw first, bc we lose 20% off the answers not completed. Had a lg BM after 1st cup of coffee around 6 am, then had 3 cups of coffee after bowl of pasta made the other day 4-16-21 recipe. Got up to #7 of 20 questions on hw7. Took measurements after eating pasta and 3 cups of coffee and doing dishes and folding linens from yesterday before eating pasta. Had 2 brownie cupcakes before 3rd cup of coffee and shared with babies all the brownies and pasta with 2 tbs parmesan cheese. Measurements taken at 745 am. I didn't eat the protein shake I made for lunch, I ate the falafel platter from the pizzita. It was delicious, more so than hummus republic. A client told me it would be. It was. It was more vinegar pickle back taste, but delicious, I am going to mark this the same as the falafel bowl from hummus republic. Then after work I worked on my roommate and used a bunch of my add-on services, cupping, hot stones, hot packs, lymphatic drainage with dry brushing, aromatherapy, massage gun, and regular swedish massage, his back is much more dense than last week. He doesn't pay, but offers the video to promote massage health and wellness benefits. I drank some Sofia wine I got at the Rite Aid on the way back home, a rose. I usually don't like them. There was a history of math reference to sofia the math figure who I don't recall what she found or discovered, but her name was Sofia and she had  a relationship with Voltaired or something like that and died young. Too bad for her. I liked her of course because she studied by candle light and I really have no idea what she discovered but she had some significance to be noted in history of the subject of history of math. So I picked that wine and drank the bottle by  8 pm. My ch 7 chemistry homework isn't due until tomorrow. But I have to take a few dogs to the groomer's that are the previous employer's dogs. They aren't groomed and he complained as he is a partner in quotes becuase for whatever reason the dude that paid him money and good money needed him to help with his social security and payment history in securing his loan or mortgage real estate offices. I packed a smoothie for lunch but didn't drink it, I went to Pizzita and got a falafel platter, using the same nutrition facts as hummus republic, the hummus, tziki sauce, cucumbers, green lettuce and falafels in a persian rice basalti type not gluten free and a slice of their baked pita bread like  a pizza crust. Started spotting in mid-afternoon. So, another menstruation mark. I had a bottle of the Sofia brand rose wine about 3 glasses and a lg bag of hasbro gummie bears. Went to bed around 10 pm.</t>
  </si>
  <si>
    <t xml:space="preserve">2 bowls pasta 4-16-21 recipe
(1446.33	18.33	0.83	136.00	176.92	40.75	3254.67)
1/4 parmesan cheese
(40.00	3.00	2.00	4.00	0.00	0.00	200.00)
1 falafel bowl
(1562	46.5	4	91.5	202	74.5	3955)
1 slice pita bread
(165	0.7	0.1	5.5	33.4	1.3	322)
1 bottle rose wine, 3 glasses
(377.00	0.00	0.00	0.30	10.90	0.00	0.00)
2 brownies
(480.00	6.67	4.00	2.67	69.33	2.67	226.67)
large hasbro bag gummie bears
(900	0	0	18	207	126	45)
=1446.3+40+1562+377+480+165+900
=18.33+3+46.5+0.7+0+6.67+0
=0.83+2+4+0+4+0.1+0
=136+4+91.5+0.3+2.67+5.5+18
=176.92+0+202+10.9+69.3+33.4+207
=40.75+0+74.5+0+2.67+1.3+126
=3254.67+200+3955+0+226.67+322+45
</t>
  </si>
  <si>
    <t xml:space="preserve">Woke up at 345 am, finished the homework once started by 830 am. Took a while on the problems, got two wrong, and the last question didn't have the standard enthalpy of formation for a couple substances or the correct one for water in liquid state. So they were designed to be incorrect. Got 87.5% on it. But its on time. My ankles are super swollen. So swollen my feet hurt. I have an 1115 am client for MLD, and had to take the roommate's friend's two bougersoi dogs to the groomers. They are adorable. Need to pull some cash out to pay for their service. I ate a bag of gummie bears last night, a large one. I have to recalculate the nutrition. Must have had a lot of sodium. Those falafels and hummus are loaded with sodium. Mr. Growly didn't eat his breakfast with his meds or the portion of my spaghetti I share. I had a reg BM after 3 cups of coffee. Didn't have any more coffee, but no naps. I have to pick up the dogs after my client and have cash. Also, work tonight. And that lab is due tomorrow and an exam in genetics this week. Had a bowl of pasta rushed with parmesan cheese because the roommate is throwing a temper tantrum about me taking the dogs to the groomers around 830 am when they don't open until 9 am. Took a shower when I got home after fiddling with the Garmin dashcam in Charger that isn't working now. Tried troubleshooting it, but its not staying on record mode keeps going to homescreen and restating the agreement. I turned it to look at a gray SUV earlier that was speeding towards me in the lanes a mile away and didn't slow down to show I was in the lanes already if the asshole hits me. I was sitting there for a good 10-15 seconds already. Assholes like that speed up to kill people with a T bone thinking they have the right of way. Right of way to avoid a collision and murdering people that are already in the road mother fucker! He didn't hit me or her, couldn't tell it was around 8:55 am turning onto 6th street from fullerton street blocking the nearest lanes perpendicular while the other far lanes going opposite direction get out of the way. After my client's massage and getting the cute little french bulldog Ozzie and cute pomeranian Benzo from the Groomers with the cash on hand plus the 60 and 3.50 fee at the circle K by client's house to pay for the service. I went home and ate a bowl of pasta with parmesan cheese and 2 avocados. Last of them before they get rotten. And had my 4th cup of coffee while filling out receipt and SOAP notes for my earlier client. Left for work after 2 pm. I have been seeing the cat I feed this week which is great, I thought she disappeared. Good to know she's safe. Her leg is better too. She had a limp last I saw her for 2 weeks. I rescheduled for the twice shot pfizer and still got in tomorrow at 930 am and around May 11th at 9 am. I ate a poki bowl double salmon, 2 servings cream cheese or about a 1/4 cup of it, edemame 1/4 cup, ginger, pineapples, cucumbers, brown rice, with the ponzu sauce, it doesn't have soy sauce or teriyaki sauce in it is what the server said, a little bit of wasabi but I din't eat much of it, maybe a pinch of it, but still had most of it there. Helped knock off how tired I was. I didn't have anymore coffee at work at any time. Got home and started the laundry. </t>
  </si>
  <si>
    <t>double salmon poki bowl with ponzu sauce instead of teriyaki sauce in cell A177 ingredients</t>
  </si>
  <si>
    <t>ponzu poki bowl sauce, https://www.calorieking.com/us/en/foods/f/calories-in-sauces-ponzu-or-ponzu-lime/7IfSf4aVS4WoaU11NMCwnA</t>
  </si>
  <si>
    <t xml:space="preserve">2 bowls pasta
(1446.33	18.33	0.83	136.00	176.92	40.75	3254.67)
1/4 cup parmesan cheese
(20	1.5	1	2	0	0	100)
2 avocados
(644.00	58.00	8.00	8.00	34.00	36.00	28.00)
double salmon poki bowl 
(578.5	11.075	2.15	17.7	101.75	8.25	1731)
creamcheese 1/4 cup
(102.00	10.20	6.40	2.20	0.80	0.00	86.00)
=1446.33+20+644+578.5+102
=18.33+1.5+58+11.08+10.2
=0.83+1+8+2.15+6.4
=136+2+8+17.7+2.2
=176.92+0+34+101.75+0.8
=40.75+0+36+8.25+0
=3254.67+100+28+1731+86
</t>
  </si>
  <si>
    <t>quaker rice cakes buttermilk ranch, 3 servings per bag, bag:</t>
  </si>
  <si>
    <t>quaker rice cakes sweet &amp; spicy chili, 3 servings per bag, bag:</t>
  </si>
  <si>
    <t>berry medley winco frozen brand, 7 servings per bag, 3/4 cup is a serving:</t>
  </si>
  <si>
    <t xml:space="preserve">blueberries frozen winco brand, 5 servings per bag, 1 serving is 1 cup: </t>
  </si>
  <si>
    <t>frozen bag mangos winco brand, 3.5 servings per bag, 1 serving is 3/4 cup:</t>
  </si>
  <si>
    <t>almond breeze milk unsweetened, serving is 1 cup and 8 per carton, 1 cup:</t>
  </si>
  <si>
    <t>cauliflower pizza marguerite winco, 2 servings per container</t>
  </si>
  <si>
    <t xml:space="preserve">2 servings protein
(240	4	0	36	12	2	720)
1/2 cup mixed berries frozen
(40.00	0.33	0.00	0.00	10.00	3.33	0.00)
4 cups almond milk unsweetened
(120	10	0	4	4	4	680)
1/3 cup blueberries frozen
(23.33	0.33	0.00	0.00	6.33	1.33	0.00)
1/3 cup mangos frozen
(40.00	0.22	0.00	0.44	8.89	0.89	0.00)
6 corn tortillas Guerrero
(300.00	3.00	0.00	6.00	63.00	6.00	60.00)
1/2 cup mozzarella cheese winco brand
(160.00	10.00	7.00	12.00	2.00	0.00	380.00)
1 bag rice cakes buttermilk ranch
(380.00	14.00	2.00	6.00	60.00	3.00	950.00)
1 bag rice cakes spicy &amp; sweet chili
(380	14	1.5	6	61	3	960)
8 tbs sourcream winco brand
(240.00	20.00	14.00	4.00	8.00	0.00	60.00)
2 blueberry organic waffles left in freezer about a month ago
(190	7	1.5	4	29	2	340)
=240+40+120+23.3+40+300+160+380+380+240+190
=4+0.3+10+0.3+0.2+3+10+14+14+20+7
=0+0+0+0+0+0+7+2+1.5+14+1.5
=36+0+4+0+0.44+6+12+12+6+6+4+4
=12+10+4+6.33+8.89+63+2+60+61+8+29
=2+3.33+4+1.33+0.89+6+0+3+3+0+2
=720+0+680+0+0+60+380+950+960+60+340
</t>
  </si>
  <si>
    <t>Woke up at 530 am not by alarm, cleaned up a bunch of pet messes, made my coffee and fed the babies with Mr. Growly's medicine in his bowl. He ate his food today. Put clothes in the dryer and linens to start after spinning them from last night. I was going to immediately start on the lab, but did stuff online like bought a whole genome DNA kit for $299 from nebula genomics online and paid the water bill due tomorrow. Also, verified my pfizer vaccine today at 930 am and checked into the Guardian app. Had a 2nd cup of coffee and reg lg BM before finishing the coffee, then took measurements around 650 am. I want to shower before going to campus. My ankles weren' t too swollen this morning and knee didn't feel swollen from compression socks pushing the fluid up yesterday above knee. They are starting to swell now as I type. I wasn't spotty yesterday or today just two days ago spotty dry blood, so I will unmark today and yesterday for menstruation that I wasn't still shedding bloody stale uterine lining or new cycle lining.  Had a protein shake for breakfast to maintain weight, because of the high sodium last few days, the water retention has me weighing 142.6 lbs when about 2 weeks ago I weighed 134 lbs as my lowest. And had a weight gain of more than 3 lbs with the high sodium. The protein smoothie used 2 cups Almond Breeze almond milk unsweetened, 1/2 cup of the frozen mixed berries, and 1 serving of the vanilla Olly brand pea protein powder. Finished the lab, but now have another due Thursday, and an exam to study for. My foot on R and both ft and ankles swollen. No side effects as of 10 pm, but a tiny ache in shoulder nothing worse than aches I feel regularly like swollen knees and ankles. Went to bed around 1030 pm.</t>
  </si>
  <si>
    <t>Woke up at 4 am and got out of bed around 420 am and did the normal, want to work on the chemistry lab that is due Thursday that we started yesterday. I have a client tonight at 6 pm for an hour and a half. I left the hyrocollator in the van, but not charging. I need to run the van so the battery charges, then run the hydrocollator. Finished lab by 750 am, ft and ankles swollen, the L side especially, then took measurements. Who needs to shower every morning when time doesn't allow mistakes? Barely getting breakfast and laundry out of dryer. Had 2 cups of coffee and a reg lg BM by half way through 2nd cup of coffee. Rushed and made a protein smoothie for breakfast and for lunch. Then when I got home made some quesadillas (4) and a bowl of nacho meat and peppers with beyond meat and 3 peppers 2 orange and 1 red bell, with 2 small zuchinis and 5 tbs sourcream. Then when I got back from client's massage, I made a margherite cauliflower pizza from freezer. I got my client a chocolate cake, med small size for her son whose birthday is this weekend. They were appreciative. She told me he likes chocolate cake. I got that when I got my 4 th cup of coffee a nitro cold brew sweet cream, and found out that the color is light from the nitrogen infused in the cold brew from the same keg as the cold brew regular style. I thought they were putting in too much cream by the color. No wonder. I made the pizza after sending client her receipt and SOAP notes and putting laundry in the wash and disinfecting supplies. Left hydrocollator in the car unplugged. It warms up fast relatively in a few hours when needed. It drains the battery when leaving it on the whole night. I started the car this morning at 430 and left it running till 5 then turned on the hydrocollator with it running till about 7 am. And it was hot and the battery didn't drain. Now to fill out the study guide to exam 2 in genetics. I didn't get to chapter 10 to fill in yet, been busy with clients last week and this week catching up on that course and my chemistry course.</t>
  </si>
  <si>
    <t>2 zucchini, https://www.calorieking.com/us/en/foods/f/calories-in-fresh-or-dried-vegetables-zucchini-raw-with-skin/Jgq8JW91TZqQVcLm6ARduA</t>
  </si>
  <si>
    <t>winco olive oil, serving 1 tbs</t>
  </si>
  <si>
    <t>beyond meat peppers zucchini olive oil pot makes 3 bowls 4-21-21</t>
  </si>
  <si>
    <t>bowl of 4-21-21 recipe</t>
  </si>
  <si>
    <t>2 servings protein
(240	4	0	36	12	2	720)
3/4 cup mangos frozen
(90	0.5	0	1	20	2	0)
3/4 cups blueberries frozen
(52.5	0.75	0	0	14.25	3	0)
4 cups almond milk
(120	10	0	4	4	4	680)
8 corn tortillas Guerrero
(400	4	0	8	84	8	80)
1/2 cup mozzarella cheese
(160	10	7	12	2	0	380) 
bowl of beyond meat/3 bell peppers/2 zucchini
(290.33	24.67	4.33	7.67	8.00	2.00	119.67)
5 tbsp sourcream
(300	25	17.5	5	10	0	75)
nitro cold brew starbucks sweet cream
(70.00	5.00	3.50	1.00	4.00	0.00	15.00)
marguerite cauliflower pizza
(680	25	7	18	98	5	1040)
=240+90+52.5+120+400+160+290.33+300+70+680
=4+0.5+0.75+10+4+10+24.67+25+5+25
=0+0+0+0+0+7+4.33+17.5+3.5+7
=36+1+0+4+8+12+7.67+5+1+18
=12+20+14.25+4+84+2+8+10+4+98
=2+2+3+4+8+0+2+0+0+5
=720+0+0+680+80+380+119.67+75+15+1040</t>
  </si>
  <si>
    <t xml:space="preserve">Woke at 4 am and got out of bed at 410 am, filled in questions after normal routine, clean pet messes, coffee, Mr Growlys meds babies fed, restart dryer on laundry, but also wash dishes from last night. Had 2 cups of coffee a reg BM, then a 3rd cup by the time Roommate got home around 630 on the dot, then finished up the questions with 1 left before review question session at 9 am ending early at 930 am with few questions or participants same as last week. Had a 4th cup of coffee in warmed up almond milk. For breakfast around 715 am I had a bowl of the nacho and pepper zucchini beyond meat sourcream and 4 corn tortilla quesadillas sharing with babies of course. I got my 2 packages from amazon hub locker yesterday on the way to my client's house, but left them in the van. I am waiting on a couple coding books for python and R for genomic data. I got the renewed/refurbished garmin dash cam and my red light therapy device that is cordless and capable of arthritic pain relief. With different depths in nm of infrared light penetration into skin. I still have chapter 9 to fill in and chapter 6. Most can be found on the homework this last week, but need to fill that in then recopy on notecards and memorize or memorize by page flipping. Handwriting terrible from tired coordination. Got about 6 hours of sleep. 10 pm to 4 am. Also woke up with swollen feet and ankles as I went to bed that way with slightly less swelling when I woke up. Took a nap around 11 am for 10 minutes, ankles extremely swollen all day, studying but can't remember it, went through the lecture and turned in the prelab questions on time, but tricky 1st one, because forgot some things, wouldn't have mattered, the molarity from heat to enthalpy using the equation. It was a tricky 1st question for prelab questions, with nothing in the manual for this lab and I did the post lab questions and those on accident from manual and those were easier than the prelab questions. The Hess's Law seemed simple enough, followed my homework examples and answered them, but in lab we are supposed to cancel out the extensive terms. I wasn't cancelling out any before and they were correct. That seems confusing, now I am worried the solutions aren't correct. I will get up early to study then take the test, more items on this exam for genetics than the last few. More processes to memorize and go through from 3 chapters. Probably why not so easy to memorize right away that and not a lot of sleep last few days and getting flu shot. That could be why I have swollen ankles and the somewhat high sodium content for each day. It wasn't that bad yesterday. </t>
  </si>
  <si>
    <t>Romero corn tortillas yellow corn larger than other brands roommates, 1 serving</t>
  </si>
  <si>
    <t xml:space="preserve">2 bowls of beyond meat nachos
(580.67	49.33	8.67	15.33	16.00	4.00	239.33)
8 tbs sourcream
(240.00	20.00	14.00	4.00	8.00	0.00	60.00)
1 serving pea protein
(120	2	0	18	6	1	360)
1 serving blueberries
(70	1	0	0	19	4	0)
1 serving mangos
(90	0.5	0	1	20	2	0)
3 cups almond milk
(90.00	7.50	0.00	3.00	3.00	3.00	510.00)
4 strawberry poptarts
(800.00	20.00	10.00	8.00	148.00	2.00	480.00)
12 corn tortillas Guerrero
(600.00	6.00	0.00	12.00	126.00	12.00	120.00)
1 1/2 cup mozzarella cheese
(480.00	30.00	21.00	36.00	6.00	0.00	1140.00)
2 corn tortillas Romero roommates
(104.00	2.00	0.00	2.00	20.00	2.00	52.00)
=580.67+240+120+70+90+90+800+600+480+104
=49.33+20+2+1+0.5+7.5+20+6+30+2
=8.67+14+0+0+0+0+10+0+21+0
=15.33+4+18+0+1+3+8+12+36+2
=16+8+6+19+20+3+148+126+6+20
=4+0+1+4+2+3+2+12+0+2
=239.33+60+360+0+0+510+480+120+1140+52
</t>
  </si>
  <si>
    <t>crawfish, 1 serving, https://www.calorieking.com/us/en/foods/f/calories-in-shellfish-mollusks-wild-crayfish-crawfish-cooked-with-moist-heat/u_6bNKpySw6GyviUhV8GTg</t>
  </si>
  <si>
    <t>85 degrees celsius coffee and nondairy creamer, 2 servings per bottle</t>
  </si>
  <si>
    <t>White corn organic tortilla chips Sprouts brand, 1 serving 14 chips</t>
  </si>
  <si>
    <t>yellow corn organic tortilla chips Sprouts brand, 1 serving 14 chips</t>
  </si>
  <si>
    <t>poki bowl brown rice, ponzu sauce, edemame, crawfish, salmon double, wasabi, ginger root, cucumbers</t>
  </si>
  <si>
    <t>chocolate chip cookie, not in 85 degrees nutrition info online, got for 2 chocolate chip cookies generic from calorie king, it’s a med-lg cookie, https://www.calorieking.com/us/en/foods/f/calories-in-cookies-chocolate-chip-cookie/aBntNie-R3CyA8W4Qirv9g</t>
  </si>
  <si>
    <t xml:space="preserve">2 strawberry poptarts
(400	10	5	4	74	1	240)
1 serving pea protein
(150	2.5	0	22.5	7.5	1.25	450)
1 serving blueberries
(70	1	0	0	19	4	0)
1 serving mangos
(90	0.5	0	1	20	2	0)
poki bowl with double salmon and ponzu sauce and crawfish (not included)
(648.5	12.075	2.15	17.7	120.75	12.25	1731)
1 chocolate chip cookie 85 degrees celsius
(96.00	4.50	1.50	1.10	13.40	0.50	63.00)
bowl nachos beyond meat/zucchini/bell peppers/olive oil
(290.33	24.67	4.33	7.67	8.00	2.00	119.67)
1/2 cup mozzarella cheese
(160	10	7	12	2	0	380)
3 tbs sourcream
(90	7.5	5.25	1.5	3	0	22.5)
1 serving white corn tortilla chips
(140.00	7.00	0.50	2.00	16.00	1.00	120.00)
85 degrees celsius coffee 1 serving 
(370.00	15.00	15.00	0.00	60.00	0.00	25.00)
=400+150+70+90+648.5+96+290.3+160+90+140+370
=10+2.5+1+0.5+12.075+4.5+24.67+10+7.5+7+15
=5+0+0+0+2.15+1.5+4.33+7+5.25+0.5+15
=4+22.5+0+1+17.7+1.10+7.67+12+1.5+2+0
=74+7.5+19+20+120.75+13.40+8+2+3+16+60
=1+1.25+4+2+12.25+0.5+2+0+0+1+0
=240+450+0+0+1731+63+119.67+380+22.5+120+25
</t>
  </si>
  <si>
    <t xml:space="preserve">Woke up at 330 am to study some more of genetics. I made coffee, fed Mr Growly meds and the babies their food after cleaning up some pet messes as the first thing when taking them outside to potty. Studied till just before 545 am and had 3 cups of coffee and a reg BM by 2nd cup. I had 2 strawberry poptarts, the last of the roommates. I need to cook up some more nacho meat. I hate the respondus lockdown browser, it is slow and doesn't let me scroll peacefully, overshooting each question too much or not enough. Such an annoyance. Finished the exam by 630 am after taking about 40 minutes to complete 50 questions with a few fill in the blanks, T/F, multiple choice, and text box questions for short essay type responses. Not difficult, but some T/F were a little questionable. I missed 1 question that got skipped because of the stupid Repondus browser scroll option, hopefully not an essay question. I haven't even checked the last quizzes or exams, for any course or the grades in the last 3 weeks. I should. I have a book to pick up at the hub locker and will get another from Amazon by next week. I went to bed at 930 pm and woke up at 330 am, so got about 6 hours of sleep. Not my worst sleep deprivation day. Not feeling too tired, ankles and feet still swollen, but not as bas as yesterday. Have a client at around 5pm. She's ok with me arriving early and knows about Friday traffic. Had a protein smoothie with just water and 1 serving and the rest about 2 1/2  of those spoons it comes with, a serving each of the last of the frozen blueberries and mangos, no almond milk, only because it wouldn't fit, but ran out of protein powder and drank this quick for breakfast when I got to work, had a poki bowl with 2 servings salmon and the crawfish normal toppings and ponzu sauce edemame, ginger, wasabi, sesame seeds, misago, cucumbers brown rice. Also had an 85 degrees celsius coffee with nondairy creamer already made, 1/2 the bottle , and 1 of the chocolate chip cookies in a 3 pack. Went to clients a 1/2 hour later for her schedule because she would be late doing errands, used machine on her for lipocavitation and looked like it worked a little in evening out her side on the right. 10-15 minutes, also stopped at Sprouts for groceries for nachos and chips, couldn't find corn tortillas there. At home, Growly was excited but started coughing and passed out, the roommate thought he was dead, but he passed out, he did CPR and we patted him, he took him to the emergency vet and said that he has water in his lungs and can't breathe because of faulty heart valves. He's 12 years old and it looks like he is on his last leg unless this new water pill and other meds works for him. He was still struggling to breathe, but got up to pee without asking to go outside. So the water pills must be working or helping some. Made some nachos and ate with chips. Bed around 930 pm planned, maybe 10 pm, after doing client's SOAP notes and receipt. Also, my youngest niece had prom today, I happened to catch her leaving when I went to pick up the envelope of mail under the mat left by her stepdad curious why, and she was too, when she went to get it, because it had her name on it. Coincidence. I didn't know she had prom and they are having it even though there is still a quarantine. Her friend drove them. They are besties. I actually got my mail earlier in the morning on the way to work after picking up my python for genomic book. I have that genomic swab kit on the way, should arrive before the end of the month. They looked nice. I am getting so detached from them. They don't keep me in the loop on anything. </t>
  </si>
  <si>
    <t>eggplant, 1 https://www.calorieking.com/us/en/foods/f/calories-in-fresh-or-dried-vegetables-eggplant-aubergine-raw/2S0gU-GISKuAUbTys04kVQ</t>
  </si>
  <si>
    <t>pot of nacho meat with eggplant instead of zucchini, beyond meat, 2 green, 1 red bell pepper, 3 tbs olive oil winco brand</t>
  </si>
  <si>
    <t>bowl nacho meat w eggplant, pot makes 3 bowls</t>
  </si>
  <si>
    <t>2 servings moscato wine, https://www.calorieking.com/us/en/foods/f/calories-in-wines-moscato/kgCFMQS_Q7WxSP39b-Atgg</t>
  </si>
  <si>
    <t xml:space="preserve">bowl of nachos eggplant beyond olive oil peppers red green
(522.33	38.07	8.70	27.93	17.23	6.27	469.00)
bowl of nachos zucchini beyond olive oil peppers red orange
(290.33	24.67	4.33	7.67	8.00	2.00	119.67)
1 cup mozzarella cheese
(320	20	14	24	4	0	760)
5 tbs sourcream
(300	25	17.5	5	10	0	75)
3 servings yellow corn tortilla chips
(420	21	1.5	6	48	3	240)
2 servings white corn tortilla chips
(280	14	1	4	32	2	240)
1 serving the other half 85 degrees celsius coffee
(370.00	15.00	15.00	0.00	60.00	0.00	25.00)
2 cookies chocolate chip 85 degrees larger than chips ahoy, 1.75% the size of that kind
used walmart chocchipcookies X3
(450	0	0	9	42	9	90)
2 servings moscato wine
(254    0      0      1     22.8      0    0)
=522.3+290.3+320+300+420+280+370+450+254
=38.07+24.67+20+25+21+14+15+0+0
=8.7+4.3+14+17.5+1.5+1+15+0+0
=27.93+7.67+24+5+6+4+0+9+1
=17.23+8+4+10+48+32+60+42+22.8
=6.27+2+0+0+3+2+0+9+0
=469+119.67+760+75+240+240+25+90+0
</t>
  </si>
  <si>
    <t xml:space="preserve">Woke up at 5 am and got out of bed around 515 am. I made coffee, cleaned up pet messes, and gave Growly his meds in the babies food, but he wasn't eating it. Not coughing as much. But don't want the other babies eating his food. The roommate spent another $200 on an emergency visit that just refilled his meds from another vet. The other vet clinic wasn't open or answering the phone. Have to get ready in a few minutes. Get off early today, need some body care supplies from the store and other things I don't remember yet. I accidentally washed my wallet last night in the laundry and noticed it enough to dry it out over night. It was dry this morning. Had 2 cups of coffee, but no BM by then. But my ankles and feet aren't as swollen. The feet aren't swollen at all, and ankles only slightly. Before they looked like the feet and ankles of a 300 lbs overweight person my height. Had a reg sm BM before drinking 3rd cup of coffee then took measurements before having breakfast. Need to do the laundry. The roommate came back before having my BM bitching about the meds like I can make him eat his food, and yelling to put it on peanut butter, and get him out from under the bed. I told him he should be the one to have heart disease, assholes like him expecting the world to bend for him and do what he says when he is disrespectful and yells and demands and acts like literally everybody needs to listen to him. He was quiet. I don't care. He is toxic. I went to work didn't have 1st one booked. Ate my bowl of nachos and chips and 2 chocolate chip cookies then had a few, a break, got a car wash and fuel in the dodge because no clients this weekend. Good time to catch up on things like school. Got body wash and toothpaste and some individual serving Sutter Home moscato wines at Walgreens when trying to fill Growly's prescription. Had to order it online. With shipping and tax was $64. I also ordered a lap top and a storage device. This one is acting up because it doesn't fit back in place and the cursor is out, storage is running low. The other one has TPUs and a gaming card for the TPU capability. Good for when I start the genomic big data analysis and use it as a linux machine for all that. I rewatched the lecture recorded that I wasn't paying attention to when I turned in my prelab questions as I was exhausted from studying for genetics exam and used that time to complete the pre lab questions. Didn't score well but not worth as much. They were more difficult than the other lab and found out I have been answering the hess's law eqns wrong. Coincidence when I crossed out terms that didn't belong that they were the same before. Lesson learned. Going to wake up early and go to bed early so that I can fill in the answers in genetics to her lecture I haven't watched yet because of studying for the exam. And being too busy with clients. </t>
  </si>
  <si>
    <t xml:space="preserve">Went to bed at 9 pm and woke up at 4 am. Watched the ch 11 lecture for genetics. Had a couple cups of coffee and a reg lg BM before finishing the 2nd cup of coffee. Finished the lecture prerecorded by 5 am, made a 3rd cup of coffee and a bowl of nachos with mozzarella cheese 1/2 cup. Shared with babies, gave Growly his meds before starting the lecture with sourcream, I should get icecream so he takes it when needed. Fed the babies also before the viewing of the lecture. Talked about DNA structure and types of DNA, it was interesting. I filled in the blanks by ffw last night to each slide, so much better to then pay attention to the prerecorded video. Tired around 3rd cup of coffee. Debating a nap. Tried resting 20 minutes didn't take a nap, got up and edited jotforms, created an MLD 10 pkg form and added to new client consent form. Showered, and did dishes and brushed teeth before shower, almost forgot measurements and took those. I ate breakfast around 545 am a bowl of nachos and cheese and chips and took measurements around 8 am and had a BM around 445 am. Had my 4th cup of coffee around 11 am from the breakroom keurig and 2 vanilla creamers and 2 carmel creamers, when client didn't show but it was an error from new front desk who didn't cancel his appointment when she was supposed to cancel it as well as his gf's yesterday and didn't. Had a falafel 5 pc order and a side of regular hummus with chips, only 3/5 the falafels and 1/2 the hummus. Ate the other 2 pcs of falafel and hummus when I got home.  Had 2 servings of moscato left over from 4 pack of small bottled wine yesterday, after massaging rommate and had the laundry in the wash. Uploaded the video of the massage tips and advisory massage instructions and demonstrations for his 3rd weekly appointment. Noticed I had some odd bot type comments on my videos after uploading them. Kelly Barber '0:14 vom.today' on todays video, and last weeks video by Ruth something "0:48 vou.today' makes no sense. Those are odd times and nothing really showing at those time markers on video uploaded to youtube.com. I also ate the last bowl of nachos and had about 6 servings of tortilla chips in all throughout the day for breakfast, lunch, and dinner. </t>
  </si>
  <si>
    <t>falafel, 5 balls about 1 1/2" round, this is for 2.25" round from calorie king using 2 for approximation because setting both to 2piR^2 and solving for recipe gives 2.22 falafels on calorie king,https://www.calorieking.com/us/en/foods/f/calories-in-vegetarian-foods-falafel-home-prepared/aSJPL--2SiqHU21kEuuewA</t>
  </si>
  <si>
    <t>1 cup hummus generic homemade, https://www.calorieking.com/us/en/foods/f/calories-in-dips-hummus-homemade/ggwx1LDDTveNHAvE_B13pQ</t>
  </si>
  <si>
    <t>6 servings of tortilla chips
(840	42	3	12	96	6	720)
1 cup mozzarella cheese
(320	20	14	24	4	0	760)
2 bowls of nachos
(1500.53 40.13	34.73	14.53	164.20	6.53	991.33)
5 falafels
(141.25	7.625	1	5.625	13.5	1.5	125)
2 servings hummus
(435	21.1	2.8	12	49.5	9.8	595)
1 tbs sourcream (tzaki sauce cream with cucumbers)
(60	5	3.5	1	2	0	15)
2 glasses of moscato
(254	0	0	1	22.8	0	0)
4 coffee creamers 2 vanilla 2 carmel
(140	6	0	0	20	0	60) 
=840+320+1500.5+141.25+435+60+254+140
=42+20+40.1+7.6+21+5+0+6
=3+14+34.73+1+2.8+3.5+0+0
=12+24+14.53+5.625+12+1+1+0
=96+4+164.20+13.5+49.5+2+22.8+20
=6+0+6.53+1.5+9.8+0+0+0
=720+760+991.33+125+595+15+0+60</t>
  </si>
  <si>
    <t xml:space="preserve">Went to bed around 9 pm a little after 9 pm, because I wanted to wake up early, kept waking up every 30 minutes to hour with things to do because a new client booked my 9 am slot for MLD in Fontana and had to think of doing my homework for genetics and chemistry. I have an 1115 am in Riverside/Corona border that I can make it on time to as long as no traffic, leaving her house in Fontana 20 minutes after done approximately. If she wants the pkg deal it will be up front and she will have to fill out the new form. Its not that lengthy of a form. Made Mr. Growly his heart meds with a tbs of sourcream at 2 am, then went to bed, woke up at 5 am and did the normal routine. I gave him his water pill at 2 am for heart and the rest of his pills at 5 am. I leave for work at 2 pm and he needs the water pill every 12 hours. I need to make some more nachos. Folded the clothes from the dryer and had to redry the hot pack covers and the roommate's towel. Had my coffee, 1 st cup and a lg BM before finishing my 1st cup of coffee, caught up on this data input for nutrition at that time. Then took measurements after my BM and entered in this database, and made 2nd cup of coffee and calculated traffic travel time to 9 am appointment. 25-40 minutes both ways. She really wants this and has a cousin who did the same who also might want MLD for herself. I made some nacho meat with 3 yellow squash and 3 green bell peppers, 3 tbs olive oil winco brand, and beyond meat 1 pkg and had a bowl of it with 1/2 cup mozzarella cheese Aldi brand and the roommates potato baked chips a serving and put roommates laundry in dryer. My ankles aren't as swollen today and the same as they were yesterday not as swollen, but still swollen. The normal amount of swelling when they do swell. They seem to swell up a lot when I don't wear compression socks. I took a shower and got ready around 745 am, left by 820 am and got to her house at 9 am, nice lady. Stopped off at Winco for large gallon baggies for linens for clients, ran out a few days ago, and some paper towels and toilet paper before running low on those. Need instant coffee its low, but didn't remember, also used last of beyond meat so need more of that and veggies. I also got a large bag of tortilla chips party size thin from Winco. I was at 2nd clients the prepaid on 8th MLD, and cut it short on accident by 15 minutes, thought it ended at 12 but 1215. When I got back I had my 3rd cup of coffee and made their SOAP notes and receipts separately and emailed them and her saying I would give her an extra 15 minutes Wednesday at 4 pm. Also have a client Wednesday at 7 pm. I ate a bowl of the yellow squash and bell peppers with 1/2 cup mozzarella cheese and a serving of tortilla chips. Similar to crunch and texture of the Sprouts brand but larger. That was the 2nd bowl of the nachos with the pot making about 3 bowls. At work I didn't have a 4th cup of coffee, only 3 cups of coffee today. Had a double salmon bowl with spicy mayo no soy sauce, edemame, cucumbers, wasabi, ginger and brown rice. I haven't been eating all of my poki bowls with the rice, just the fish and toppings and not all the wasabi ever. I also had a half a chocolate candy bar I got from Aldis yesterday before leaving for work. And had 3 large slices of fresh pineapple that I cut earlier from a purchase from Sprouts about 4 days ago. Got home and gave Growly his water pill, he was coughing badly when I got home it was around 1030 pm when I gave him it. Tired, and was tired at work, I got the nebula genomics kit and swabbed my cheeks and sent it in after work at the post office. It might have made my throat itchy in session after my break when I swabbed my DNA off the cheeks. My throat was itchy and dry when talking the whole 90 minutes, got water afterwards and felt fine, but then my nose was a little runny in the mask. It went away by the time I drove home from work. Could be the fan and being tired, up since 5 am. There was a 'super moon' out and looked at it perfectly between the clouds on the way home on the 71 until clouds blocked it. Still high in the sky. The house doesn't have a good view because it is covered by trees in the middle of town. It was supposed to rain today and I thought it would because the clouds looked really heavy and everywhere, but not even a drizzle. Good thing, too, because I washed my charger a few days ago. I also got one of the items from Amazon in the mail, still waiting for the laptop and pet meds. Should be soon. </t>
  </si>
  <si>
    <t>Aldis Mozzarella cheese shredded, 1 serving 1/4 cup:</t>
  </si>
  <si>
    <t>Baked potato chips, 1 serving about 17 chips, 6 per bag</t>
  </si>
  <si>
    <t>Aldis Choceur Milk chocolate with Almonds chocolate bar, serving is 3 blocks, 5 per bar pkg</t>
  </si>
  <si>
    <t>DOUBLE salmon poki bowl edamame, cucumbers, double salmon, brown rice 1 cup, sesame seeds, ginger, wasabi</t>
  </si>
  <si>
    <t>pot of nacho meat with 3 green bell peppers, 3 tbs olive oil winco brand, 3 yellow squash reg sz, 1 pkg beyond meat, makes 3 bowls</t>
  </si>
  <si>
    <t xml:space="preserve">edamame 2 oz, calorieking.com </t>
  </si>
  <si>
    <t>yellow squash, 1 plant, 1 cup calorieking.com</t>
  </si>
  <si>
    <t>bowl of yellow squash beyond nachos</t>
  </si>
  <si>
    <t xml:space="preserve">2 bowls nachos
(1077.33	76.00	17.33	58.33	42.33	14.33	947.33)
1 cup mozzarella cheese Aldis brand
(320	24	12	24	8	0	720)
1 double salmon poki bowl with spicy mayo no ponzu/soy sauce/teriyaki
edemame, cucumbers, brown rice, ginger, no misago available, wasabi
(736	30.425	5.925	27.175	88.35	12.125	523.5)
1 serving Baked potato chips
(120	8.5	0	2	22	1	160)
3 servings corn tortilla chips
(420	21	1.5	6	48	3	360)
1/2 candy bar from Aldis
(360	24	10	8	28	4	40)
=1077.3+320+736+120+420+360
=76+24+30.4+8.5+21+24
=17.3+12+5.9+0+1.5+10
=58.33+24+27.18+2+6+8
=42.3+8+88.35+22+48+28
=14.3+0+12.13+1+3+4
=947.3+720+523.5+160+360+40
</t>
  </si>
  <si>
    <t>pot of nacho meat, beyond/3 orange peppers/3 tbs olive oil, makes 3 bowls</t>
  </si>
  <si>
    <t>bowl of nachomeatpeppers 4-28-21 recipe</t>
  </si>
  <si>
    <t>Hills Bros Capuccino mix, serving 3 tbsp</t>
  </si>
  <si>
    <t>nachos squash peppers last bowl
(538.67	38.00	8.67	29.17	21.17	7.17	473.67)
2 bowls nachos peppers only
(1007.33	76.00	17.33	55.33	25.33	7.33	937.33)
1 1/2 cups mozz cheese Aldi brand
(480.00	36.00	18.00	36.00	12.00	0.00	1080.00)
4 servings tortilla chips
(560.00	28.00	2.00	8.00	64.00	4.00	480.00)
1 1/2 cup pineapples fresh
(37.50	0.00	0.00	0.00	9.00	1.50	0.00)
4 tbsp Hills Bros coffee mix
(240	7	7	0	44	0	420)
=538.7+1007.3+480+560+37.5+240
=38+76+36+28+0+7
=8.67+17.3+18+2+0+7
=29.17+55.33+36+8+0+0
=21.17+25.33+12+64+9+44
=7.17+7.33+0+4+1.5+0
=473.7+937.3+1080+480+0+420</t>
  </si>
  <si>
    <t>Woke up at 5 am and got out of bed at 530 am, went to bed around 11 pm. Gave Growly his meds without water pill, he needs that around 9-1030 am, and fed the babies, had my cup of coffee and a reg BM, fold laundry from yesterday, and updated this database with nutrition. Won't have time tomorrow to finish the ch8 hw so I might skip chemistry lecture and lab today to do that, I need to finish the hw for ch11 genetics today by tonight. Also have a ch7 quiz in chemistry Thursday at lab meeting. Don't want to skip that class. I am not sure if our attendance is graded because she always takes attendance, but she also posts the videos usually by the next morning. Measurements taken after reg BM and 1 cup of coffee and peeing. Before breakfast and before starting hw ch 11 for genetics due today. Finished the lab around 1030 pm and went to lab and lecture. Still have all of ch 8 hw to do, due tomorrow, I read through the ppt slides and finished the ch11 hw for genetics around 9 am. Had my client around 12 pm and brought her some beyond meat, I picked up on way to her house, got some peppers and beyond meat and made a pot of nachos with 3 yellow orange bells and beyond meat and olive oil, and had 2 bowls makes 3 with 1/2 cup mozz cheese for both, had 4 slices of pineapple fresh about 2 cups, and 4 total cups of coffee, with 2 of them the Hills Bros, sweet instant powder cappucino type coffee with added sugar. Breakfast was the left over squash nachos bowl, then had a bowl of the nachos meat recipe today with just peppers for lunch and 1 for dinner with the pineapples. About 4 servings of corn tortilla chips in all throughout the day. Went to bed at 1130 pm. BTW ankles were swollen a little in morning and a lot by bedtime, flexing my foot caused limited ROM when pulling ft up to flex, dorsal extension and plantar flexion.</t>
  </si>
  <si>
    <t>Welchs fruit snacks lg bag superfruit flavor</t>
  </si>
  <si>
    <t>two slices,a serving, of 8 pcs of variety cheesecake in 8" cheesecake, Signature Brand, Albertsons</t>
  </si>
  <si>
    <t xml:space="preserve">bowl nachos beyond/peppers/olive oil
(503.67	38.00	8.67	27.67	12.67	3.67	468.67)
2 servings tortilla chips
(280	14	1	4	32	2	240)
1/2 cup mozz cheese Aldis brand
(160	12	6	12	4	0	360)
2 oranges
(162	0	0	4	42	8	4)
3 slices of pineapple
(37.5	0	0	0	9	1.5	0)
1 slice small strawberry swirl cheesecake from variety small cake
(220	14	5	3	24	1	115)
large bag of Welch's superfruit fruit snacks from DDs
(120	0	0	8	176	0	200)
5 creamers
(175	7.5	0	0	25	0	75)
=503.7+280+160+162+37.5+220+120+175
=38+14+12+0+0+14+0+7.5
=8.7+1+6+0+0+5+0+0
=27.7+4+12+4+0+3+8+0
=12.7+32+4+42+9+24+176+25
=3.7+2+0+8+1.5+1+0+0
=468.7+240+360+4+0+115+200+75
</t>
  </si>
  <si>
    <t>swollenAnkles</t>
  </si>
  <si>
    <t>This is 1 if the ankles, knees, or feet were swollen, because the knees and feet are swelling/swollen with edema when ankles are, from uterine fibroid blocking circulation and stress making lymphatic system less productive, sensitive to sodium if too much the day before, not enough sleep as used to , or other changes, like the covid-19 vaccination, added 4/24/21 after noticing swelling in ankles is less but still present</t>
  </si>
  <si>
    <t>pot pasta 4/29/21 makes 4 bowls fettucini barilla gluten free, beyond meat 1 pkg, 3 tbs olive oil winco brand, prego 3 cheese sauce</t>
  </si>
  <si>
    <t>bowl pasta 4/29/21</t>
  </si>
  <si>
    <t>3 eggs scrambled
(186.2	13.3	3.99	15.96	0	0	186.2)
1/4 cup almond milk to scramble eggs in
(7.5	0.625	0	0.25	0.25	0.25	42.5)
2 tbs olive oil Winco brand 
(260	28	4	0	0	0	0)
1/4 cup mozz Aldi brand in 1st bowl of pasta
(80	6	3	6	2	0	180)
2 bowls of pasta todays fettucine/prego3cheese/1pkgBeyond
(1460	63.75	14.25	57	169.5	12.5	1900)
2 1/2 slices cheesecake or 1 1/4 serving
(550	35	12.5	7.5	60	2.5	287.5)
1 orange
(81	0	0	2	21	4	2)
2 strawberry poptarts
(400	10	5	4	74	1	240)
=186.2+7.5+260+80+1460+550+81+400
=13.3+0.625+28+6+63.75+35+0+10
=3.99+0+4+3+14.25+12.5+0+5
=15.96+0.25+0+6+57+7.5+2+4
=0+0.25+0+2+169.5+60+21+74
=0+0.25+0+0+12.5+2.5+4+1
=186.2+42.5+0+180+1900+287.5+2+240</t>
  </si>
  <si>
    <t>Woke up at 430 am, got about 5 hours of sleep but have to do the folding of laundry, and start the ch8 chemistry hw to get as much done as possible, I have a couple clients today after work at 4 and 7 pm and get out of work at 3 pm. I won't get back until about 845 pm, then have to do the laundry and dishes and have a few hours to do homework due at 11:59 pm. These assignments take 4-6 hours unfortunately. and it is 20% off each day late. or 10% each half day late. ankles swollen today as they were yesterday. 3rd cup of coffee after completing 7 problems, have 6 more to go with # 8 having 5 parts. There are more than 6 calculations left, many more is most likely, as it took me from 445 am until 730 am to answer 7 problems with multiple calculations and steps in most of those problems. Running late already but took measurements before eating breakfast nachos, I can pack fruit to go and eat nacho to start while drinking 3rd cup of coffee, shower still have to fold laundry. and shower. Didn't have time to shower after folding laundry and eating and getting ready. Brushed teeth and washed face. On the way to work a lot of traffic and ate my 3 slices of pineapple I packed about 1 1/2 cups At work for lunch, I had my 4th cup of coffee and 3 carmel creamers and 2 french vanilla ones and 2 oranges, and I had a small slice of cheesecake from a set of signature brand Albertsons slices in a pie of cheesecake. It was frozen slightly, and ate with hands like a tart or similar. Was able to stop by the house at around 4 pm before my first client, feeling tired, now it hit. I had 1/2 a bag of the fruit snacks I bought a small gift less than $5 of a wax candle burner of a buddah head at DDs for my client, her birthday is this weekend. I had about a serving of tortilla chips in car on the way to 1st client's house and the whole or rest of fruit snacks, Welchs superfruit large bag for energy, it helped keep me alert and not tired or drained. Then stopped at home put in wash, went pee, washed dishes, and left for 2nd client's massage. Got back just before 9 pm to finish homework. I gave Growly his evening water pill around 9 pm the start of it. Finished the hw on time with about 50 minutes left thankfully got all right and all points possible no late work deductions. I had my 5th cup of coffee for the day when I got home, didn't eat anything, surprisingly. Was very tired and went to bed at a little after 11 pm, around 1115 pm, without putting laundry in the dryer. I looked at the 'super moon' last night, just a big full moon high up in the sky on the 71 and didn't start my menstruation today. Thought it had something to do with why my last menstruation started up during its final cycle phase into full heavy mode for weeks. That was not the case</t>
  </si>
  <si>
    <t xml:space="preserve">Woke up at 530 am and got out of bed at 540 am. Got about 6 hours of sleep as I went to bed at 1130 pm approximately last night after finishing homework. I gave Growly his meds other than water pill, have to give him that around 9 pm for the 12 hour water pill. Others are 24 hours. He has 1 pill left of the one I have been waiting a week for the online pharmacy to fill and send, because they were closed on the weekend and the veterinarian didn't confirm the prescription on Monday as her day off and on Tuesday because she is too busy and nobody in her office can confirm it for whatever reason, and they sent it off finally after I had to tell them I was upset and haven't left a bad review on Yelp showing how they care for your pets' health by not confirming prescriptions to medication in a timely manner. But they said they filled it finally, but still haven't gotten or received the confirmation. It took me until 745 am to fill out the SOAP notes and receipts from clients yesterday and fill in my nutrition information, didn't even study yet for quiz today, and will go to genetics lecture in an hour. I put the laundry in the dryer around 6 am after it spun a cycle to get any extra water out of it. I have to email the pharmacy now to see if they are keepin on top of my pet's needed medication, he only has 1 day left of it. Had a lg BM around 630 am before starting SOAP notes and before 2nd cup of coffee. Had 3rd cup of coffee by the time I took my measurements but didn't drink all of it, or have breakfast yet. Had to pee a lot in morning, feeling brain fog sluggish. Need to go to the grocery store too and bank to get a money order and deposit client's check from Tuesday for subscription monthly massages and gift card. I have been weighing 141.6 for four days now and reset it, It said 3.4 lbs when placing on floor with nothing on it, and when I stepped on it again it said 141.0, so now I need a new weight scale it is inaccurate and giving me inaccurate results. I ate less calories yesterday than previous days, and there has been variations in caloric content over 4 days and everyday it says 141.6 in exactly the same spot I place it to stand on it. Ankles are still a little swollen. My feet aren't but R knee isn't feeling pressure as it was previously from compression socks. Got sick around 4th cup of coffee before finishing it, felt flu like, had a reg BM some diarhea, my ankles are swollen and they hurt when moving my feet circular. I think my legs are swollen too. All that stress and still didn't do good on her impossible quizzes. I was able to sit through it and answer some questions but not sure they are right. Didn't answer 1 question. They were time consuming questions and felt like they had too much information in the quiz to answer the question, didn't know what they were asking or too many calculations to spend on one question. Made a pot of pasta just fettucine with prego 3 cheese 1 pkg beyond meat and 3 tbs olive oil cooking the plant based meat. My stomach was cramping up later. I did get sick after a slice of the cheesecake around 10 am. Then had another slice and a half around 5 pm studying for the exam and after eating a bowl of pasta. Will have to review the lecture on ch 9 slides or just read them. We are reviewing a midterm that we did two weeks ago then finishing the ch9 ppt in lab, and the midterm was 2 weeks ago with a key provided, so it seems redundant. We are going to be reviewing the quiz too if time allows. My stomach is cramping up again, it could be the cheesecake that made me sick. Or an orange I ate after the slice and  a half of cheesecake, it was sort of sour like it was old, spoiled, got it at Aldis prebagged. I also ate two of those oranges yesterday that could have made me sick around 12 pm. But I did have 3 scrambled eggs with almond milk that has been in there about 2 weeks now, and it only lasts 10 days. The almond milk was used to cook the eggs, and 1 of the 3 eggs was from a month ago, that carton wasn't used up. That could have made my stomach sick. They are organic and cage free eggs. I haven't eaten eggs in a while. It was warm out today too, felt like 95 degrees, but when I looked at my cell phone around 3 pm it said 74 degrees. I just checked and my phone was probably showing last update, because at 2:53 pm it was 93 degrees and at 3:53 pm it was 97 degrees farenheit. Still not on my rag, but the roommate said I left blood on the toilet. Probably from chewing the sharp ice cubes that aren't fully frozen, they cut my gums and when I have to spit I spit in the toilets some times and probably did that and got a little blood on the seat. I didn't notice it though. </t>
  </si>
  <si>
    <t xml:space="preserve">Woke up at 5 am and got out of bed 10 minutes later, chilled to start morning looking at news articles, and knowing I have lots to do. Rent due tomorrow, but no time to go to the bank to get a money order, and not going to Walmart. Did the usual, went ahead and gave Growly his water pill at 530 am with his other meds, the last pill that we ordered and his other pill, fed the babies, he's doing better still coughs and has some heavy deep lung cavity breathing, but that could be when its hot. Started running the AC yesterday. He slept better. Had 2 cups of coffee, and really need to go grocery shopping. I need to get some items. I have food, but not other quick fixes like protein powder, a new milk. I have two MLD clients later tonight. Went to bed after the lab ended. Have to fix the sig figs. but I have to back track all my calculations to put in the tables. Sig figs get confusing. I do have the calculations but have to compare with the number in lab manual provided. I am sure tons of homework as well. Expecting my laptop and Amazon wants to deliver it tonight by 10 pm when I won't be there because of my clients after work. One still needs a consent form filled out. Had a regular BM after 2 cups of coffee then took measurements around 6:25 AM. Noticed my R foot is swollen slightly and my ankles slightly swollen too but doesn't hurt as bad rotating the feet around the ankles. The client tonight didn't answer the door when I rang her ring camera doorbell twice, knocked on it once, or when I called. When I left she called 15 minutes later. I told her it was too far. Really, the neighbors leave screws in the street spots to deter people from parking, it is 40 minutes away instead of 30 minutes, I had to park in the only street parking spot 5 houses away on another street, and they didn't respond when I was there. Got my new laptop, and on it now, but the old one broke and the battery is expanded out and the fan didn't shut off. I don't know why, but am trying to access the files and have copied the drive of 800+ GB to move to my portable storage that holds 4TB of data, this device only holds 256 GB of data. My legs and ankles and feet are swollen a lot. My inner thigh on the left hurts lifting my knee. The thigh measurements I have been taken are above the thigh and below the glute in that space that can be squeezed along the tape measure. I added the other computer 16 GB RAM to this which only had 8 GB RAM, it takes forever to turn on just like the other HP that just broke. I thought it was broken. It does have the fast USB port, but I cannot use the fast USB-C portable device because it only holds 512 GB of data. And I cannot access the individual documents, hoping to transfer to the hard drive thats portable then be able to access the files. I am logged onto the same Windows Office subscription I have on all my laptops, this one is the 3rd now. For breakfast a bowl of pasta, banana, and grapefruit. I went to Sprouts because I left early and got peppers, eggplant, protein vegan powder, and bananas and orange. I had the last of this pasta for lunch, an 85 degrees celsius vietnamese iced coffee, a slice of strawberry mouse cake from same place, and an orange I packed. Then on the way home after work I ate a serving of tortilla chips in the car, and got home to make a serving of the protein powder I just bought with a banana, orange, and 1 1/2 cups almond milk. I got back from the no show, they tried to call to have me come back, 15 minutes after I left and I didn't want to. Then I got home and cleaned out the top drawer that was a mess, threw out junk and boxes I had in my bookshelf from items I have had a couple years, and had the last serving of the Potters vodka with ice cubes and water. Had some guy call about pricing on massage for his arm and answered his questions. Could be the guy that got my card at my other client's two nights ago. Also, before I left for my 7 pm appointment one of my other client's wanted to book the 7 pm for her grandma who has a low back pain that won't go away. I had to ask her to book on the weekend because I had a couples massage at 7 pm tonight. Also, I was spotty in the late morning then when I got home from work I started my light flow of menstruation. </t>
  </si>
  <si>
    <t>Vegan Protein powder Sprouts, 1 serving is 1 scoop , 30 servings per container</t>
  </si>
  <si>
    <t>vietnamese coffee, https://www.nutritionix.com/food/vietnamese-coffee</t>
  </si>
  <si>
    <t>stawberry mouse cake, using deluxe strawberry cake, http://www.85cbakerycafe.com/wp-content/uploads/Nutrition-Facts.pdf</t>
  </si>
  <si>
    <t>vietnamese coffee
(157	4.3	2.7	4	26	0	65)
strawberry mouse cake
(310	19	11	5	31	0	95)
2 bananas
(208	0	0	2	54	2	6)
2 oranges
(162	0	0	4	42	8	4)
2 bowls pasta 4-29-21 recipe
(1460	63.75	14.25	57	169.5	12.5	1900)
1 grapefruit
(92	0	0	2	24	2	0)
1 serving Sprouts vegan protein powder
(120	2.5	0	20	5	2	340)
1 1/2 cups almond milk
(45	3.75	0	1.5	1.5	1.5	255)
=157+310+208+162+1460+92+120+45
=4.3+19+0+0+63.75+0+2.5+3.75
=2.7+11+0+0+14.25+0+0+0
=4+5+2+4+57+2+20+1.5
=26+31+54+42+169.5+24+5+1.5
=0+0+2+8+12.5+2+2+1.5
=65+95+6+4+1900+0+340+255</t>
  </si>
  <si>
    <t>icecream vanilla stater bros 1 serving 3/4 cup</t>
  </si>
  <si>
    <t>frosting extra on cupcake, 1 cupcake, https://www.calorieking.com/us/en/foods/f/calories-in-cakes-carrot-with-cream-cheese-frosting/6YkphN6KQ0m5MxNKMXQLAw</t>
  </si>
  <si>
    <t>strawberry cupcake
(300	16	3	3	37	2	320)
2 servings protein powder Sprouts brand vegan
(240	5	0	40	10	4	680)
2 cups almond milk almond breeze
(60	5	0	2	2	2	340)
2 servings vanilla icecream stater bros brand
(400	24	14	6	40	0	100)
2 bananas
(210	0	0	2	54	6	2)
1 grapefruit
(92	0	0	2	24	2	0)
1 bowl pasta 5-1-21 red fennel penne peppers eggplant
(737.25	22.7375	6.2125	49.075	91.55	16.825	951.5)
nitro cold brew grande sweet cream iced coffee
(70.00	5.00	3.50	1.00	4.00	0.00	20.00)
=300+240+60+400+210+92+737.3+70
=16+5+5+24+0+0+22.74+5
=3+0+0+14+0+0+6.21+3.5
=3+40+2+6+2+2+49.1+1
=37+10+2+40+54+24+91.55+4
=2+4+2+0+6+2+16.8+0
=320+680+340+100+2+0+951.5+20</t>
  </si>
  <si>
    <t xml:space="preserve">Woke up at 530 am by alarm, Goody was barking again at 430 am but went back to bed after letting him on the bed. Ran the AC last night and the night before but not in the day. Chilly in the morning. Went to bed around 11-1130 pm. With the copying and moving of data to portable from hard drive, but when I woke up even when the computer was locked, it didn't move the copied about where left off because of some error with access privileges, I unchecked it while on computer getting my logins to email and other sites and it started moving the copied data. Still stuff I cannot access. But nearly 1 TB at 900 GB, last night it stopped when I went to bed at about 730 GB to go, and right now at 636 am it has 676 GB to move. I had lg BM after 1st cup and am on a medium flow menstruation possibly heavy later. Also working an extra 2 hours at work after work because I agreed to it a few days ago on Thursday or Tuesday. I have to leave soon and shower soon to make it to work by 750 am. Have clothes in the laundry. Took measurements after BM and before breakfast, transferred the rent roommate owes from his account with his permission. He always bitches about it, but he has 10s of thousands of dollars, just a cheap skate. His left over inheritance from a great uncle he barely knew, could be responsible for his 6 months in coma from a head injury around age 6 when he was riding a dirt bike and crashed into a tree in the desert area the uncle lived. Or not. It was by default because him and his aunt and the uncles siblings got it as decadents. Him by default because his mom is dead around same time he had a head injury from a poisoned heroin overdose in the 70s in Norco CA. Ankles slightly swollen but not as bad as last night. I can put my leg up on step while standing at computer without feeling pain and pressure. All that downloading or copying of the hard drive to my portable drive didn't work, took a long time to delete too, but put the hard drive in other lap top and moved files I was able to access by logging in. I had a glass or serving 3 second pour of the GreyGoose vodka with water, no ice cubes because none, hot day today but not too hot. Did this after work. I got a money order at Albertsons for rent and it was less than $2 which is super cool, because otherwise I would have paid $10-15 at Wells Fargo the closest bank. Good to know these grocers have low prices like Winco and Walmart for the services I need. Work was busy, no more 15 minute breaks, less disinfecting on areas that are accessible and only areas client or myself touches or breathes on for clients. So, was able to make that work. Just like before quarantine started. Might have a new client, a local MLD client, too bad the other didn't work out, but too far. I advised her on being able to get the same service at most massage franchisees of corporate brands in office/clinic. For lunch, I went to Drip in Chino Hills, but they were closed and got a strawberry cheesecake cupcake for $4 that was super delicious, then to Albertsons for a cold brew sweet cream vanilla iced coffee that again looked just like the nitro cold brew very light. They all taste the same. I also had the protein shake I packed with 1 1/2 bananas, 2 cups Almond milk, 1 scoop or serving of the Sprouts protein powder and that was it. For breakfast it was a protein shake without almond milk but my 3rd cup of coffee and a serving of the same protein powder with a serving of the Stater Bros vanillla icecream I got to give Growly his meds but have been giving it to all my babies and eating it myself. Also had a serving of the icecream when I got home. I also had a grapefruit that I left in the bag of the van from my grocery trip to Sprouts yesterday. I made a pot of red fennel pasta with 1 pkg beyond meat, a yellow and orange bell pepper and a small egg plant without olive oil. My ankles were swollen at work and the last few days my inner thigh hurts as well as the swollen legs like it is being stretched from inside the arteries of thigh inner thigh, or something. Many clients, three direct or indirect clients have had symptoms of swollen lymph nodes from pfizer or other vaccine, and I think this is what I am still experiencing. Skin on calves itched but probably from shaving and I have been getting itchy every so often under waist trimmer too at random spots. I extended my shift to 4 pm instead of 2 pm just for today and they were able to get me 7 hours of massages for 6 clients, two were 90 minutes. Plus the 15 minute breaks are gone now for disinfecting. Normally it is around 4.5-5 hours of massages from 8 am to 2 pm. I didn't pick up any cheese or other supplies like dish soap. I still have a whole bottle left but we run out fast and like to stock up. Had a bowl of pasta plain, and tasted the same except no parmesan or mozzarella cheese. Used last of beyond meat and need more. I ordered another HP battery for laptop, it is the battery for the reason lap top broke and wasn't closing, it kept expanding, maybe heating up or something. Not sure. only had it a year, an HP I got at Best Buy. South Corona I think. This new one is also an HP Pavillion but now I added extra 16 GB of RAM from other broken one and it has 24 GB RAM and a NVIDIA gaming card for parallel processing of data when I start the python machine learning for Tensorflow or similar TPU capability. I have wanted this for a while. I only used the other laptop to take my quizzes on respondus or proctorio, and now I will use it as my old lap top, but transferred the files to this new one. When I get my HP replacement battery I will put the acer hard drive in it, they're the same HDD and size might not be the same brand, likely not, but they fit each other. I will keep that one as a back up laptop for when the software slows it down and I break it open and crack some pieces off of it or whatever will or can happen in a year. Probably going to bed by 930 pm, already 907 pm, and tired, getting cramps, bleeding medium, probably heavy throughout the night though. Water nearby. </t>
  </si>
  <si>
    <t>Woke up at 520 am and got out of bed when alarm went off. Went to bed around 930 pm, and got up even earlier to take dogs out and change mensa pad because bled all over bed. Forgot to put towel down. And cleaned some pet messes at 4 am. Didn't feel dehydrated. Filled in the blanks of ppt for genetics ch 11 week 10 on to week 11, this instructor includes the spring break and now every week is actually +1 but for consistency with my chemistry course I will keep it week 10 instead of 11 and so on. Gave Growly his meds first thing while feeding babies their food. Had a couple cups of coffee and  a BM halfway through 2nd cup or after it, definitely after 1st half of ppt to fill in blanks. Good thing I can take the file with me to use on this hard drive that hooks up to my Samsung Galaxy phone like a separate hard drive. I will see about looking over the ppt filled in on my break. Took measurements before eating breakfast and after completing the fill in the blanks of ppt and after 2 cups of coffee. Somewhat chilly but not enough to put heater on and had AC on low last night. Ankles slightly swollen but doesn't hurt to put knee up when standing at computer. Heavy mensa during the day, not super heavy only a few blood clots dropped during day. Gave the roommate a massage when I got home for his upper body only today focusing on LB and both shoulders, CBD on both, 2 types, massage gun, and infrared light on LB only. Uploaded to youtube. Need to add to the blog pops day post to update. Had a diluted vodka Greygoose with cold water no ice and relaxed. Read through genetics ch 11 and ch12 ppt slides and was going to watch the ch12 prerecorded lectures but didn't, went to bed around 915 pm. The roommate was loud when he got back from his errands on his day off. I had a bowl of the 5-1-2021 pasta recipe for breakfast, lunch after work, and dinner after the drink, with the last two a 1/4 cup mozzarella cheese Aldi brand, because I stopped by after work to get cheese and other items like dishsoap, paprika, parsley, corn tortillas Romero's brand, etc. For lunch at work I had a 2 serving protein powder almond milk, 2 banana smoothie/shake and a grapefruit and my 4th cup of instant coffee, opted out of work breakroom keurig today.</t>
  </si>
  <si>
    <t>pot of pasta red fennel penne, prego 3 cheese, pkg beyond meat, yellow and orange bell pepper, no olive oil, sm-med eggplant, makes 5 bowls</t>
  </si>
  <si>
    <t xml:space="preserve">3 bowls pasta 5-1-2021 recipe
(1769.4	54.57	14.91	117.78	219.72	40.38	2283.6)
1/2 cup mozz cheese Aldi brand
(160	12	6	12	4	0	360)
1 grapefruit
(92	0	0	2	24	2	0)
2 servings protein powder Sprouts matcha green tea
(240	5	0	40	10	4	680)
2 cups almond milk
(60	5	0	2	2	2	340)
2 bananas
(210	0	0	2	54	6	2)
=1769.4+160+92+240+60+210
=54.57+12+0+5+5+0
=14.91+6+0+0+0+0
=117.78+12+2+40+2+2
=219.72+4+24+10+2+54
=40.38+0+2+4+2+6
=2283.6+360+0+680+340+2
</t>
  </si>
  <si>
    <t>morning star crumbles, serving 3/4 cup, https://www.google.com/url?sa=i&amp;url=https%3A%2F%2Fthefamilychapters.wordpress.com%2F2009%2F08%2F01%2Ffood-review-1-morningstar-farms-meal-starters%2F&amp;psig=AOvVaw1Xg5yiixpg7sZh5Wd02YMr&amp;ust=1620198703449000&amp;source=images&amp;cd=vfe&amp;ved=0CAIQjRxqFwoTCJjZvNO8r_ACFQAAAAAdAAAAABAN</t>
  </si>
  <si>
    <t>hummus bowl with vegan beef, 2 servings hummus, serving feta, vegan beef about 3/4 cup, and some pickled beets, cucumbers, and tzaziki sauce</t>
  </si>
  <si>
    <t>slice pita bread,https://www.calorieking.com/us/en/foods/f/calories-in-bread-rolls-buns-whole-wheat-pita-khoubiz-pocket/BFEqHcorQw-TiBWMm8do0w</t>
  </si>
  <si>
    <t xml:space="preserve">bowl of 5-1-21 pasta
(589.8	18.19	4.97	39.26	73.24	13.46	761.2)
3/4 cup mozzarella cheese Aldi brand
(240	18	9	18	6	0	540)
1 1/2 cup vanilla icecream
(400	24	14	6	40	0	100)
6 corn tortillas Romero Aldi brand
(216	0	0	6	42	6	108)
2 servings Sprouts vegan protein powder
(240	5	0	40	10	4	680)
2 cup almond milk Almond Breeze brand
(60	5	0	2	2	2	340)
1 cup frozen mixed berries Winco brand
(80	5	1	1	20	9	0)
1 hummus bowl, 2 servings hummus, 1 serving feta cheese
,vegan beef, pickled beets, cucumbers, kale, wheat pilaf
(1185	59.3	15.9	45.4	126.6	24.1	2321)
1 slice pita bread
(170	1.7	0.3	6.3	35.2	4.7	340)
1 grapefruit
(92	0	0	2	24	2	0)
=589.8+240+400+216+240+60+80+1185+170+92
=18.19+18+24+0+5+5+5+59.3+1.7+0
=4.97+9+14+0+0+0+1+15.9+0.3+0
=39.26+18+6+6+40+2+1+45.4+6.3+2
=73.24+6+40+42+10+2+20+126.6+35.2+24
=13.46+0+0+6+4+2+9+24.1+4.7+2
=761.2+540+100+108+680+340+0+2321+340+0
</t>
  </si>
  <si>
    <t>Woke up at 530 am and got out of bed, not by alarm, it was a few minutes after 530 am, have things to do before getting ready for a local new client at 11 am and going to work. My normal 11 am client is finishing up her birthday weekend, and has last of 10 MLD massages this Wednesday before signing up for another package. I finished the discussion for genetics and response, have a quiz study guide to study for in genetics and homework and a lab to finish up on the sigfigs I have been putting aside. Fed Mr Growly his meds this morning with the babies' food, had a couple cups of coffee by 7 am and finished the discussion around 645 am and input the nutrition for yesterday from my notecard of written meals for yesterday. The roommate was loud last night and I told him around 2 am that I was going to be loud when he goes to bed if he didn't quiet down, a lot of noise with dishes and banging them and the doors as he entered and exited the outside because no other doors in our apartment. Didn't have a BM by the 2nd cup of coffee or afterwards, and had the heater on this morning because I was cold. He turned it off in the middle of the night because he said I didn't need it on. I pay the electricity here even though it is in his name now. I will watch the prerecorded lectures in genetics with my 3rd cup of coffee and see if I have a BM then take my body measurements and get ready for my client scheduled for 11 am. But want to be out the door by 1030 am if local and not some part of Corona far away. Bleeding med-heavy today and few clots, had a heavy moderate mensa flow during the night. Had a reg lg BM before 3rd cup of coffee, drank 3rd cup of coffee did the edits to square booking site and added link to latest youtube demo, then took measurements by 750 am. Then had a bowl, the last, of the 5-1-21 recipe pasta with 1/4 cup mozzarella cheese. Watched the 1st prerecorded ch12 lecture of last week, and had a serving and a half vanilla icecream and gave babies their own, and then 3 quesadillas normal style with added parsley flakes. Went to clients, she signed up for the 10 pack of MLD massages, nice lady, professional tax/acct biz owner, many health abdominal factors. Used Square, will go in savings 450- fees and whats remaining for the 45 per massage. Lives 20 minutes away, 15-20 minutes, in range. Will be 9 am on Mondays and 11 am on Thursdays until June 3rd. Stopped out of way other side to go to bank to deposit my Tuesday client's check she gave last week. Been so busy, its prepaid anyhow, no rush. But if I wait too long the client might forget she wrote a check and it throw off her balance. See her tomorrow also a very nice lady. Had a yuckky, not yummy, sweet cold brew iced coffee from Dunkin Donuts on the way back and just like I said yucky, not worth the $4 and some change as tip. I also stopped by Target and got more sanitizing wipes, lg laundry detergent, dryer sheets, 2 lg bottles of hand lotion for dry skin and protect hands after all the rubbing alcohol and soap I use and lather on. And some Q tips because I haven't bought any from this 500 qtip box in probably more than a year. The roommate went to the urgent care and his ear ache he has had a week now is because of what looks like a piece of plastic in it, and not sure how it got there, but he told me while I was at work in an audio clip because he had advanced beyond misspelled text messages and straight to audio messages. At work I had a smoothie I made at home, this protein powder tastes the way dog food smells, not getting into it, but its pulling my protein to fat/carb ratio up and not using it as a meal replacement. I had that of 2 servings protein powder, 2 cups almond milk, and a cup of frozen mixed berries the winco brand. Also had hummus republic, cheated on gluten free and had their plant based probably soy or morning star brand type meat made of soy and has gluten, with some added crunchy, uncomfortably like stale cruncy wheat grains, and a slice of their heated pita bread that got hard fast and almost stale after 10-15 minutes while eating it after driving across the parking lot in traffic of the shopping center. Then also had a grapefruit from the bag of grapefruits left in the car. Still haven't made the new client her receipt or SOAP notes and will get to it, I also poured another serving of the greygoose vodka and cold water with separate glass of ice. The roommate moved his stash to the other side of his bed cabinets with hats over them. He must know I am taking his alcohol. I will replace it from Rite Aid when I find time. I hope he didn't poison them, he said not to drink them because they are his boss's he hasn't worked for since December, and it is May. He grabbed the bottles from a table or hotel they were recording with his rappers and never gave them to him. He wouldn't poison them, he's not like that. Hopefully, that vaccine isn't poisoning me either. Scared to see if my lower body swells up with the next dose since my ankles and feet swelled with this one for a week and lingered. Today my ankles were slightly swollen, and my knee only a little uncomfortable stepping up while standing at computer. My mensa started heavy but got down to medium flow by 1130 pm. I have a busy week this week. I forgot to mention my HP lithium ion battery I ordered 2 days ago arrived and I picked it up after getting the yucky dunkin donuts version of sweet cream cold brew. I fiddled with it but forgot to put the RAM in before work, then did put the RAM in, because the fan kept running. But it works fine, has the drive I don't use but to take proctorio or respondus for exams online.</t>
  </si>
  <si>
    <t>donuts roommates, 3 chocolate</t>
  </si>
  <si>
    <t>donuts roommates, 2 glazed</t>
  </si>
  <si>
    <t>barilla red lentil pasta 4.5 servings of 2 oz servings</t>
  </si>
  <si>
    <t>pot of red lentil penne pasta, 1 1/2 bell peppers yellow orange, 1 eggplant med-sm, prego3 cheese, no olive oil, makes 4 bowls</t>
  </si>
  <si>
    <t xml:space="preserve">4 servings vanilla icecream
(800.00	48.00	28.00	12.00	80.00	0.00	200.00)
bowl of red fennel pasta/prego 3 cheese/eggplant/1 1/2 bells yellow orange
(305.13	3.61	0.65	17.70	55.43	9.08	601.25)
1 cup almond milk
(30	2.5	0	1	1	1	170)
5 donuts
(1260.00	75.00	45.00	10.00	140.00	3.00	1040.00)
6 corn tortillas
(216.00	0.00	0.00	6.00	42.00	6.00	108.00)
3/4 cup mozzarella cheese
(240.00	18.00	9.00	18.00	6.00	0.00	540.00)
=800+305+30+1260+216+240
=48+3.6+2.5+75+0+18
=28+0.65+0+45+0+9
=12+17.7+1+10+6+18
=80+55.4+1+10+42+6
=0+9.1+1+140+6+0
=200+601.3+170+3+108+540
</t>
  </si>
  <si>
    <t xml:space="preserve">Woke up at 630 by alarm after actually waking up 10 minutes earlier and laying in bed tired, got 5-5.5 hours sleep. Went to bed around 130 am. Finished the lab with correct significant figures, but didn't email it to my chemistry professor by 8 am. Did the usual routine, gave Growly only one of his 3 pills, because 2 others were given around 1 am last night for the every 12 hours, and this one is the every 24 hours, the next ones around 1 pm for 12 hour pills, when I get back from my 12 o'clock client. Last night a client without many knots a  female, said she felt 'ok' after the last massage for an hour and a half, then I turned up the lights and didn't care for her, quiet whole time, slept some in session, but said she felt 'ok' was irritating. She didn't have any knots to work out and wasn't definitive about what type of massage. She mostly gets facials and had one massage with Matt who I don't care for, he's a bully, and I have been ignoring him since the last time I 'snitched' on him he calls it for sneezing a rocket explosion of snot in break room twice around October. The kind of dude I wouldn't mind randomly jabbing in the face a couple times. Loser dude, but has to get all chummy with coworkers, seen him sexually harass a girl who sits with her elbows right next to him in the breakroom. They are anti-maskers. She used to eat a banana or other 'fallic' food items to a pervert, and he'd say some stupid sexual comment about a whistle or holler of guys misbehaving don't remember what exact words, but I complained and haven't seen it. I am snitch to him and he tried to bully me into apologizing for him getting his nasty big belly big nosed snot molecules in the air. Total scumbag, again the type I wouldn't mind taking a few jabs to the nose just to see his head snap back. But anyways, lady didn't leave a tip and it upsets me. I really don't like thankless people not paying their service share of gratuity on a service they want to get exactly the price, and show the employees thanklessness and comment that they basically didn't like the massage. I ate a couple of the roommates prepackaged donuts that were dry just now around 8 am, had 2 cups of coffee and no BM, try with a 3rd while I look at the ch9 ppt slides. Watched the ch12 part 2 ppt in genetics instead of ch9 ppt of chemistry. Then watched a redundant Ameoba sisters video on reading or how to read a codon chart that is self explanatory from last video, but 8 minutes to see it again. No reason I should ever not know how to read one even when I am 90 years old. No BM by 4th cup of coffee, but did eat a total of 5 prepackaged reg donuts. 3 chocolate and 2 glazed. then reviewed the ch9 ppt, I have hm for ch 9 due the 7th in 3 days. Want to install a linux, ubuntu, on this 24 GB RAM and NVIDIA machine to start the code and tutorials of the Bioinformatics with Python Cookbook. It can wait. Want to shower in 1/2 hour after reading ch 9 ppt. Finally, had a lg BM slightly dehydrated by 10:05 AM after almost finishing my 4th cup of coffee and 25% of the ch 9 ppt slides. 5 donuts accounted for, a side of chips inbetween, the baked lays 65% less fat of roommate's, 4 cups of coffee by 1030 am, went to client's then stopped at Stater Bros to get a gallon of vanilla Swiss icecream, a bottle of grey goose vodka that was locked up but $1 cheaper than the Belvedere I was going to get, the cashier released it for me, while some weird judgemental non eye-contact fat hispanic lady buying a couple bags of pork skins and other smaller items waited. I also bought individual canned catfood because they only had the seafood type in a  box of 24 that the babies and cats don't care for. At home, read some more of ch9 did the laundry in the wash, and had 3 quesadillas normal style with added baked lays, and 2 servings vanilla icecream before 245 pm. Then class starts at 3 pm, and logged in before that time for the chemistry lecture, my Left thigh bone area and inner thigh ache at random like low immune cells and generating more. But it comes and go, not straight pain. I noticed it happened a few days ago with bone pain that went away, but the inner thigh feels like a vein or artery being stretched. or myfat cells being stretched. Got to slide 42 out of 65 before logging into the lecture. Ankles still swollen not as bad but got worse over the day. The left aches lifting or rotating it. The electricity kept going out and stayed out a good 20-25 minutes at 5 pm, lab starts at 6 pm, and I had it go out for 2-5 minutes before internet up and running at 4 pm during the lecture that ends at 430 pm. I called and got an automated prompt saying it is aware of the outage in our zipcode due to a voltage problem they are repairing. Had a serving of the vanilla icecream or 2 that fit exactly in my cup after blended with 1 cup of almond milk and topped with cinnamon. Drank it fast it had my 5th cup of instant coffee in it a tbs of it. Didn't wake me up, made me tired, around 420 pm. I plan on having some vodka after lab tonight, just the same shot and a half with ice water or cold water. I got through 8 questions of the ch9 hw in chemistry by 1015 pm and its due the 7th in 3 more days, but busy tomorrow with work and clients after work, and Thursday morning so wanted to use what time available, drank my vodka 1 serving of greygoose with cold water by 1015 pm as well, fed Growly his 12 hour pills at 915 pm, to even it out so that I can give him his pills tomorrow before work, then after work the 12 hour pills. He still coughs some and chokes when he coughs, but it is much better and he is breathing better. Also, had a sm solid BM before finishing my vodka water drink around 1015 pm. </t>
  </si>
  <si>
    <t>granny goose generic potato chips similar to lays brand, 3 servings</t>
  </si>
  <si>
    <t>Woke up at 530 am by alarm, went to bed a little after 11 pm but close to 11 pm, got about 6.5 hours sleep. Did the usual, fed Growly his 3 pills at 530 am, and the babies their food, cleaned up only 1 pet mess, started the ch9 homework, but lengthy on question 9, didn't know what it was wanting needed a demo and requested answer for part a of a-f parts took 40 minutes to complete because had to drag each electron configuration to row. But eductional, after a certain point, the amount of retention in some studying is the same as studying while intoxicated or after a serving or two of alcohol, because the recall when stressed or frustrated is not good at all, just whatever it takes to get it right. But not stressed. Still have 2 days to complete and now 5 questions left. The end questions do tend to be very time consuming with the various parts, and the earlier questions not as time consuming. Took measurements afterwards at 715 am and after 2 cups of coffee and a lg BM after 1st cup of coffee before the roommate came home around 620 am. Then ate breakfast. Had a bowl of the pasta with 1/4 cup mozzarella cheese. Shared with babies. At work, for lunch had a smoothie I packed with 2 serving icecream, 2 servings protein powder, 1 cup almond milk and 1 tbs coffee. That was my 4th cup of coffe, because I had 3rd cup with breakfast. Also had a grapefruit for lunch, one was moldy and was thrown out, those are all gone now. After work, had a smoothie/shake of 2 servings vanilla icecream and coffee 5th cup with cinnamon like a capuccino blast from Baskin Robins, very good. Went to client at 5 pm, then the 7 pm in Yorba Linda. Then did laundry at home, had 2 servings of vodka while reviewing the genetics ch 11 slides, we have a quiz on that chapter tomorrow that I forgot about. Then I finished the ch 9 hw in chemistry. We have a 'review' session for the quiz at 9 am normal lecture for genetics, but really, it's never a 'review session' but a Q&amp;A session, that is why nobody other than me and 3 other females 'check in' to it. It ends early, nobody has questions, or few questions, and no actual review. It has seriously been like this for every 'review' session. But at least her quizzes are very much like her study guides, they don't deviate from the study material at all. I also opened up a fresh bag of generic lays potato chips belonging to the roommate in the fridge and snacked on about 3 servings, 5 per bag, of the Granny Goose brand. While in front of computer and even now after having my 2 servings of vodka. Feeling tired, still need to make the clients their SOAP notes but might do this in the morning. Better prepared. It is already 11 pm. Ankles still swollen a little bit, but knee not so much while at computer, and menstruation is tapered off a lot, to light and light spotty. Entered in my nutrition before bed.</t>
  </si>
  <si>
    <t>bowl penne 5-3-21 recipe
(305.125	3.6125	0.65	17.7	55.425	9.075	601.25)
1/4 cup mozz cheese Aldi
(80	6	3	6	2	0	180)
2 servings Sprouts protein powder
(240	5	0	40	10	4	680)
1 cup Almond Breeze milk
(30	2.5	0	1	1	1	170)
1 grapefruit
(92	0	0	2	24	2	0)
4 servings vanilla icecream
(800	48	28	12	80	0	200)
3 servings Granny Goose potato chips
(450.00	30.00	3.00	6.00	45.00	3.00	405.00)
=305.1+80+240+30+92+800+450
=3.6+6+5+2.5+0+48+30
=0.65+3+0+0+0+28+3
=17.7+6+40+1+2+12+6
=55.4+2+10+1+24+80+45
=9.1+0+4+1+2+0+3
=601.3+180+680+170+0+200+405</t>
  </si>
  <si>
    <t xml:space="preserve">Woke up at 630 am tired and by alarm, got out of bed by 645 am, gave Growly all his meds, and fed babies, then had 2 cups of coffee a reg BM, the roommate came home between that time, had a 3 rd cup of coffee with poptarts same strawberry the roommate always gets, Made flashcards of the genetics ch11 material, the lecture was cancelled, or 'review session' thank fully no complaints, due to her side with technical issues.  They are a waste of time, to be honest, because they don't add to what is already provided by her in prerecorded lectures, ppt slides and the study guides, and could use it to finish the flash cards, and did, then showered after eating a serving of protein in a cup of almond milk with 2 servings vanilla icecream. and a 4th cup of coffee in that drink. Then went and got some beyond meat and nachos supplies with wet cat food and water. Made nachos, makes 3 bowls, had 1 bowl, of 1 pkg beyond meat, red bell pepper, green bell pepper, two small mangos, and 1 zucchini, with about 15 tortilla chips. Also during 1 st half of lecture in chemistry had another cup of coffee for 5 cups total and 2 servings vanilla icecream and the coffee only, no protein powder in this smoothie, but more like liquid because coffee hot. Also, took measurements close to 3 pm after having a bowl of nachos, but before the 2nd capuccino blast icecream drink/5th coffee. Still have that quiz to study for and take, I did some stuying on it, and want to take it before I go to bed, but class all day in chemistry. Still need to study and review the flash cards, I can do on my break. Not really bleeding on menstruation anymore and ankles are only slightly swollen, only wore my waist trimmer and compression socks about 4-5 hours. Later in between lecture and lab had 2 snack sized snickers candy bars of the roommate's, and in lab a serving of baked lays potato chips I got at winco earlier. We worked on the VESPR diagram worksheet, which had my attention. But I was tired, super tired by the last 1/2 hour of lecture, and wanted to take a nap before studying or reading genetics on my inbetween lab and lecture break of 1 1/2 hours. I filled in the blank of the ch 13 ppt of genetics and didn't look at the quiz material. After lab I reviewed my notecards twice, with a glass of cold water and serving of vodka. Let out early in lab to work on lab now accepting 2 weeks past due date it seems. Thank fully I finished my lab early and corrected it twice after turning it in early. My client cancelled tomorrow, so I have time to catch up on sleep, and homework after work. Might take the quiz, read the ppt slides before lecture in chemistry a few times from am to pm, and read the notecards twice while sipping vodka watered down. But tired now. Had a bowl of nachos with sourcream and 1/4 cup mozzarella cheese and serving of tortilla chips and took the quiz. I don't think I did too bad on it, considering there were questions that had to be manually graded and bonus questions. Feel like I did as well as my other quizzes, that I haven't actually looked at the grade on because she manually grades them and takes a couple weeks to do. I went to bed around 1045 pm or right after taking the quiz. I also got those anatomy charts I ordered yesterday when returning from my clients house a little after 12 pm and looked at them. Great bargain for $20 through Amazon.com. I got 10 large and laminated anatomy charts I can start adding to my little youtube and instagram videos to show massage work on. They have a tall and wide layout. </t>
  </si>
  <si>
    <t>pot of nachos no olive oil, 1 pkg beyond meat, red bell pepper and green one, 1 zucchini</t>
  </si>
  <si>
    <t xml:space="preserve">2 strawberry poptarts
(400	10	5	4	74	1	240)
4 servings vanilla icecream
(800	48	28	12	80	0	200)
1 serving protein powder Sprouts
(120	2.5	0	20	5	2	340)
1 cup almond milk
(30	2.5	0	1	1	1	170)
2 bowls of nachos
(849.33	54.40	15.07	62.73	29.53	10.53	1056.93)
4 tbs sourcream Winco
(240.00	20.00	14.00	4.00	8.00	0.00	60.00)
1/2 cup mozzarella cheese Aldis
(160.00	12.00	6.00	12.00	4.00	0.00	360.00)
2 serving tortilla chips
(280	14	10	4	36	4	180)
1 serving baked lays
(120	8.5	0	2	22	1	160)
2 snack size snickers candy bars
(200	9.6	3.6	3.2	26.4	0.8	96)
=400+800+120+30+849.33+240+160+280+120+200
=10+48+2.5+2.5+54.4+20+12+14+8.5+9.6
=5+28+0+0+15.07+14+6+10+0+3.5
=4+12+20+1+62.7+4+12+4+2+3.2
=74+80+5+1+29.5+8+4+36+22+26.4
=1+0+2+1+10.5+0+0+4+1+0.8
=240+200+340+170+1056.9+60+360+180+160+96
</t>
  </si>
  <si>
    <t xml:space="preserve">Woke up at about 535 without an alarm and laid in bed until just before 6 am and then got out of bed. Did normal routine, gave Growly meds at 6 am all 3 pills the 24 hour one and two 12 hour pills, fed babies, made my coffee 1st cup. Got paid today and ready to pay bills, but have to enter in my nutrition from yesterday as I didn't have time to, but did send out my client's SOAP notes. Have a cancellation for tonight, which isn't a bother, because I have a couple different homework assignements due on the 10th in a few days, and should study and prepare for studying when those exams on that material come up by making notecards. Got almost 7 hours of sleep last night, finished inputting nutrition after 1st cup of coffee around 645 am. Had a lg BM after 1st cup of coffee and while drinking 2nd cup of coffee around 710 am. My ankles have still been swollen last few days but not extremely swollen. Today slightly swollen, they didn't get too swollen to where my knees are swollen when standing at the computer either, a good thing. Paid my work van and car payment. Owe 17930 approximately on Dodge Charger, and 27630 on work van as payoff amounts before the payments made. Paid the electric bill in roommate's name too. Transferred money from savings from what I can spend that isn't ear marked as prepaid for clients' massages, to my checking to pay credit card and paid some money on that card. I am planning on taking an online biology course from RCC in the summer but have to wait for May 10th at 10 am to register. I need that course to take anatomy and physiology. Took measurements after bowl of nachos last one with mozz 1/4 cup and 2 tbs sourcream. Running late for work. Just wash face and brush teeth. No 3rd cup before work of coffee, packed it in a 2 serving protein smoothie with 1 serving vanilla icecream. Had 2 servings of baked lays potato chips for lunch and after work, then 2 strawberry poptarts after work, a water and vodka grey goose. Viewed the ch 13 prerecorded lectures after drinking the vodka, only one serving and completed those by 745 pm. Also had 4 snack size snickers candy bars while watching the prerecorded lectures on ch13 on translation. Was feeling very tired. Propped swollen legs up against bed wall while viewing last part of lectures and dozed off for one slide but not enough to call a nap. It helped my fluid drain from my low legs. I didn't eat any real food because I didn't want to make any real food, not even quesadillas. Will go to bed early tonight I am tired, looked at the first few slides of ch 10 lewis structure ppt in chemistry. But tired. I also had a 1/3 a bag of kettle corn popcorn while drinking vodka after work and starting the lectures of genetics. The roommate was getting on my nerves and couldn't wait for him to leave. He left around the time I finished the prerecorded lectures. Stopped by sis's house to get mail, they thought was important but were just notifications of a stimulus already received and a notice of how EDD is affected by some act signed back from April. Old mail, they still had but never gave me. Only 3 cups of coffee today, not 4 or 5. </t>
  </si>
  <si>
    <t>kettle corn popcorn 1 bag</t>
  </si>
  <si>
    <t xml:space="preserve">2 servings baked lays
(240.00	17.00	0.00	4.00	44.00	2.00	320.00)
1 bowl nacho
(424.67	27.20	7.53	31.37	14.77	5.27	528.47)
1 serving tortilla chips
(140	7	5	2	18	2	90)
1/4 cup mozz Aldi
(80	6	3	6	2	0	180)
3 tbs sourcream winco
(180.00	15.00	10.50	3.00	6.00	0.00	45.00)
2 strawberry poptarts
(400	10	5	4	74	1	240)
4 snicker candy bars snack size
(500	24	9	8	66	2	240)
1 serving vanilla icecream
(200.00	12.00	7.00	3.00	20.00	0.00	50.00)
2 servings protein powder Sprouts
(240.00	5.00	0.00	40.00	10.00	4.00	680.00)
1/3 bag popcorn kettle corn
(125.00	7.50	3.33	1.67	15.83	2.50	141.67)
=240+424.7+140+80+180+400+500+200+240+125
=17+27.2+7+6+15+10+24+12+5+7.5
=0+7.5+5+3+10.5+5+9+7+0+3.3
=4+31.4+2+6+3+4+8+3+40+1.7
=44+14.7+18+2+6+74+66+20+10+15.8
=2+5.27+2+0+0+1+2+0+4+2.5
=320+528.5+90+180+45+240+240+50+680+141.7
</t>
  </si>
  <si>
    <t>bowl of nachos 5/8/21 recipe</t>
  </si>
  <si>
    <t>pot of nachos 2 zucchini, 1 green bell pepper, red bell pepper, no olive oil, 2 zucchini, 1 pkg beyond meat makes 3 bowls makes 3 bowls</t>
  </si>
  <si>
    <t xml:space="preserve">1 serving protein Sprouts
(120	2.5	0	20	5	2	340)
1.5 servings vanilla icecream
(300	18	10.5	4.5	30	0	75)
blueberry muffin 85 degrees celsius
(480	26	5	6	59	0	590)
sea salt coffee 85 degrees celsius
(220.00	14.00	9.00	1.00	22.00	0.00	200.00)
6 corn tortillas Romero brand
(216	0	0	6	42	6	108)
1/2 cup mozzarella cheese aldis brand
(160.00	12.00	6.00	12.00	4.00	0.00	360.00)
nachos 1 bowl
(390.33	5.00	3.50	1.00	2.00	0.00	15.00)
1/2 cup mozzarella Aldis brand
(160.00	12.00	6.00	12.00	4.00	0.00	360.00)
3 tbs sourcream
(180.00	15.00	10.50	3.00	6.00	0.00	45.00)
1/2 cup prego 3 cheese sauce with the 3 cheese quesadillas
(70.00	1.50	0.50	2.00	11.00	1.00	480.00)
=120+300+480+220+216+160+390.3+160+180+70
=2.5+18+26+14+0+12+5+12+15+1.5
=0+10.5+5+9+0+6+3.5+6+10.5+0.5
=20+4.5+6+1+6+12+1+12+3+2
=5+30+59+22+42+4+2+4+6+11
=2+0+0+0+6+0+0+0+0+1
=340+75+590+200+108+360+15+360+45+480
</t>
  </si>
  <si>
    <t>Woke up at 530 by alarm tired, woke up after 1st cup of coffee, a lot of pet messes to clean, gave Growly meds, fed babies, had a cup and half of coffee then lg BM, then finished 2nd cup of coffee. Played around with installing ubuntu, a whole process, not simple install, on windows 10 using powershell as administrator, not enough time, got to shower before work, plan on protein shake 1 serving, short day, 6 hours usual, but out by 2 pm. Can fiddle with it at home. Want to start messing with the genomic programming with text books and new computer based on Linux for python version. I had a blueberry muffin and sea salt med hot coffee from 85 degrees celsius for lunch, then at home had 3 quesadillas, then for dinner had a bowl of nachos same recipe as before, with the zucchini and 2 bell peppers and no olive oil and a serving of tortilla chips, listened to country music on 2-3 servings of vodka watered down. Looked at home in Tomball TX where mom lives, finally she called me back is fine, and also at Norco, too expensive. Would buy a home and have mom rent it from me or live there. Instead of their RV park rent in same city of Tomball TX. So expensive for a house especially in this area, more than half a million. mortgage around 2700 a month at that price. if qualified. I haven't listened to country music in a couple of years and like it, its non-misogynistic. My client who is black and a female likes it, one country song is set to one of her friends some guy named Josh and she likes him. I like it. I am going to start listening to it more. Its like chill music. Spotify station 'country favourites' is good. Talked to mom, she is doing fine, all is well, she didn't get her dental work done because she spent it on her other daughter who is cheap when she came to visit. Her only daughter with her husband other than my dad. Her $1400 stimulus wasted pretty much. I ended up having 4 servings of watered down vodka by the end of the day. Went to bed around 10 pm.</t>
  </si>
  <si>
    <t>panera bread mediterranean veggie sandwhich, https://www.calorieking.com/us/en/foods/f/calories-in-sandwiches-burgers-mediterranean-veggie-sandwich-on-tomato-basil-bread/tguPZLn4QNmDbaCmFYtDNg</t>
  </si>
  <si>
    <t>panera bread kettle potato chips, https://www.calorieking.com/us/en/foods/f/calories-in-kids-menu-kids-kettle-chips-side/-kPxlmLbRxidq2VK_AOKUg</t>
  </si>
  <si>
    <t>belvita blueberry biscuits, https://www.calorieking.com/us/en/foods/f/calories-in-cookies-breakfast-biscuits-blueberry/dI-p03zuTU6YV1XobPzaPw</t>
  </si>
  <si>
    <t xml:space="preserve">Hasbro gummie bears, 1 package of 4.5 servings (13 pcs/serving): </t>
  </si>
  <si>
    <t xml:space="preserve">Woke up around 3 pm hot and dehydrated. Went to bed with heater on. Got up at 330 am and had some water, went to van to get more bottled water and had a cup of ice and water. Then started the filling in of the ch12 and ch13 genetics homework. Went back to bed at 4 am and got up at 530 am, but didn't sleep until about 520 am. Got about 5 hours of sleep. Took measurements after eating a bowl of nachos, had a sm BM after 2 cups of coffee. Didn't have the 3rd cup until at work. Installed UBUNTU linux on my Windows PC 2nd part, then installed anaconda 3.7 instead of 3.8 using the curl download package for ubuntu and a tutorial. Haven't tested it out. Ankles slightly swollen, more on R ankle today, no shower today, the roommate was in the bathroom at time I needed it to get ready. Washed face and brushed teeth and put on deodorant. Had 3rd cup of coffee before leaving for work. Mother's Day today. Talked to mom yesterday, is doing well, also made a couple car magnets for a father's day promo with a dude knocked out in the ring, and one knocked out on the massage table telling people to knock their father out this Father's Day with a massage, and also the other car magnet offering the additional babysitter for $15/hour, $22/90 min, and $60/family 5 hour massage bundle. Ordered some board games, a cheap karaoke machine that still got 4.5 star rating out of 5 on my credit card that I just put $300 on. The roommate is in lots of pain in R quad, and LB he worked out too hard again on Low Back. Went to work, the manager/owner bought us panera bread, there was a mediteranean veggie sandwhich and a bag of kettle potato chips I ate only 10% or a few bites of the sandwhich after picking the red onion out of it, I hate onions and the whole sandwhich tasted soggy and like onions. I ate the chips. After lunch the client smelled just like the red onions, thankfully the fan drowned out his smell or pushed it somewhere else in the room other than my face. I went to the poki shop after the gross sandwhich, which I appreciate the gesture but panera bread made it soggy, not the manager's fault its soggy and has onions on it. My break was at 1030 am and nothing was open, the poki shop closed, went to 99 cravings to get a coffee, but didn't see any baristas up and making coffee it feels like a swap meet in there, and I was going to get some snacks, but the line was long, left and went to Staples to pick up toilet paper and paper towels but saw the price was twice as much as what I pay and left there too. I went to work and ate a blueberry wafer biscuit by levita or nabisco brand and a 4th cup of their keurig Donut shop coffee with 4 french vanilla creamers. Then massaged the guy that smelled like onions. Had a mini break, and when I clocked out I noticed I clocked out 2-4 times instead of clocking in and clocking out. Stayed clocked in through mini and regular massage, but they pay me commission on massages and I am normally busy with massages and the way the schedule was I will get paid what I should, even though missed the 90 minute massage of the guy that smelled like onions. After work had a few tortilla chips in the car and stopped at Albertsons for paper towels and toilet paper then Sprouts for beyond meat and a pound of some tuna type fish from the deli that the guy said is similar to ahi but looks like yellow tail poki fish. I also got 5 bags of gummy bears at Albertsons, I thought I only got 4 because the sale was 4/$5 but I grabbed 5 bags, so got the sale then paid full price for one bag of gummis. I ate a bag of gummies between going to Sprouts and arriving home, and it smelled like garbage. As I passed the garbage can stuffing gummy bears in my mouth before covering it with my face mask to enter Sprouts, I thought it was the garbage can, but on the way home, I realized it was the gummy bears. They stank. But still ate them, didn't effect the taste. I always wipe the bag of snack food with rubbing alcohol to disinfect the bag from germs. At home had the last bowl of nachos, with sourcream and mozzarella cheese and a serving of tortilla chips. Then snacked on some baked lays and another bag of gummy bears, probably 2 servings or 1/3 the bag. Tired, no massage for the roommate, he is in pain, but he is at his mom's for mother's day, its actually his aunt who raised him as his mom. I have a quiz Tuesday in chemistry on ch8 and ch9 to study for. I need to review those slides and homework. But I also have a 9 am client tomorrow and want to get some rest today. No alcohol today, because still recovering from last night's 4 servings of vodka. </t>
  </si>
  <si>
    <t>2 bowls nacho
(780.67	10.00	7.00	2.00	4.00	0.00	30.00)
4 tbs sourcream
(240.00	20.00	14.00	4.00	8.00	0.00	60.00)
1/2 cup mozzarella cheese
(160.00	12.00	6.00	12.00	4.00	0.00	360.00)
2 servings tortilla chips
(280.00	14.00	1.00	4.00	32.00	2.00	160.00)
1 serving baked potato chips
(120	8.5	0	2	22	1	160)
1 lg bag Hasbro gummy bears
(450	0	0	9	103.5	0	22.5)
1/3 lg bag Hasbro gummy bears
(150	0	0	3	34.5	0	7.5)
4 coffee creamers
(140.00	6.00	0.00	0.00	20.00	0.00	60.00)
2 bites or 15% of a mediterranean veggie sandwhich panera bread
(66	1.95	0.45	2.7	9.75	0.9	184.5)
1 bag kettle potato chips panera bread
(150	8	0.5	2	17	1	170)
4 blueberry belvita biscuits
(57	2	0.1	1	9	0.8	55)
=780.7+240+160+280+120+450+150+140+66+150+57
=10+20+12+14+8.5+0+0+6+1.95+8+2
=7+14+6+1+0+0+0+0+0.45+0.5+0.1
=2+4+12+4+2+9+3+0+2.7+2+1
=4+8+4+32+22+103.5+34.5+20+9.75+17+9
=0+0+0+2+1+0+0+0+0.9+1+0.8
=30+60+360+160+160+22.5+7.5+60+184.5+170+55</t>
  </si>
  <si>
    <t>shrimp, 8 pcs, https://www.calorieking.com/us/en/foods/f/calories-in-shellfish-mollusks-shrimp-raw/zT-YxBksT4-8mkb5UjUUDg</t>
  </si>
  <si>
    <t>1 cup cabbage, https://www.calorieking.com/us/en/foods/f/calories-in-fresh-or-dried-vegetables-cabbage-boiled/DlGKR3p-Rl6dTO0lB-jhNg</t>
  </si>
  <si>
    <t>salsa, ready to serve, 6 tbs, https://www.calorieking.com/us/en/foods/f/calories-in-salsas-ready-to-serve/wQ1eInQ5QQuxtvtTRgjiXw</t>
  </si>
  <si>
    <t>1 cup black beans, https://www.calorieking.com/us/en/foods/f/calories-in-fresh-or-dried-legumes-beans-black-boiled/4G3IPGPkTAqpuL5Lg5SxSA</t>
  </si>
  <si>
    <t>2 cherry poptarts
(400	10	5	4	74	1	240)
1 chocolate donut
(260.00	17.00	11.00	2.00	26.00	1.00	200.00)
1 serving yellow tail/tuna type fish
(106	0.4	0.1	8	16.7	0.6	186)
1/4 cup zuchini
(27	0.6	0.1	2.1	4.8	1.8	5.4)
1/4 cup green bell pepper
(40	0	0	1	10	3	0)
1/4 cup eggplant
(20.00	0.20	0.10	0.80	4.70	2.80	2.00)
2 tbs sourcream
(120.00	10.00	7.00	2.00	4.00	0.00	30.00)
1/4 cup mozzarella ALdi
(80	6	3	6	2	0	180)
2 serving tortilla chips (lime)
(280.00	14.00	10.00	4.00	36.00	4.00	180.00)
1 lg bag gummy bears
(900	0	0	18	207	126	45)
=400+260+106+27+40+20+120+80+280+900
=10+17+0.4+0.6+0+0.2+10+6+14+0
=5+11+0.1+0.1+0+0.1+7+3+10+0
=4+2+8+2.1+1+0.8+2+6+4+18
=74+26+16.7+4.8+10+4.7+4+2+36+207
=1+1+0.6+1.8+3+2.8+0+0+4+126
=240+200+186+5.4+0+2+30+180+180+45
1/3 cup vanilla icecream
(200	12	7	3	20	0	50)
8 pieces of shrimp
(42.00	0.70	0.10	8.10	0.40	0.00	59.00)
1/4 cup cabbage
(8.25	0.15	0.025	0.375	1.8	0.7	3)
1/3 avocado
(161	14.5	2	2	8.5	6.5	7)
1/4 cup salsa mild
(27	0.2	0.1	1.5	6.2	1.6	594)
1/4 cup black beans
(56.75	0.225	0.05	3.8	10.2	3.75	0.5)
1 serving spicy mayo (similar to mesquite BBQ sauce on shrimp)
(40	4.5	1	0	0	0	40)
1 corn tortilla similar to Guerrero
(50.00	0.50	0.00	1.00	10.50	1.00	10.00)
=400+260+106+27+40+20+120+80+280+900+200+42+8.3+161+27+57+40+50
=10+17+0.4+0.6+0+0.2+10+6+14+0+12+0.7+0.15+14.5+0.2+0.2+4.5+0.5
=5+11+0.1+0.1+0+0.1+7+3+10+0+7+0.1+0.03+2+0.1+0.1+1+0
=4+2+8+2.1+1+0.8+2+6+4+18+3+8.1+0.4+2+1.5+3.8+0+1
=74+26+16.7+4.8+10+4.7+4+2+36+207+20+0.4+1.8+8.5+6.2+10.2+0+10.5
=1+1+0.6+1.8+3+2.8+0+0+4+126+0+0+0.7+6.5+1.6+3.75+0+1
=240+200+186+5.4+0+2+30+180+180+45+50+59+3+7+594+0.5+40+10</t>
  </si>
  <si>
    <t>Woke up at 520 am and got out of bed by 530 am and made my coffee, washed a dish in sink and my cup from yesterday, and fed Growly his meds and the babies some icecream and catfood just in case Growly doesn’t eat his meds today. Need more icecream. I always feed them canned cat food because our cat needs it and its better to give them all canned meat then just one. Want to review ch8 and ch9 before getting ready to go to the 9am client and then enroll in the summer school course after 10 am. I have work from 3-10 pm tonight. More studying between returning from client's house and leaving for work. Went to bed last night around 9 pm. It was early, but was really tired. Got about 8 hours of sleep. Ankles not swollen, but could change later. Updated the ubuntu and anaconda packages no problem, followed along with a separate Docker install for ubuntu 20.04 no problem but when pulling a container as an example didn't work. Left off there, reviewed about 18 ch8 ppt slides, took measurements around 7 am. Then had a cup of coffee and a poptart pkg of 2 cherry flavored ones of the roommates. Had the remaining gummy bears 2/3 bag from yesterday before and after the appointment. Did laundry, registered for the biology course online for summer session, and let my manager know that I am interested and to schedule me in for her first stretch class in a year. She has other massage therapists interested. That's what we were waiting for. I got some fish at the Sprouts yesterday and am going to pan cook it now. Eat like nachos with these lime flavored tortilla chips I bought at Albertsons yesterday. Had one of the roommate's donuts chocolate same kind as the last, tried the bowl of the fish cooked with eggplant, zucchini, and a green bell pepper, and not a fan, will throw out. The dogs only like it with sourcream and cheese. The cat doesn't like it. If my babies don't like it, and I don't like it, must not be good. Took a 10 minute nap between 12 and 1220. Then rested a couple minutes after reading/reviewing ch9 ppt slides, then made client receipt and SOAP notes and emailed to her. Other client, was supposed to set up her appointments for RF but is having a chin procedure done soon, so I texted her 30 minutes before we normally see each other on Mondays at 11 am and no reply. She might have already had the procedure and had the ringer off or something similar. Off to work after the dishes. Just fed the babies, gave Growly half his 12 hour meds and need to give him other half when I get home after 10 pm. Got home around 9 20 pm because the last one cancelled but I had to stay until the last hour if somebody wanted to walk in at that time. Got home, and gave Growly his half of the 12 hour meds from earlier with a spoon of sourcream. Then eased into my quiz review and I have a 12 o'clock client tomorrow before lecture. The quiz is after the break after lecture. Had a serving of grey goose vodka with ice and water, it melts the ice fast. For lunch or my break at work I had Rubios mequite barbeque shrimp tacos with chips, salsa mild and guacamole and a couple tablespoons of black beans, the tacos had cabbage and onions, but not a lot. I also had a bag of gummie bears, the whole bag. Was thirsty in session after break. I also had a coffee with 1/3 cup vanilla icecream and cinnamon before leaving for work. Ankles were only a tiny bit swollen around the ankles below but no swelling at knees when standing at computer with knee up. Bed time around 11 pm.</t>
  </si>
  <si>
    <t>bowl nachos beyond meat pkg 2 green bell peppers only makes 3 bowls per pot, 1bowl:</t>
  </si>
  <si>
    <t xml:space="preserve">2 chocolate donuts
(520.00	34.00	22.00	4.00	52.00	2.00	400.00)
1/2 cup vanilla icecream
(133.33	8.00	4.67	2.00	13.33	0.00	33.33)
bowl nachos
(373.33	24.00	6.67	27.33	13.33	4.67	466.67)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=520+133.3+373.3+216+240+300+35+120+140
=34+8+24+0+18+25+0.75+8.5+7
=22+4.67+6.67+0+9+17.5+0.25+0+5
=4+2+27.3+6+18+5+1+2+2
=52+13.3+13.3+42+6+10+5.5+22+18
=2+0+4.7+6+0+0+0.5+1+2
=400+33.3+466.7+108+540+75+240+160+90
</t>
  </si>
  <si>
    <t>Woke up at 520 AM same as yesterday, no alarm, got out of bed to prepare for studying for the quiz on ch8 and ch9 in chemistry. Normal routine, gave growly his meds with icecream and cat food fed babies cat food and icecream for pups, coffee, reg BM by 2nd cup, notecards on ch8 hw till 9 am then ch9 fewer notecards, wasn't as technical, but recorded concepts, reviewed some more slides, went to client, she is better. Normal 12 pm on Tue client. LB is bone density loss and arthritis and bulging discs and bone spurs. For breakfast had 2 chocolate donuts of the roommates, 3 cups of coffee by 10 am, clients, return 4th cup in a capuccino blast with 1/2 cup of the last of vanilla icecream. Tried a capuccino blast in blender with 2 orange creamsicles and it was gross, chucked it down drain, and made with the real icecream. Before clients house had 3 quesadillas with Romero tortillas, 1/2 cup mozz ALdi brand, after clients had bowl nachos I made but didn't share with babies, tried giving growly his 2nd dose of meds on what i didn't eat at around 5 pm after lecture, the lecture was cut short but stayed logged in, her internet went out and wasn't aware till 30-40 minutes, I bombed quiz6 and last one, it was multiple choice too, don'tknow why. I got choices calculated that were there, and felt like I only missed a few. but said 12/25 pts. Will have to see why it said that. had same baked lays during first part of lecture ealier before it went blank and I cooked up nachos with only beyond meat and 2 green bell peppers no olive oil and the lime tortilla chips, 3 tbs sour cream, and 1/4 cup cheese mozz aldi brand. Had 2 tbs sourcream and 1/4 cup prego 3 cheese in fridge with the 3 quesadillas made earlier before going to client's house. Roommate is a piece of shit, cussing his misogynist and hateful shit and his propaganda videos he subscribes to while taking the quiz, loud as fuck, and also while trying to understand a part of the lab after the quiz on why a certain Resonance structure, he just had to be a loud piece of shit demanding some cream for him, because fuck what I am doing minding my own business. He gets on my nerves so badly. On break now recapping the day. Finished the VSEPR wkst in lab before break at 730 pm for 20 minutes but I need to fill in the printed version or draw in to notecards, take a photo and put into each table cell to fill in before turning it in next week. Can't find the printer ink to do that and that ink is $50 approximately. Have laundry in the dryer to fold. Haven't drank yet, but will after lab, just one drink, I have work tomorrow then a client after work at 7 pm. Still have genetics to catch up on and homework for this class. We will review the quiz after 830 pm if time allows after break. Washed the bed linens but threw on the bed instead of putting them on the bed, Goody pee'd on them last night. He's cute but an asshole, always tries to act like such a good boy. Did the laundry folding and the dishes and cleaned out litter box in reverse order for last few minutes of lab that we worked on the worksheet to turn it at around 850 pm. Feels like a chore now to have one drink, but ok. See what ideas come to mind from my fabulous mind. Thank fully I am not attracted to weapons like knives or smut. Some weird people out there can't drink or else they do weird ass shit and I only say that because I tell or have told clients before that are super conservative about not drinking and staying home and only drinking socially and one lady said as long as I don't play with knives. And I thought odd, but makes sense but also that she must have a story about that one time and others are like why? why not socially? Because I am a conversation whore and drink too much, so I drink at home with my pups. Not me. I know exactly how to handle my liquor, one drink at a time and till I pass out, don't get hung over next day, or get creative. Lots to do, and a busy weekend. See how it goes. Probably drink and fill in the blank to the genetics ppt slides. They are fascinating. I actually only looked at stuff I had to to or get ready for and wrote down the appointments for the week, had a sm BM before bed, had 2 servings of alcohol watered down, and went to bed by 1030 pm</t>
  </si>
  <si>
    <t>Woke up at 330 to pee and went back to bed no problem. Woke up later at 530 am by alarm. Did clean up a bunch of pet messes from the babies, fed Growly his meds with sourcream, then fed him some nachos left over from yesterday in my one bowl I didn't finish because I didn't share with them, then fed them their regular food. Input this nutrition and had 1st cup of coffee. Then looked at the genetics material for this weeks chapters to fill into the ppts. Watched the Amoeba Sisters vids then looked up photo studio equipment for marketing and for searched products I use in massage to create new car magnets or window decals. Had a reg BM 1/3 through drinking 3rd cup of coffee. Finished coffee and took measurements before eating breakfast. Had a bowl and a half of nachos, finished last of it, but gave the other 1/2 bowl to Princess, ate mine with 4tbs sourcreamWinco brand and 1/3 cup mozz Aldi brand. Took shower, brushed teeth, makeup quick style as usual, went to work by 820 am. The plan. Left a little bit earlier than 820 am, traffic not bad because Waze had me on the side street to 71. Didn't pack a lunch but had gummy bears in the car, ate the whole lg bag of Hasbro gummy bears and a grande strawberry funnel cake frapuccino from Starbucks, then about a cup or two of kettle popcorn. Didn't pop the whole bag, so didn't burn it. Put in microwave 2 1/2 minutes instead of 3 minutes. After work had 3 quesadillas with prego 3 cheese sauce and 1/2 cup Aldi mozz and Romero corn tortillas and paprika the usual style. Have to get fuel, everybody is like scared about the fuel prices spiking, hopefully not. Have my 7 pm client I will leave before 630 pm to get to, it is only 10-15 minutes from me and enough time to get fuel. Had my 5th cup of coffee while eating the quesadillas, the 4th was the frapuccino. Going to fill in the ppt slides before going to my clients house. Have 2 hours till then. Tomorrow my 2nd dose of pfizer at RCC. Finished inserting the words to the fill in the blanks of ch14 and ch16 ppt slides in genetics by 535 pm. Went to clients a little early to get fuel, stop back at houes to pee, then leave, got there early. Arranged stuff in work van in front of client's house then met client at door at time 7 pm. Had last of vodka while doing laundry and SOAP notes, it was half a serving or about 1/2 a shot. Looked like more in the bottle, it has a grosss onion aftertaste that doesn't smell like it but tastes like it or sweat, melts the ice fast. Two fat ice cubes in room temperature water with the vodka and ice melted after a minute it seemed. Throat hurt a little after drinking it, made me think of carcinogens and the ppt slides on genetics for the cancer chapter and gene mutations. Not cool. Had some chips tortilla with microwaved mozz on top and paprika and green herb like parsley. Throat felt better. Worried it was strep throat. I am not sure why it would be sore. I wash my hands before eating with my hands. Didn't eat all the chips. About a serving with 1/4 cup mozzarella cheese. Got the 2nd dose of pfizer tomorrow morning and an 11 am client after vaccine. Everything should be as good as the first time. We will see. Everybody says if they had side effects after 2nd one, they happened later in the day or night. Hopefully none, but 11 am should be good. Went to bed around 1030 pm.</t>
  </si>
  <si>
    <t>strawberry funnelcake frappucino starbucks, https://fastfoodnutrition.org/starbucks/strawberry-funnel-cake-creme-frappuccino/venti</t>
  </si>
  <si>
    <t>1.5 bowls nachos
(560.00	36.00	10.00	41.00	20.00	7.00	700.00)
1 strawberry funnel cake frappucino Starbucks
(450.00	23.00	14.00	7.00	54.00	0.00	320.00)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bag gummy bears lg
(450	0	0	9	103.5	0	22.5)
=560+450+216+240+300+35+120+140+450
=36+23+0+18+25+0.75+8.5+7+0
=10+14+0+9+17.5+0.25+0+5+0
=41+7+6+18+5+1+2+2+9
=20+54+42+6+10+5.5+22+18+103.5
=7+0+6+0+0+0.5+1+2+0
=700+320+108+540+75+240+160+90+22.5</t>
  </si>
  <si>
    <t>crumble 6 pack snack donuts generic stater bros , https://www.google.com/shopping/product/15842924218164706174/specs?q=crumble+donuts+snack+size+6+pack+nutrition+facts&amp;prds=eto:16886198593279603810_0;13285918357520324861_0;13190484760091963433_0,rj:1</t>
  </si>
  <si>
    <t>neopolitan icecream generic, serving is 0.67 cups, https://www.vons.com/shop/product-details.960163415.html?cmpid=ps_von_soc_ecom_goo_20200924_71700000073036157_58700006943797770_92700062497604811&amp;gclid=CjwKCAjwnPOEBhA0EiwA609RebJmfQKIG_cL9z5l5g98s6-UG910VvlY9tY2aVfVyb0YsEt5lWExXxoCdU4QAvD_BwE&amp;gclsrc=aw.ds</t>
  </si>
  <si>
    <t>bowl 5-13-21 pasta recipe</t>
  </si>
  <si>
    <t>pot of spaghetti makes 4 bowls 5-13-21 recipe, fettucini barilla gluten free 1 pkg, beyond meat 1 pkg, prego3 cheese 1 jar, 1 green bell pepper, 1 red bell pepper, 1 lg zucchini, no olive oil</t>
  </si>
  <si>
    <t xml:space="preserve">2 strawberry poptarts
(400	10	5	4	74	1	240)
6 crunch crumble snack donuts or 1pkg
using 3 chocolate donuts nutrition, the other seems low on calories for a whole pkg at 68 calories
(780	51	33	6	78	3	600)
1 bowl pasta
(658.5	21.525	5.65	29.525	90.2	7.95	952.6)
1/2 cup mozz winco brand
(160	10	7	12	2	0	380)
1 serving Sprounts protein powder
(120	2.5	0	20	5	2	340)
1 cup neopolitan icecream
(130	4	2	3	22	1	55)
2 cups neopolitan icecream
(260	8	4	6	44	2	110)
=400+780+658.5+160+120+130+260
=10+51+21.5+10+2.5+4+8
=5+33+5.65+7+0+2+4
=4+6+29.5+12+20+3+6
=74+78+90.2+2+5+22+44
=1+3+7.95+0+2+1+2
=240+600+952.6+380+340+55+110
</t>
  </si>
  <si>
    <t xml:space="preserve">Woke up at 430 and went back to bed after looking at the time. Wanted to wake up at 530 but it was 545 when I woke up. Had a weird dream wandering around a place that turned into a library, changing clothes but not being the right ones with another girl thats a friend or close family, then after shower the bra not fitting, having to go somewhere, then upset clothes wrong, talking to some attendants, and having to wipe my butt cause I had a BM and looking at a dude to make sure he wasn't looking at me wiping my butt, saw the wipe, wiped again, discarded, then left in wrong clothes, like I'm dominant or don't give a fuck about any dude, and upon exiting the dude asked if I was bisexual. I woke up and it was 545 am. WEird dream. I rarely have dreams, must be because I am getting my vaccine today, the 2nd dose. And not working. Right, so I am not bisexual, I tried it out in my early 20s and not for me. Tried again, and never right, because just wanted to make sure with a couple different exes or flings, not really 'dated' just whatever, Glenda and Judy were friends in a tub 2003, Sabrina 2003 through promo boxing video, and Charlene and Cori her friend I thought was transvestite with ex Derek once, and Charlene bartender once other time 2007-2008 approximately and it ends there except for Jaqueline also with Derek after the previous two, also a friend close MT and previous stripper. Early 2000s, certainly am not sexually attracted to anybody now. I don't care who judges, because its none of your business and I lost virginity willingly at age 14 1/2 to same guy that I rode my bike in the dark in control the whole time from Carbon to Eastland at his friend's house with my older sister knowing it was planned at 14 1/2, really boring in TX at that time, I look back and know it was stupid, but a different time, my older 16 year old sister was having sex with that was her bf in TX not at the same time, Jared a mixed curly haired green/blue eyed black/white skinny, avg sized dude on small end of avg unaware at time couldn't break my hymen, he was 16, he dropped me back off in his pickup truck with my bike. Not a proud moment, but nothing was forced and could have backed out at any time because sex and teens having it was all over any accessible tv shows viewed in boring TX at time, I don't even blame me, but wanted to try it out to see what all the talk was about, totally not what its about...  I don't let public media tell me who to be attracted to. Different motivations. My ex husband is my 40th guy romance and the last of any. I don't let sexuality rule me. It is not a driving force for me, and anyhow, not planning on having kids. If so, then invitro and pay for a healthy celebrities sperm to make my good gametes into a healthy embryo.  Made some more car magnets. Probably a waste of money to actually get me income but promotes massage and wellness and when they google massage near me or mobile massage or in home massage, or my website, they will eventually know this is a professional massage service. That is mobile. Didn't have a BM or feel close to one by 7:49 am, took measurements while drinking 3rd coffee, finishing it while entering these notes, also updated nutrition content from yesterday. That sucks! I really wanted to have a BM before I get the 2nd dose just in case it makes me get flu like symptoms on this vaccine. Have to shower and want to leave by 830 am, for my 915 appointment to stand in line for the vaccine. Had 4 cups of coffee by 841 am and folded laundry before showering. No BM, felt like I might have a very small one, and noticed blood, a couple drops in toilet. I massaged a client who started her rag unaware yesterday on the table at work yesterday. Coincidence, only 13 days since last mensa started of mine. Tried downing half a bottle of water with 4th cup of coffee too. No BM by 2:50 pm. I went to vaccine site, not a huge line at all, good thing I asked where it was, because it was the parking structure 2nd level. I only waited 5 minutes after it, the lady stabbed me this time, instead of letting the needle do the work. I felt fine. Thought I might get shortness of breath but that was from climbing stairs on 3rd level back to vehicle, and not having worked out in 3 months. Went to house, heavy traffic right at my exit on 91 main st, but got to pee then left for client's house stopped at the Stater Bros on River Rd by her house in Corona and got some paper towels and toilet paper, needed the paper towels and also water but made note to self to get at winco after appointment. Clients same as last time but slightly better able to move around. I ate 1/2 a  pack of cinnamon crumble donuts from check out line on the way there and 2 of the white cheddar rice cakes I got at Stater Bros earlier, then went to Winco got groceries and some hard alcohol a Jim Bean sour apple and another grey goose vodka. Thought I might be getting a headache, but had 4 cups of coffee already before 11 am, and got home, unloaded groceries, started laundry, balanced checkbook account, put away groceries, and made protein shake with 1 cup of neopolitan icecream in the 3/4 gallon I got at Winco, with a serving protein, and 5th cup of coffee and some ice cubes. Tasted alright. Like a malt chocolate smoothie/shake. Then ordered the photo lighting kit, no headache thankfully but started feeling tired, ankles were already swollen this morning, and actually, I am tired every chemistry lecture and lab, lot to absorb, and note take and pay attention to. No brain fog really other than what I normally get. Thankfully no flu like symptoms. Did start to feel the shoulder ache like working out really hard, more noticeable this time, probably because the lady actually stabbed it into my muscle of left deltoid like she wanted it to feel like a bee sting. It doesn't but no need to stab it in there. The needle is tiny enough to cut me on its own. Isn't it? Is the first shot directed at fat of shoulder, and 2nd at the muscle under the fat of the muscle? Only wore waist trimmer from 830 am to 130 pm when I did the laundry for the day. I also stopped at the Dickies store next to Winco and got another set of scrubs with many pockets for $52 that are gray. I love the many pockets and belt loops and the way the scrubs fit snuggly. Some light spotting of blood noticed in pad in undies before going to get vaccine and checking when having to pee afterwards through traffic on way home. Might be on my rag after only 13 days since last one that was irregular. Finished half of worksheet and went to bed at 1130 pm after sipping a watered down serving of Jim Bean sour apple whiskey. Had a couple cups of that neopolitan icecream during first half of lab working on valence bond theory worksheet follow along. Also, the lowest score was 48% on last quiz, bet that was me with 12/20. The questions were confusing, I had time to check, but having to conceptually take apart the words to pick the correct choice made them seem similar to the true response. A few questions we didn't go over how the flow of ionization is like O-&gt; O+e- instead of O-  + e- -&gt; O^2-. I read the reorder wrong for atomic radius knowing the correct direction, but chose first one and never rethought the choice thinking it was right, but was actually the opposite of the correct choice, Then didn't think to pick the 3rd period element based on given ionization energies by magnitude and realize the largest jump in change at the end indicated all the previous e- were the valence e- s and the new e- was from the core e- s. Also, wording for a True selection of given statements, the problem that is correct: "An orbital that penetrates into the region occupied by core electrons is less shielded from nuclear charge than an orbital that does not penetrate and therefore has a lower energy" vs. my selection: "An orbital that penetrates into the region occupied by core electrons is more shielded from nuclear charge than an orbital that does not penetrate and therefore has lower energy." --- because it sounds the same and what does that mean with the wording of less shielded from nuclear charge? Its not more shielded, but is less shielded, when outer orbitals have a higher e- charge if not in an octate? Confusing. Obviously, I know the lower orbitals have lower e- charge, but why would an orbital penetrate the area around the nucleus, wouldn't it be an e-? Another thing to ask about, when I have asked, I don't get a direct answer but a response of how to choose indirectly. Shielded is a term too. It makes sense now, they are less shielded because they are closer to the nucleus, and the energy photons released is more the closer to the core the orbital loses an electron, and less energy the further from nucleus a photon is removed to bring it back down to stable unexcited state. </t>
  </si>
  <si>
    <t>rice cakes white cheddar (quaker brand used, but generic), 14 cakes per pkg, 1 cake:</t>
  </si>
  <si>
    <t xml:space="preserve">Woke up at 2 am and laid in bed, got out of bed at 2 am, finished up the lab assignment. My L shoulder ached from the shot. I only had 1 serving of the Jim Bean green apple whiskey while finishing up some of the worksheet that isn't graded, but will likely help finishing the course and be tested on. Made flashcards out of it. It wasn't what kept me up, or was it? I went to bed around 1130 finishing the first section, then finished last two sections. Had to take photos of structures, crop and save as image and then paste and resize about 40 images all together, the last section at around 410 am the computer shut off with out asking me or notifying me and updated the windows updates. No option not to have within my time variable changes in working on it. Had a cup of coffee after restarting internet and waiting for computer to turn on. It said it updated it and was all done, then finished the insertions of the images for last section and turned in, I was going to go back to bed, but it was quite upsetting to be almost done and have the computer shut off to update and restrict use of any function of the computer. I just got this lap top, and only this computer had that word file I was working on. I might order some printer ink to the printer online, because last I checked at Target, the printer ink was all sold out. I still don't want to give walmart my money, and I bought this lap top from amazon, but the note inside it said, thank you for your walmart purchase. It was an indirect purchase from walmart. I bought it from amazon whoever sold it on there bought it from walmart. I wouldn't have bought it from this person if I would have known it was wal mart. I boycotted Target for more than  a year and still won't go to the Norco one because they treat me like a thief at the self checkout a few years back. Twice. That was too much. I posted all that crap on instagram about the boycott. I have clients later, and little rest, about 4 hours if that, and a homework assignment due by 11:59 pm tomorrow that is worth points. At least no clients booked tomorrow. We are on ch11 of the worksheet, and the ch 10 hw is due tomorrow. I go to her lectures and labs, but its a lot to take in and absorb, and she talks fast at some parts about important information. Like when picking the best resonance structure, I am still not certain why the outer highest electronegativity of Oxygen around Nitrogen is better than any charge on the center Nitrogen and outer. I thought the lowest on the highest charge or the center atom with the lowest charge, or why a bunch of confusing rhymes or reasons that don't easily separate into a venn diagram of decision tree circumstances for picking the best resonance structure. I will log in early next lecture and ask about that, noted. Folded laundry, going to wear my new gray scrubs today. I had some spotting very light actual color of blood and thought I would start my menstruation, but it never got heavier, and not showing today, so I remarked the day as another subsequent day since last menstruation. Had a bowl of pasta after 2nd cup of coffee and made 3rd cup. No BM at that time was around 615 am. Bought the black printer ink for printer on amazon for $25. I should make a protein shake for lunch and not spend any more money, clients have been getting cheaper, the new ones, a few haven't tipped in last two weeks and they were hour and a half. I don't like that skewing my income pool. I get $20/hour at work plus tips, what kind of person gets a massage and doesn't tip a service provider when notices and cashier checkout and check in post it everywhere? I have a few clients that tip slightly more than average, but not enough to pull up my income from the cheap skates. And asking to request again. No thanks bud/chick, your thankless and cheap. Go to a different location to use up all the credits you have before cancelling. It isn't a big deal to have my own personal clients not tip, like my two MLD package clients that I go to their homes for 10 $60 massage sessions prepaid up front for only $450, because I still make money after fuel and its extra. Not cool at work where the labor and service commision is subsidized by tips. That is what I hated about Massage Green, a bunch of thankless cheap skates. Measurements taken after eating a bowl of pasta, 3 cups of coffee, and no BM in two days. Had 4th cup of coffee at work for lunch, nescafe instant I brought. With my 2 serving protein smoothie with a serving frozen mixed berries and 2 cups Almond Breeze milk, and had about 10-15 rice cakes I bought the other day and ate entire package minus 2 I had eaten from it before client on Thursday after 2nd dose of covid19 vaccine. I got them at Stater Bros. I had clients for 3 1/2 hours after work and got back home before 9 pm. I didn't give Growly his meds by 530 pm and gave the 12 hour pills to him around 930 pm instead. I have to get to work by 8 am tomorrow. I am tired. When doing the dishes and picking my bowl to fix a bowl of yesterday's pasta, I accidentaly jammed the back of my finger of right hand into the blades of my ninja smoothie blender I washed. It was a tiny cuts that eventually dried up. I had a bowl of pasta with 1/4 cup mozz wincobrand and 2 tbs parmesan cheese approximately. Shared with babies, and used it to give Growly his meds. I have got homework due tomorrow at 11:59 pm, and haven't started it yet. Had a serving of the Jim Bean candy apple or sour apple whiskey with ice and water. Then made clients their receipts and SOAP notes. A lovely, charming couple I have known for a few months now. </t>
  </si>
  <si>
    <t xml:space="preserve">2 bowls pasta 5-13-21 recipe
(1317	43.05	11.3	59.05	180.4	15.9	1905.2)
1/2 cup mozz winco
(160	10	7	12	2	0	380)
1/4 cup parmesan cheese winco
(160	12	8	16	0	0	800)
2 servings protein powder
(240	5	0	40	10	4	680)
2 cups almond milk
(60	5	0	2	2	2	340)
1 serving frozen mixed berries
(80	5	1	1	20	9	0)
12 white cheddar rice cakes
(540	12	0	12	96	0	1200)
=1317+160+160+240+60+80+540
=43.05+10+12+5+5+5+12
=11.3+7+8+0+0+1+0
=59.05+12+16+40+2+1+12
=180.4+2+0+10+2+20+96
=15.9+0+0+4+2+9+0
=1905.2+380+800+680+340+0+1200
</t>
  </si>
  <si>
    <t>Woke up at 530 am by alarm, gave Growly his 12 hour meds even though I gave it to him last night at around 9pm. Sent in client SOAP notes and receipts, accidentally sent in early before filling out, because when tab-ing and then pressing enter, it tabs all the way to the submit button at bottom of form and sends it. It was sent not filled out. The jotform lets me edit it, but only allows me to think I am editing it, but doesn't send it in once I fill in the other parts of the form and when I submit it in edit mode, it just remains frozen on 'please wait...' Then started the 2nd cup of coffee, and had a lg BM, finally after 2 days without, I was almost ready to go to the store to get some metamucil or coalase pills. Today is the last day to drop with a W, but I am going to stick it out. I came this far, and finals are the 10th of June, today is the 15th of June. The only class I would drop would be chemistry 1A, General Chemistry, for the amount of intense testing that it involves. But 16 weeks and already on week 13 Monday. I can do it. I didn't have time to shower after having the last of the pasta with mozz cheese no parmesan cheese, although we do have it. Then folding the laundry and bringing the protein shake. I absolutely hate the Sprouts protein powder. I will stick to the other one when it comes time to replace this one. I put two servings in 2 cups of almond milk. I had an open spot at 8 am, then a no show at 10 am, and ate a bag of kettle corn I popped the correct amount of time, a bag of Hasbro gummy bears large one, and after my 11 am it was lunch time. I had my protein shake with my 3rd cup of coffee. I made coffee with 4 creamers at work but only sipped a few sips after cleaning out the keurig and running hot water through it 3 cups and saw the residue and color was still yellow orange like apple juice with old particles of coffee grains poured into the cup. I threw out the rest because I started the client early for my 9 am. I only had 3 cups of coffee today, 2 in the morning and 1 at lunch time in my smoothie. After work, I got two of my car magnets for monthly massage to bring someone's dad to champ status and inviting that someone to knock them out with a massage, and the one for babysitting as an add-on of $15 per hour of mobile massage. The wording is wack! Engaged child care for $15 an hour. Meaning get someone to pay attention to your child, instead of plopping them in front of the tv/ipad and sitting and watching his or her phone and chatting with people while 'babysitting' their little one. Keep them engaged. It still works. I would need my niece to be that babysitter and see if this promo has any interested patrons call. I will hire someone if it does, otherwise, part time. Took my measurements before my pasta this morning and after 2 cups of coffee. About to start that ch10 chemistry homework due tonight at 11:59 pm. I had a cup of ice with a serving of the Jim Bean sour apple and water. It is melting fast and has that onion after taste again. Makes me think some bum is hiding in the attic and sneaking down to backwash in my alcohol or something similarly gross. And also that it is the onion taste that is involved in methylation of DNA in the body to loosen up the DNA to cause gene expression of protein creation to be created. Or is that acetylation. We studied this last week. Very interesting in genetics. Acetylation, phosphorylation, and methylation of DNA, Acetylation promotes DNA gene expression by loosening up the histones and creating sites along the DNA strand for mRNA to bind to and transcribe genes into protein outside the nucleus, and methylation is for suppressing gene transcription along the DNA and tightening back up the DNA. Let me check. Just checked, methylation needs phosphorylation and acetylation to occur in the tightly wound DNA inside the nucleus to first use acetylation to open up the tight chromatin fiber or wound DNA coils and histones, then needs phosphorylation to unfold the wound up chromatin but also can condense it or fold it back up so that methylation can increase or decrease gene expression. I bet that onion taste is that methylation of gene expression going on or hypothetically make that assumption. Now on to the ch10 hw in chemistry. Finished by 10 pm, and made some pasta and ate a bowl of it with 1/4 cup mozz winco brand, bed by 11 pm. Pasta is red fennel penne, beyond meat red/green bell peppers, 3 tbs sourcream, prego 3 cheese, 3 tbs olive oil.</t>
  </si>
  <si>
    <t xml:space="preserve">woke up at 530 by alarm. Updaded jot form forms to new intake form consent form on website. Done by 730. Had a reg BM after 1st cup of coffee, and had 2 cups of coffee by 730 am, took measurements at 730 am before bowl of pasta with 1/4 cup mozz. Did regular routine to start as always, 24 hr and 12 hr pills for Growly, feed babies, all after cleaning their pet messes. At lunch ate my 2 protein serving/2 cup almond milk smoothie and went to 85 degrees bakery, got the iced coffee in bottle about 3 cups and drank 1 1/2 cups also had 4 creamers in coffee, had 4 cups total all day, and 1/3 of the cheesecake soufle cake. After work had a bowl of pasta with 1/4 cup mozz, then went to new clients. A nice small family in S corona. Then at home had some drinks with pups, roommate gone but coming back his day off. Did laundry and watched some of genetics video on ch 14, didn't finish, updated a new blog I made at work for genetic sequencing and comparisons and costs to buy a machine and why to get screened. I have homework on c14/16 in genetics due the 20th, an exam on ch 12, 13 and 14, probably Friday as usual. Had a 3rd bowl of pasta with parmesan cheese about 3 tbs or 1/4 cup parmesan. No Mozz. I have it but didn't add it. Shared with the babies. Have 1 bowl pasta left for breakfast. Have a 6 am discussion with a sales rep for ringcental tomorrow. I want to see how much it is to have an automated phone menu set up to direct clients to information on services while waiting for someone to answer their call. And also a 9 am MLD client. Then work till 10 pm. Thankfully no homework due tomorrow. feet and ankles slightly swollen. ft not anymore but were yesterday and earlier today. </t>
  </si>
  <si>
    <t>pot red fennel pasta beyond, penne, 2 peppers red/green, 3 tbs olive oil, 3 tbs sourcream, 1 zucchini, 5-15-21 recipe</t>
  </si>
  <si>
    <t>bowl red fennel pasta 5-15-21 recipe</t>
  </si>
  <si>
    <t xml:space="preserve">bowl pasta fettucini noodles
(658.5	21.525	5.65	29.525	90.2	7.95	952.6)
1/2 cup mozz
(160	10	7	12	2	0	380)
lg hasbro gummy bears
(450	0	0	9	103.5	0	22.5)
2 servings protein
(240	5	0	40	10	4	680)
2 cups milk
(60	5	0	2	2	2	340)
bag kettle corn popcorn
(375.00	22.50	10.00	5.00	47.50	7.50	425.00)
bowl pasta red fennel, beyond, 2 peppers, 3 tbs olive oil, 3 tbs sourcream, prego3 cheese sauce
(926.50	37.34	10.40	52.84	101.74	18.54	964.75)
=658.5+160+450+240+60+375+927
=21.5+10+0+5+5+22.5+37.3
=5.7+7+0+0+0+10+10.4
=29.5+12+9+40+2+5+52.8
=90.2+2+103.5+10+2+47.5+101.74
=7.95+0+0+4+2+7.5+18.54
=952.6+380+22.5+680+340+425+964.75
</t>
  </si>
  <si>
    <t>aldi dark chocolate candy bar</t>
  </si>
  <si>
    <t>aldi lightly salted rice cakes</t>
  </si>
  <si>
    <t>cream cheesecake used but it’s the cheesecake souffle not listed on 85 degrees celsius nutrition</t>
  </si>
  <si>
    <t>1/2 cup mozz
(160	10	7	12	2	0	380)
2 servings protein
(240	5	0	40	10	4	680)
2 cups milk
(60	5	0	2	2	2	340)
2 bowls pasta red fennel, beyond, 2 peppers, 3 tbs olive oil, 3 tbs sourcream, prego3 cheese sauce
(1853.00	74.68	20.80	105.68	203.48	37.08	1929.50)
1/4 dark chocolate candy bar
(55.00	3.25	2.00	0.50	6.00	0.50	0.00)
1/2 bottle 85 degrees celsius iced coffee milk drink
(370.00	15.00	15.00	0.00	60.00	0.00	25.00)
1/3 85 degrees celsius cheesecake soufle cake
(450.00	256.67	44.00	10.33	4.33	12.33	71.67)
3 tbs sourcream
(180	15	10.5	3	6	0	45)
4 french vanilla creamers
(140	6	0	0	20	0	60)
2 plain rice cakes
(80	0	0	2	16	0	30)
4 tbs parmesan cheese winco
(40	3	2	4	0	0	200)
=160+240+60+1853+55+370+450+180+140+80+40
=10+5+5+75.7+3.25+15+257.7+15+6+0+3
=7+0+0+20.8+2+15+44+10.5+0+0+2
=12+40+2+20.8+9.5+0+10.33+3+0+2+4
=2+10+2+203.48+6+60+4.3+6+20+16+0
=0+4+2+37.08+0.5+0+12.33+0+0+0+0
=380+680+340+1929.5+0+25+71.7+45+60+30+200</t>
  </si>
  <si>
    <t>Woke up at 6:09 am but thought the tv said 5:09 even though light out, was tired. Wanted to go back to bed, did my normal routine, Growly's meds, fed babies, coffee, folded laundry from dryer that roommate put on the table, then realized I missed the ringCentral meeting with Russel. I didn't get a link, and he emailed me 10 minutes before. and I was not awake when it occured. Oh, darn. must not have been a priority. Its stupid to schedule it in anyways. I just want a message prompt with customer or caller options to direct them to necessary info, not the other digital options they do with virtual screen sharing meetings. I took measurements before eating the last bowl of pasta with mozz cheese 1/4 cup, shared with babies and sourcream bc it was hot, about 2 tbs. I showered and went to MLD client prepaid at around 830 am to get there at 9am where I finished the bottle iced coffee I took from fridge and rest of the cake 2/3 of it I stuffed in my mouth and tasted better than yesterday with the honey icing and chill from fridge, and I finished the cold coffee completely after this session making it my 3rd cup of coffee. I always see some type of law enforcement on that road but didn't see it that time or for next client along that road. I literally do not feel safe or protected when they drive next to me. I am not a criminal but feel like they are next to me to harass me or intimidate me for not liking that they protect the white male and all conservatives who worship the white male and are therefore in worshipping the white male themselves racist misogynists regardless of their race or gender. I really do not like driving next to them. Lately I have seen them a lot, police or sheriff. And on my way to work a sheriff logo, tinted black window van, next to me on way to enter freeway. Not comfortable but upset me enough to get my adrenaline to keep me awake during the gloomy weather and mental exhaustion from having to work till 10 pm even though I got about 6 hours of sleep. After this client at 9 am, then went home and put laundry in wash but didn't start it, then went to my 1115 appointment with a new client that filled out the consent form and scheduled her appointment and lives a few streets down from other client. Then, after clients and SOAP notes and emails to both, made a protein shake with 2 servings protein, 2 cups almond milk, a serving neopolitan icecream, a serving of coffee. I had 2 cups before that time, and the 3rd cup as the iced 85 degree coffee bought yesterday and fridged. Then at work had an Aloho double salmon spicy mayo edemame ginger brown rice wasabi litte bit cucumber poki bowl. Also had my smoothie on the way there before starting work for 4th cup of coffee, and a 5th cup after my poki bowl with 4 french vanilla creamers. Updated my blog on how expensive either option is and path to working as a lab scientist for research use on screening human DNA from individual people for their whole genome with an email I recieved on the novapore $1k product that isn't made for whole human genome screening and instead is recommended to opt into the 300+k promethION product with training, sales tax, and shipping separate, as well as annual costs of 20k to be lab certified with them and additional certification for each product used from them to have your business listed on their site for research use only RUO DNA whole genome sequencing. Way out of my league. Their site says they want to eventually make this affordable for anybody to use, which I interpret as only an idiot would buy at that price right now. Because later it could be reduced very greatly. Seems like a rip off. Then at home after 10 pm had a drink or serving of the Jim Bean candy apple over ice and with water. And a sm BM for the 2nd one today after finishing that drink. Then input this observation for the day, I wrote down my measurements on a notecard before breakfast while it was in the microwave. Also, this is worth mentioning, at work around 945 pm while I was in the massage room, the front desk got a weird patron or creep, they called security on, because he came in late at 945 pm and wanted to book an appointment when we close at 10 pm then asked to check out the rooms and made the desk staff feel uncomfortable like he wanted to rob the place. The lonely security was out front in his golf cart scaring the weirdo away. But it has happened in the past, that weirdos have robbed after targeting the massage facilities in the neighborhood. And it is right by the freeway. I worked at Elements in Mira Loma in 2011 and when I wasn't there some guy robbed that place with a gun, and it was in the news that a guy was targeting small massage parlors at gun point for cash. Also, my niece's first job at a shoe store near the freeway was robbed at gun point twice and her mom wouldn't let her work there anymore before the quarantine happened in early 2020. That is the only time law enforcement should do their job and not harass or intimidate anybody, but they don't and show up late, have you file a report and don't check into the details of the robbery from what I gather, as it happened twice at the shoe store. I went to bed at 12 am after putting laundry in washer and looking at computer news. I also had 3/4 or the remaining Aldis chocolate candy bar I started eating yesterday of dark chocolate before work. I also had a couple dry rice cakes 2-3 between driving to work and looking at my email at my break time at work. Also when arriving home after feeding the babies and doing the laundry and dishes, had a serving of the Jim Bean candy apple with 1 hour till class started with my nachos. Then had the chocolate chip cookies.</t>
  </si>
  <si>
    <t>pasta penne last bowl
(926.50	37.34	10.40	52.84	101.74	18.54	964.75)
1 serving 85 degree iced coffee other half from yesterday
(370.00	15.00	15.00	0.00	60.00	0.00	25.00)
2/3 cheesecake souffle 85 degrees from other day
(900.00	513.33	88.00	20.67	8.67	24.67	143.33)
2 servings protein powder
(240.00	5.00	0.00	40.00	10.00	4.00	680.00)
2 cups almond milk
(60.00	5.00	0.00	2.00	2.00	2.00	340.00)
serving neopolitan icecream
(130	4	2	3	22	1	55)
double salmon poki bowl
(554.50	11.18	2.15	17.80	96.55	8.35	901.00)
creamcheese in poki bowl
(51	5.1	3.2	1.1	0.4	0	43)
4 creamers
(140.00	6.00	0.00	0.00	20.00	0.00	60.00)
3/4 Aldi brand dark chocolate candy bar
(165.00	9.75	6.00	1.50	18.00	1.50	0.00)
=926.5+370+900+240+60+130+554.5+51+140+165
=37.34+15+513.3+5+5+4+11.18+5.1+6+9.75
=10.4+15+88+0+0+2+2.15+3.2+0+6
=52.84+0+20.67+40+2+3+17.8+1.1+0+1.5
=101.74+60+8.67+10+2+22+96.55+0.4+20+18
=18.54+0+24.67+4+2+1+8.35+0+0+1.5
=964.75+25+143.3+680+340+55+901+43+60+0</t>
  </si>
  <si>
    <t>pot of nachos beyond meat, zucchini, 2 green peppers, 2 cups pineapple, no olive oil</t>
  </si>
  <si>
    <t>3 almond joy snack size</t>
  </si>
  <si>
    <t xml:space="preserve">2 bowls nacho pineapple beyond zucc 2 grnpprs
(598.5	36.3	10.05	42.05	28.4	8.9	702.7)
2 servings tortilla chips
(280	14	10	4	36	4	180)
5 tbs sourcream
(300	25	17.5	5	10	0	75)
1 cup mozz winco
(320	20	14	24	4	0	760)
6 romero corn tortillas
(216	0	0	6	42	6	108)
1/4 cup tomato 4 cheese sauce Del Monte brand
(60	1	0	2	12	2	420)
8 chocolate chip cookies
(960	40	24	8	136	8	800)
3 snack size almond joy candy bars
(239	13.5	9	3	30	3	60)
2 dry rice cakes
(80.00	0.00	0.00	2.00	16.00	0.00	30.00)
=598.5+280+300+320+216+60+960+239+80
=36.3+14+25+20+0+1+40+13.5+0
=10.05+10+17.5+14+0+0+24+9+0
=42.05+4+5+24+6+2+8+3+2
=28.4+36+10+4+42+12+136+30+16
=8.9+4+0+0+6+2+8+3+0
=702.7+180+75+760+108+420+800+60+30
</t>
  </si>
  <si>
    <t xml:space="preserve">Woke up at 4:09 am and laid in bed in pain, my inside, gracilis tendon at pubic bone felt twisted in inguinal area and ached. Hurt quite a bit and got out of bed at 430 am. I limped around on it and had 3 cups of coffee while finishing up the genetics homework, but didn't send it in yet. Did some updates of mistakes or misinterpretations that never got corrected on viruses being eukaryotes, but really it was just the DNA from viruses that proved eukaryotes transfer genetic information from the parent to offspring or parent cells to daughter cells and not proteins. Then I took a nap, no BM at all, nor felt like one would be moving along. I did have a small BM late last night after my drink. Ankles still swollen but my sodium rich diet doesn't help determine if its the vaccine I had or stress. The vaccine 2nd dose pfizer on Thursday the 13th. Today the 18th. I had a 10 minute nap after doing the laundry and after finishing up genetics hw and the dishes. made nachos around 8 am and ate a bowl of the nachos of 2 cups pineapple fresh, zucchini, 2 green bell peppers, and a package beyond meat. No olive oil. Reading the last ch 16 ppt for the hw in genetics explained how genes mutate and what genes are mutated involved in the cell cycle cause cell division of mutated genes and how regulators are supposed to catch those discrepencies. But sometimes environmental factors stress the body from diet, chemicals, radiation, infections, and oxidative by products of normal metabolic processes. Interesting stuff. Took a nap after my bowl of nachos with serving of broken up tortilla chips from two bags one lime and other plain. Ate the nachos with 3 tbs sourcream and 1/4 cup mozz winco brand. My nap was about 10-15 minutes, then started the ch 10 ppt slides I completed hw on in chemistry 1A and took a nap at 1010 am for 15 minutes, I had set my alarm because I have my regular client at 12 pm. I also ran my van to keep the hydrocollator pads heated from 920 am until I left at 1120 am. It had 65 miles estimated till gas and by 1120 am had 56 miles estimated till gas. I got to clients location early, so put fuel in close to her house. She is feeling so much better, not worse thankfully. Very nice lady. My infrared light stopped working half through knees, bc I don't change/charge the batteries. I barely run it, but 1-3 minutes and used it maybe less than 10 times all together. It must be powerful that it juices the batteries we figured. No worries, extra battery in car and a charger with USB plug. I took measurements after my nap when waking up from 2nd one at 1028 am and put on a notecard to enter in. When I got home, did laundry, feeling tired. I realized I only got 4 hours of sleep from the pain waking me up. Fed the babies and reviewed as much as last discussion on ch11 ppt before che1a lecture, then logged in with the only student I didn't commit completely left the option unchecked to join with audio but saw instructor logged in about 20 seconds or less after I did. 20 min before class. A few student started showing up after 20 minutes and more by the last 1/2 hour of lecture. We went over ch 12 ppt slides and reviewed molecular orbital diagrams. I need to go over all of that, the details are in the slides on why certain resonance structures, models, and the molecular orbits that share space are configured. I was still working on the other homework. Last lab of the semester later, but we finished the molecular orbital lab worksheet in lecture. I was tired as normal at that time. I always get tired during her lectures, because I wake up and its a lot to synthesize or interpret. Took a 3rd nap for 15 minutes at 440 pm and got up around 5 pm and had 3 quesadillas normal style with a 1/4 cup pasta 4 cheese sauce from the can of other brand I forget the name but its in the nutritional data earlier in the observations. I had a time getting out of bed at 5 pm, felt tired. Before the lecture I had a 2nd bowl of nachos, same as the morning style sourcream mozz and chips. Felt stuffed. Talked to Mom, she got the lipsticks and wanted to say thank you that I sent her for mother's day. I only had 4 cups of coffee all day. Never had the 5th one. Last cup of coffee was before my 10am nap. Was able to shower and wash hair before going to my 12 pm client's house. I also had about 5 small chocolate chip cookies and 4 chunky chocolate chip cookies of the roommates before lecture and 3 of his almond joy snack size candy bars I shared half with the babies around the time I started reviewing the che1a ch 10 ppt slides before client. With the 4th cup of coffee. And I put in a request for Growlys refills with the vet and the lady said around 8 am that it should be ready in a few days. He has 4 days left of his 24 hour pill, and I need to get the refill for his other meds from the online store. I didn't put in the request for the online store yet. My coworker texted me this morning to ask if I would cover for her in the am on June 1st, a Tuesday, but I told her I had class on that day and apologized. I didn't ask why. Didn't calcultate nutrition for yesterday or today by 8:23 pm today. Will do later, and need to make the SOAP notes and receipt for client. She is very understanding. Used the time professor gave us in lab to work on the lab due next Thursday to input the nutrition calculation approximately 40 minutes. Then spent last 5 minutes on lab. Finished up my client's receipt and SOAP notes by 930 pm and fed cat outside before going to bed. I am tired and need my sleep, been waking up actually exhausted last few days. </t>
  </si>
  <si>
    <t>chunky chocolate chip cookies, serving 2 cookies</t>
  </si>
  <si>
    <t>instant mashed potatoes Chefs cupboard Four cheese, package is 4 servings of 1/4 cup dry mix, 1/4 cup:</t>
  </si>
  <si>
    <t>2 bowls nachos
(598.5	36.3	10.05	42.05	28.4	8.9	702.7)
3/4 cup mozz
(240	15	10.5	18	3	0	570)
4 tbs sour cream
(240	20	14	4	8	0	60)
2 servings chips tortilla
(280	14	10	4	36	4	180)
2 servings protein
(240	5	0	40	10	4	680)
2 cups almond milk
(60	5	0	2	2	2	340)
2/3 pkg instant mashed red potatoes
(330	6	6	6	60	3	1710)
sushi roll Rock n Roll *
(389.1	7.245	1.29	10.62	72.45	7.35	1038.6)
5 chocolate chip cookies
(750	40	12.5	5	100	5	375)
4 french vanilla creamers
(140	6	0	0	20	0	60)
=598.5+240+240+280+240+60+330+389.1+750+140
=36.3+15+20+14+5+5+6+7.2+40+6
=10.05+10.5+14+10+0+0+6+1.29+12.5+0
=42.05+18+4+4+40+2+6+10.62+5+0
=28.4+3+8+36+10+2+60+72.45+100+20
=8.9+0+0+4+4+2+3+7.35+5+0
=702.7+570+60+180+680+340+1710+1038.6+375+60
*serving shrimp/1/4 avocado serving salmon
1/4 cup white sushi rice, tempura fried shell, ate about 60% of the roll, not a fan, the rice and wet inside, plus the sushi chef sneezed without his face mask on and was wiping the counter with a solution and rag. Made me think of that when looking at the wet inside of the sushi roll, with 2 small soy sauce packets and serving wasabi, will use 60% of the original poki bowl contents nutrition</t>
  </si>
  <si>
    <t xml:space="preserve">1/3 bowl instant mashed potatoes
(110	2	2	2	20	1	570)
10 corn tortillas Romero
(360	0	0	10	70	10	180)
1/4 cup Del Monte pasta 3 cheese sauce
(60	1	0	2	12	2	420)
3/4 cup mozz
(180	15	10.5	3	6	0	45)
2 eggs
(140	10	3	12	0	0	140)
1/4 cup almond milk
(10	0.75	0	0.25	0.5	0.25	45)
10 chocolate chip cookies
(750	40	12.5	5	100	5	375)
2 tbs olive oil
(260	28	4	0	0	0	0)
=110+360+60+180+140+10+750+260
=2+0+1+15+10+0.75+40+28
=2+0+0+10.5+3+0+12.5+4
=2+10+2+3+12+0.25+5+0
=20+70+12+6+0+0.5+100+0
=1+10+2+0+0+0.25+5+0
=570+180+420+45+140+45+375+0
</t>
  </si>
  <si>
    <t>Woke up at 510 am and napped until alarm woke me up at 530 am, normal routine but did laundry folding and also ordered Growly's meds for one that was sold out at last online source, and switched to a new one that is cheaper and liquid form. Have to check on his meds with the vet today sometime to make sure they aren't pushing it back. Updated the blog again with other stuff or corrections on the gene sequencing side project and the DNA information and analogies of mutations in genes. Ate a bowl of nachos with 1/4 cup mozz and a serving of crushed tortilla chips and shared with babies as always. Then took measurements before showering and getting ready for work. I have a regular client, nice lady at 7 pm tonight. Exam in genetics to study for. Should turn in my homework too. I was also looking at my responses to it before turning it in. Was busy all day, wrote down nutrition inputs, ate sushi yesterday, and one of the sushi chefs grossed me out with his open mask sneeze and the way he kept his counter wet with a rag. I still bought the sushi roll but only ate about 1/2 of it. The Rock n Roll sushi roll from Dono Sushi in Chino. The older chubby asian guy. Got home, worked on filling in study guide for exam then went to client's house, got 2 prebookings for Saturday and another on Wed next week, got many finals and exams the next few weeks and homework. Not trying to take on more clients that are new right now. Went to bed around 12 am and woke up at a little after 6 am. Had a tiny BM after drinking a couple servings of the candy apple liqueur Jim Bean whiskey with water, and then another 2 servings to finish it around 1030-11 pm. Got about 1/2 the study guid or 1/3 of it done all of ch 14. Had 4 cups of coffee, 1 from work with 4 french vanilla creamers. After work had a 2nd bowl of nachos with mozz cheese and chips crushed in it. Ate the 2 serving protein almond milk shake for breakfast at work. Had a few cancellations. Chill day at work. Picked up Growly's meds after work but waiting on one through a new pet meds supplier as other one ran out. Also snacked on some of the roommates cookies and instant red potatoes I didn't take nutrition down for but used another package to approximate. My ankles are swollen as I input from my notes, and my foot the next day at 4 pm.</t>
  </si>
  <si>
    <t>Woke up a little after 6 am, did the normal routine with feeding babies, Growlies meds. My coffee, reg BM by 3rd cup, had some instant potatoes for late snack yesterday about 2/3 the package and this morning had the other 1/3 in 3 quesadillas normal style of corn tortillas and 1/2 cup mozz cheese. Got through most of the exam 3 in genetics on ch12 and ch13 by 11am and 2 pm respectively was done. Had to send last night's client SOAP notes late after my 11 am Illumina discussion with the sales rep on starting a lab with the machine to do whole genome sequencing then at 2 pm with nanopore sales reps to discuss their machine costs and requirements. Both super expensive and cannot outbeat the nebula sequencing price of $300. Require tens of thousands of dollars and only can sequence at that cost about 12 people. Those are more additional notes to take down or edit into my blog on the sequencing data. I was approximating each sequence to be around $3,000 each with the flow cells and reagent kits needed to lyse, fragment, tag, label and sequence with 24 in the PromethION 24 flow cells one for each person, compared ot the GridIon which needs 5 flow cells for one person. Only need pipettes and a bench and thermocycler in addition to the machine but many certifications that take 1-2 months to complete all of them, and set up the lab. Need a histology clinical lab scientist certified of course to operate machinery and the kit preps or they can teach me on how to do specifically just that task for $15k. Very nice ladies I spoke with at both companies. Illumina is Srya and at novapore is Michelle Thai and Sinem. All females. I told them that I couldn't be competitive and that my clients and lab wouldn't know how to beat the nebula lab that only charges $300 for the whole genome but needs 8 weeks to give you the sequence data. Took measurements late, Only completed my exam 3 study guide but didn't try additional memorization of content, but did get some in while filling out the guide. I took my measurements late in the day after che1A lecture. Was feeling tired after first 30 minutes of lecture again, so I just caught up on entering my data for this database the last hour of it while listening to her on Zoom. Her exams are worrisome. For the finals the score must be better than 65% on lab final and better than 60% on final to pass the class. Had 3 quesadillas with the 1/3 pkg mashed potatoes for breakfast after my 3 cups coffee and then had about 5 chocolate chip cookies while working on my study guide for exam 3 in genetics before meeting on MS team meetings at 11 am for 45 minutes with Srya on Illumina NovaSeq 6000 and then had sent the SOAP notes to client and receipt from last night, and then had 2 quesadillas with 2 scrambled eggs in olive oil and almond milk with 1/4 cup Del Monte 3 cheese pasta sauce, then for 2 pm hour meeting with novaseq before it, had 4 th cup of coffee and finished study guide, and during lecture I had the rest of the roommates chunky chocolate chip cookies, because I need to go grocery shopping. Just ate all the tortillas, but have eggs, cheese, milk and pasta, no pasta sauce, no veggies, no beyond meat. And left protein shake in car and still haven't retrieved it to wash it. Also, got my 4 car magnets and they look great. Love them. I told the 2 separate sales consultants on sequencing machines I would make some car magnets to hype up and spread knowledge of whole genome sequencing to start getting interested clients. Will do it eventually. First got to rearrange magnets on car to advertise, even though not looking for more business these next two weeks due to cramped and stressful studying and exam preparations I need to do. Took measurements after lecture and entered in the data into this database, all caught up.</t>
  </si>
  <si>
    <t xml:space="preserve">Woke up at about 1:45 am and got out of bed before 2 am. I went to bed around 930 pm last night, about 4 hours. I studied and of course had printer issues when printing the document after downloading the driver software, and after an hour had to switch to laptop with the software on it instead. Printed out the study guide with my filled in solutions, Read it twice, had 2 cups of coffee and the rest of the mac n cheese mozz cheese no butter and intant potatoes that I made and ate last night after lab. I took the exam a little after 5 am 50 questions, not too difficult a little trickier with no bonus questions with the interent saying it was disconnected intermittently then disappearing. When I went to submit it, the assignment didn't send produced error page, so went on my new laptop, downloaded respondus crap ass cock sucking ass licking lpice of shitt fucking browxer and saw that I could resume at 1/2 the questions, and did so until question 47 where it sent in the exam around 6 30 am saying time was out, witha  90 minute limit, the clock was still running from initial time. I emailed my professor to let her know. At that time I had the 2nd bowl for the day, no BM at all, and started a 3rd cup, had the 2nd cup while taking exam. Fed the babies and GRowly hsi meds early bec didn't want to give it at 2 am when I had my coffee.  I fucking!!!!! hate Responduc Lockdown Browser. Its shiitttyyy!!!! Anyhow, belly extended, ft and ankles super swollen, super high sodium intake and sugar carb intake last few days. Will take measurements now and maybe have a BM before showering. I am going to count the last night bowl of mac n cheese and potatoes into this day since I didn't really digest it in 5 hours including sleep. Full box of mac n cheese 1/2 cup mozz cheese, and pkg of instant potatoes. I also fucking do not like almost all my coworkers at work, I got a text from my boss not to leave the door open with my cell phone in my hands using it, because somebody walked by and wanted to text or call her to tell her. I don't talk to any of those bitches and shtibags, and say hello all the time and only a few say hi back that I like but could take or leave. The others are male/female bitches that complain and gossip and are not friendly. Lets see who is neutral other than front desk, don't really care about them or the bosses, but Sandra, the new girl Romana, Joanna the MT and esthe separate people,Robert, Elvira, and Alejandro/a separate people also who mind their own damn business. Courteous people, not in the group with the asshole shitbaggers, Nicole is courteous too, but the rest can go to fucklels hell and fuck off forever. I wouldn't miss any of those retardss!!!!!!! Just to be clear. Work is work whereever. I am a nice person, those people are fucktards. The people who can go to fuckles hell are Matt for sure the one I want to jab in the face a couple times, Carla or whatever her name is that thinks we're in Mexico because she refuses to speak ENglish and only some to clients, but always Spanish all the time, Aryn, Patrick and Kaitlyn, all gossipers because that adds to negativity in workplace, that don't say hi when I say hi upon entering the building, same with Michael, the new fat chick Melissa Esthe, the bitch coughed without her facemask on 1 foot behind me with her face behind me. Fucking cunt, she gets a jab to the face too. Bam! Just venting. Going to take those measurements now. Broke the caliper arm, but it still works. Also, my roommate's cousin was either killed or killed herself by a guy she was dating/married that she did the laundry and saw holes in the anus part of all his undies, told her sister, then on her own confronted him. Also, the cousin was told the guy was going to a local gay bar that she confronted him with. My roommate saw him at a funeral of one of his other cousin's five years ago and said he was a weirdo who asked him if he likes to dominate, or accused him of being a dude that likes to dominate. The image of how the guy is and how he went to a gay bar and got holes in all his undies in the anus area is not anything but gross, he is said to remind the roommate of a Richard Ramires, slicked back, weird cap wearing tall skinny dude. He thinks his cousin Danielle confronted him with a shot gun and they argued and he pointed at her and caused her to shoot off her face. I just wanted to make a note of that information I heard about yesterday, and he heard about on that day the day before. But wow, he was in a gay bar and comes back with holes in the anus of his undies and all of his undies according to his deceased wife before she died. Must have been some serious hard friction burning a hole in his anus of his undies. At work, had break early at 10 am, so went to 85 degrees bakery and got some pastries and a bottled iced coffee with non dairy creamer, on the way home had 2 rice cakes plain waiting in traffic and stopped at the Sprouts for Impossible meat because beyond meat was gone and some peppers and yellow squash. The power went out about 30 seconds after I clocked out on the way to the front. Then came back on after about the same amount of time. I have plenty to study this weekend, and have three massages tomorrow after work, so tonight and Sunday, because Monday before work a few hours can be squeezed in but my client is doing a 2 hour MLD to makeup for her cancelled Thursday. I blocked the rest of the availability not belonging to my clients that are scheduled. The roommate is in a foul, retarded mood. A lot of traffic for me on the way back, the Friday traffic, but made it to Sprouts 45 minutes after work, and home a little after 5 pm. A salted butter pastry, taro puff pastry, and blueberry muffin, and bottled iced coffee from 85 degrees bakery for lunch. </t>
  </si>
  <si>
    <t>instant red potatoes mashed  4 servings per pkg</t>
  </si>
  <si>
    <t>impossible meat, 3 servings per pkg</t>
  </si>
  <si>
    <t>mac n cheese pkg, 3 servings per pkg</t>
  </si>
  <si>
    <t xml:space="preserve">Woke up at 4:30 am, went to bed at 930 pm. Worked on the homework just reading the ppts and making notes on ch11 che1a. I felt bad, but I had to cancel some appointments with a great family tonight, because I am at risk of failing che1A, I have hw I haven't done and still reviewing the ppt to understand it before starting it, that required  a few hours to get half through it, then this morning a lot. And another 4 hours to 6 hours to start and finish the hw due Mon when I have clients 2 hour in am and work till 10 pm, and an exam on ch7/8/9 that I haven't even studied for. She had texted me to add in her, her mom, and her dad, and is a student herself, and I added her, but didn't realize until last night that I cannot do it. I gave her a $40 discount on a reschedule I made for Saturday. Also, they were going to pay $180 for three hours, when I gave them a five hour family massage for the same price I just saw them about 6 weeks ago. Had lg BM before finishing 2nd cup of coffee, and thats great bc I didn't have any BM yesterday at all. Running late to work, gotta be there at 8 am, have to leave by 730 am at latest, no shower today. I made the impossible meat into nachos this morning, and hate it. I had it before too, but it doesn't compare to beyond meat, and that was the only thing they had at Sprouts. Tastes terrible, absolutely terrible. It tastes like meat, but roadkill is imagined to taste like to me. Like rotten blood from a corpse. Looks like meat, but not good at all. The dogs' food for a while not to waste it. I also took one of the roommate's coca colas, and haven't had a carbonated drink in years. Maybe a year and half. Tried drowning the taste. I don't know why I like fatburger's impossible burger, but not the stuff they sale at the stores. Must be temperature based on how to cook, because it is gross stewed like beyond meat, but not bad when pan burnt like a burger. I ate 1/4 bowl of those nachos, 1/4 serving chips with it, 1/2 can coca cola, then for lunch at work had a double salmon poke bowl with brown rice, edemame, 1/4 cup creamcheese, cucumbers, furikake sesame seeds, ginger and house soy sauce blend, we'll call it ponzu sauce. The 3 rice cakes on the way home and a serving tortilla chips while waiting in the car wash to wash my dodge charger I drove this day and it was really dirty. Looked like I got it out of a dirty storage lot. I didn't have the first hour and a half booked at work, so I was able to complete about 4 chemistry questions of ch11 on my phone, but wrote them down when I got home. Still took a while to get through those questions in distracting break room, and at home worked on the problems until 10 pm and went to bed. In the morning I made a cup of coffee at work with 4 french vanilla creamers but am not counting it because I only sipped it, too many bodies breathing in cramped break room, and I poured it out. Probably why I was so tired, even though I got 7 hours of sleep after lunch and my poke bowl. I made an icecream drink once home and was still tired, that had a cup of vanilla icecream and instant coffee for 3rd and final cup of coffee. I haven't even started ch7/8/9 studying for exam Tuesday and I am finishing the hw for ch11. Last night while drinking a serving of vodka grey goose and on the computer reading through what to prepare for studying and assignments to complete, my instructor for genetics replied to my email with the last questions and I sent her back an email letting her know I was very appreciative and thanking her and with my responses, but don't actually know what the chapter 14 said were the functions of proteins and said something generic like they build, repair, maintain, and protect. For dinner I also had a small cauliflower pizza marguerite I got at Winco earlier in the day, because we needed water, but didn't have my roommate take them out of the van until tomorrow, because we still had water in the car and he doesn't bitch as much if he sees we are out of water already and has me do it. They are 40 packs and heavy and awkward and it takes me two trips, and him only one because he stacks them. They brought chicken wraps and nuggets from chic fil-A yesterday before I went to lunch, but it wasn't a holiday, and I didn't eat any, because it wasn't gluten free or vegetarian. BUt it was nice of work to do, the manager and owner of the store's daughter. Nice lady named Michelle. Had two servings alcohol while writing notes on ch11 ppt the rest remaining from earlier, and then doing some later problems after feeling my body get stressed on molecular orbital theory. </t>
  </si>
  <si>
    <t>taro puff pastry 85 degrees bakery</t>
  </si>
  <si>
    <t>blueberry muffin (berry multigrain ) 85 degrees bakery</t>
  </si>
  <si>
    <t>salted butter pastry 85 degrees bakery</t>
  </si>
  <si>
    <t>1/4 bowl impossible meat/2 bell peppers red green/yellow squash/3 tbs olive oil</t>
  </si>
  <si>
    <t>coca cola mini can serving 1</t>
  </si>
  <si>
    <t>edamame 1/4 cup</t>
  </si>
  <si>
    <t>double salmon poke bowl, 1 cup brown rice, ginger, edamame, double salmon, cucumbers, ponzu sauce</t>
  </si>
  <si>
    <t xml:space="preserve">1/4 dark chocolate Aldi's brand 
(55	3.25	2	0.5	6	0.5	0)
1/4 bowl nachos impossible soy meat/green/red peppers/yellow squash
(100.75	7.00	2.50	5.04	4.04	1.29	93.50)
5/4 serving tortilla chips
(175	8.75	0.625	2.5	20	1.25	150)
1/2 can coca cola
(90	0	0	0	25	0	30)
3 rice cakes
(120	0	0	3	24	0	45)
1/4 cup cream cheese
(204	20.4	12.8	4.4	1.6	0	172)
1 cup vanilla icecream
(266.67	16.00	9.33	4.00	26.67	0.00	66.67)
pkg instant red potatoes
(480	12	8	8	80	4	1640)
5 tbs sour cream
(300	25	17.5	5	10	0	75)
1/2 cup mozz
(160.00	10.00	7.00	12.00	2.00	0.00	380.00)
double salmon poke bowl, edemame,cucumbers,ginger, brown rice, ponzu sauce,furikake sesame seeds, no wasabi forgot to add it when building it
(988.4	18.275	3.325	38.125	132.45	16.875	2007)
=55+100.75+175+90+120+204+267+480+300+160
=3.25+7+8.75+0+0+20.4+16+12+24+10
=2+2.5+0.625+0+0+12.8+9.3+8+17.5+7
=0.5+5.04+2.5+0+3+4.4+4+8+5+12
=6+4.04+20+25+24+1.6+26.7+80+10+2
=0.5+1.29+1.25+0+0+0+0+4+0+0
=0+93.5+150+30+45+172+66.7+1640+75+380
</t>
  </si>
  <si>
    <t>gluten free cauliflower margherite pizza personal size, frozen</t>
  </si>
  <si>
    <t xml:space="preserve">whole package mac n cheese
(780	7.5	4.5	27	144	6	1680)
1 cup mozz 
(320	20	14	24	4	0	760)
1/2 cup almond milk
(15	1.25	0	0.5	0.5	0.5	85)
whole package instant potatoes
(440	8	8	8	80	4	2280)
3 tbs sourcream
(180	15	10.5	3	6	0	45)
bottle iced coffee 85 degrees
(740	30	30	0	120	0	50)
blueberry muffin 85 degrees
(600	8	3	15	120	0	600)
taro croissant 85 degrees
(480	22	11	8	56	2	390)
salted butter croissant 85 degrees
(320	17	10	6	35	0	430)
2 rice cakes plain
(80	0	0	2	16	0	30)
gluten free margherite pizza
(670	26	8	21	88	5	1330)
=780+320+15+440+180+740+600+480+320+80+670
=7.5+20+1.25+8+15+30+8+22+17+0+26
=4.5+14+0+8+10.5+30+3+11+10+0+8
=27+24+0.5+8+3+0+15+8+6+2+21
=144+4+0.5+80+6+120+120+56+35+16+88
=6+0+0.5+4+0+0+0+2+0+0+5
=1680+760+85+2280+45+50+600+390+430+30+1330
</t>
  </si>
  <si>
    <t>Woke up at 4:30 am, but got out of bed at 4:50 am, gave Growly's meds, fed the babies, cleaned up pet messes before that, and haven't entered in my nutrition or many notes for last few days. Decided to update this data base to start the morning. I have one more question on the chemistry hw to complete for ch 11, but don't understand the molecular orbital theory very well to fill it in. Finished filling in from my notecard on the nutrition and searching up the nutrition online to get as accurate nutrition values possible by 6:45 am. Took measurements after the lg BM and before eating breakfast at 6:45 am. L foot is swollen into sandals like other times foot has been swollen, ankles swollen. Has been a while now since they haven't been swollen. Went to bed with them swollen and wake up with them not as swollen. The roommate had the plastic taken out of his ear a week ago but his ear is giving him problems and pain and he has pain when eating and is waiting to see his doctor to look at it again. He got home right when finishing entering the nutrition data. I will have to look at orbital diagrams at work and the ppt to see what the hell the last question of ch 11 hw is asking. It wants me to fill in the orbital diagram for the hybridized locations of bonded and unbonded orbitals with the atomic orbitals of two lithium ions that have a cation charge of 1 on the two bonded atoms. Ran out of time today, it takes time to enter in nutrition of items and many pieces individually if I stray from my diet. And I have certainly been doing that. I found out late that I didn't do a lab that help for that answer was on, but not completely. I was able to finish that lab we did in class but didn't print out to input the answers. I had it recorded in my notebook for che1a. I then made an adobe pdf scan of it and emailed it to my professor to ask if she still takes late hw with a 20% deduction each day its late, and she later replied and said she uploaded it to canvas and its graded. Super! I didn't check the points but some points are better than none. I then did the studying of ch7-9 by looking at the concepts in the ppt slides and making my own copy with the important slides on it about 133 slides long in all. Went to bed at 10 pm. Didn't get to reviewing the hw assignments for those chapters yet. Planning for tomorrow. The meal menu items for today were 2 strawberry poptarts in am, same exact double salmon poke bowl as yesterday, 1/4 cup cream cheese, 1 cup vanilla icecream w 5th cup of coffee, the 4th one was at work on my lunch break after the poke bowl a long lunch, with 4 french vanilla creamers, 3 corn tortilla quesadillas after work with 1/2 cup mozz cheese and before starting the filling in of the worksheet to send in one serving vodka with water. Also, I chopped off my hair today before work, because after washing it in the shower it kept coming out into my hands in little clumps and didn't stop, so I removed it to my chin.</t>
  </si>
  <si>
    <t xml:space="preserve">2 strawberry poptarts
(400	10	5	4	74	1	240)
double salmon poke bowl
(988.4	18.275	3.325	38.125	132.45	16.875	2007)
1/4 cup cream cheese
(204.00	20.40	12.80	4.40	1.60	0.00	172.00)
1 cup vanilla icecream
(266.67	16.00	9.33	4.00	26.67	0.00	66.67)
4 french vanilla creamers
(140.00	6.00	0.00	0.00	20.00	0.00	60.00)
6 corn tortillas
(216	0	0	6	42	6	108)
1/2 cup mozz cheese
(160	10	7	12	2	0	380)
=400+988.4+204+266.67+140+216+160
=10+18.275+20.4+16+6+0+10
=5+3.3+12.8+9.3+0+0+7
=4+38.1+4+4+0+6+12
=74+132.5+1.6+26.7+20+42+2
=1+16.88+0+0+0+6+0
=240+2007+172+66.67+60+108+380
</t>
  </si>
  <si>
    <t>Schar gluten free bread, serving 2 slices (1/2 the size of regular bread)</t>
  </si>
  <si>
    <t>Stater bros brand cheddar potato cringles, serving is 1 oz or 22 chips</t>
  </si>
  <si>
    <t xml:space="preserve">1/3 pkg of the instand red potatoes
(160.00	4.00	2.67	2.67	26.67	1.33	546.67)
3/4 cup mozz cheese
(240.00	15.00	10.50	18.00	3.00	0.00	570.00)
6 tbs sourcream
(360	30	21	6	12	0	90)
2 eggs over med
(140	10	3	12	0	0	140)
4 corn tortillas
(144.00	0.00	0.00	4.00	28.00	4.00	72.00)
1 serving cheese potato chips 3 tbs sourcream included above
(160	10	1.5	1	15	1	115)
2 slices gluten free bread ezekial I think
(160.00	160.00	160.00	160.00	160.00	160.00	160.00)
2 tbs gorgonzola blue cheese crumbles
(100	8	4.5	5	2	0	360)
5-7 sm sliced pickles
(30	0	0	0	8	1	150)
impossible meat
(240.00	14.00	8.00	19.00	9.00	3.00	370.00)
1 cup vanilla icecream
(266.67	16.00	9.33	4.00	26.67	0.00	66.67)
1/2 aldi chocolate candy bar
(110.00	6.50	4.00	1.00	12.00	1.00	0.00)
1/4 cup almond milk
(7.50	0.63	0.00	0.25	0.25	0.25	42.50)
double salmon poke bowl same as yesterday
(988.4	18.275	3.325	38.125	132.45	16.875	2007)
1/4 cup cream cheese
(204.00	20.40	12.80	4.40	1.60	0.00	172.00)
1 serving tortilla chips
(140.00	7.00	0.50	2.00	16.00	1.00	120.00)
4 french vanilla creamers
(140.00	6.00	0.00	0.00	20.00	0.00	60.00)
=160+240+360+140+144+160+160+100+30+240+267+110+7.5+988.4+204+140+140
=4+15+30+10+0+10+160+8+0+14+16+6.5+0.63+18.275+20.4+7+6
=2.67+10.5+21+3+0+1.5+160+4.5+0+8+9.3+4+0+3.3+12.8+0.5+0
=2.67+18+6+12+4+1+160+5+0+19+4+1+0.25+38.1+4.4+2+0
=26.67+3+12+0+28+15+160+2+8+9+26.7+12+0.25+132.5+1.6+16+20
=1.33+0+0+0+4+1+160+0+1+3+0+1+0.25+16.9+0+1+0
=546.7+570+90+140+72+115+160+360+150+370+66.7+0+42.5+2007+172+120+60
</t>
  </si>
  <si>
    <t>Woke up at 4 am and laid in bed, until just before 5 am and got out of bed, to review chemistry hw. I have a client at 9 am for two of her MLD prepaid sessions as a 2 hour. Did the normal routine of feeding Growly his meds and he has one of his 12 hour pills left after this morning, then feeding the babies. The heartland online vet med place said they got the order approved but need 72 hours to process before mailing.  I just got that email this morning. Had 3 cups of coffee this morning, and a tiny BM by 2nd cup. Showered, washed hair. I chpped it off to my chin below the ears, and love it, simple to wash and brush and air drys great. Can't even tell with the waves how terrible the bob cut edges are uneven. People are saying they like it. Thats nice. I reviewed all the ppt of ch7/8/9 last night and made a separate one of copied and pasted slides that I should go over again for concept interpretation and clarity or use in notes. Went over a little over half of my ch7 hw got the rest of that and ch8 and ch9 to go over and note the challenges and wording. I only had 1 serving of the vodka yesterday before making the ppt. The roommate yesterday was upset about the sink, so now the dishes are piled up as the plumber fixes the problem. I have to wait for him to be done to do the dishes. Just lunch dishes, the breakfast ones are done. I also have to give the babies their food before I go to work and get back a little after 10 pm. For lunch made that impossible burger but pan burnt/cooked it so that it is more like hamburger meat and put it together with some gluten free bread, pickles, and italian gorgonzola blue cheese crumbles. That meat tastes the best as a hamburger, but the beyond meat tastes better overall for stewing and pastas and tacos. The impossible meat only tastes good cooked over a high heat to burn or sear it. Note to remember when planning my meals. I didn't mind the gluten free bread. Can't taste it and toasted its the same texture as bread toasted or not. Didn't take my measurements but want to. On to my 4th cup of coffee in a serving of vanilla icecream with 1/2 Aldi chocolate candy bar. Breakfast was 1 1/2 cups of the instant red potatoes, 3 tbs sour cream, 3/4 mozz cheese in 2 corn tortilla quesadillas and the potatoes with 2 eggs over medium. I didn't really eat the eggs and potatoes, gave Princess half. I only ate as much as topping the quesadillas with then gave her the rest. My upper abdominals ached a little uncomfortably like the eggs were sitting in my stomach uncomfortably waiting to be digested. That went away. It would have been better to melt the chocolate in the icecream coffee, that also had 1/4 cup almond milk in it. Because the blender makes it sink to the bottom as a chopped up chocolate candy bar. Tired when I got home had a half serving of vodka with water and ice. around 1030 pm, and input my nutrition. I did some studying of ch7 hw and realized I didn't get the soln to ch7 hw last one. Still have ch 8 and ch9 to look at. Not much more to do and look over ppts. Have a client at 12 pm tomorrow. Then che1a lecture at 3 pm and the exam at 6 pm. I think it is 2 hours. I will check. No more hw past ch11, and those are the only ppt slides I have looked up to. We are going over ch 14 tomorrow. Also, a lab due on antacid titration. At work had the same double salmon poke bowl from aloha poke three days in a row but added wasabi. My calves itched at work, swollen and took off my compression socks and waist trimmer for one client, then put back on the waist trimmer. The plummer fixed the sink earlier today and was able to do the dishes before leaving but the roommate put his dishes and some others from the babies probably after feeding them his greasy food. Got the laundry to fold in the dryer. I just looked and saw that it is ch7-10 not ch7-9, so three more chapters of hw to look at and add in some slides from ppt ch 10. I might only be signed onto lecture for first few minutes then go to studying. That is a lot to workout. Then another half serving plain after seeing that I have another chapter to add into this exam. A serving, to be clear, is gravity counting to 3 seconds as it pours, a half serving is 1 and 1/2 seconds of gravity as it pours. Who knows if its right, but seems to feel like a serving. Read and reviewed most of ch10 ppt and had a reg BM by 1140 pm.  Makes up for the tiny one, and must not be that stressed to have a BM while drinking, after finishing my drink full serving combined that is and while reading/reviewing ch10 ppt. Finished reading/reviewing and inputting copied ch 10 ppt into my study ppt of ch7-ch10. Will review hw problems tomorrow in AM. Bed by 12 am.</t>
  </si>
  <si>
    <t>whipped cream winco brand, serving 2 tbs</t>
  </si>
  <si>
    <t xml:space="preserve">8 slices gluten free bread
(640	8	0	8	128	20	800)
1/2 cup mozz
(160.00	10.00	7.00	12.00	2.00	0.00	380.00)
15 pickles approx
(120.00	0.00	0.00	0.00	32.00	4.00	600.00)
1/2 pkg instant potatoes
(240.00	6.00	4.00	4.00	40.00	2.00	820.00)
1/4 cup sourcream
(240.00	20.00	14.00	4.00	8.00	0.00	60.00)
1 serving cheddar potato chips
(160	10	1.5	1	15	1	115)
impossible meat 3/2 servings
(576.00	33.60	19.20	45.60	21.60	7.20	888.00)
4 tbs bluecheese
(200.00	16.00	9.00	10.00	4.00	2.00	720.00)
2 cans reg sz coca cola
(360.00	0.00	0.00	0.00	100.00	0.00	120.00)
2 cups vanilla icecream
(400.00	24.00	14.00	6.00	40.00	0.00	100.00)
1/4 cup whipped cream
(50	3	3	0	6	0	0)
1 chocolate candy bar Aldi dark chocolate
(220	13	8	2	24	2	0)
=640+160+120+240+240+160+576+200+360+400+50+220
=8+10+0+6+20+10+33.6+16+0+24+3+13
=0+7+0+4+14+1.5+19.2+9+0+14+3+8
=8+12+0+4+4+1+45.5+10+0+6+0+2
=128+2+32+40+8+15+21.6+4+100+40+6+24
=20+0+4+2+0+1+7.2+2+0+0+0+2
=800+380+600+820+60+115+888+720+120+100+0+0
</t>
  </si>
  <si>
    <t>Woke up at 545 am and got out of bed did the normal routine, then went over the hw ch8-10 until 930 am, had a guy want to buy my car on TRED and also not want to go through them for his daughter in FL he is in GA works w airlines. Wants to meet up Friday. He offered what I owe on it, when it was selling online for 20k, he offered 17.5k. I sent him pics of the car and he wants to get the title in his name from the bank, but has to go through DMV to me first, then I transfer it to him. No BM all day, had 3 cups of coffee, 4 slices of gluten free bread, 3/4 cups potatoes, 2 tbs blue cheese, 1/4 cup mozz, 1 serving impossible meat, and 8 sm pickles. Then had a 4th cup with 1 cup of vanilla icecream. The 3rd cup was with 1/4 cup whipped cream and cinnamon. Also 1 full melted chocolate Aldi brand candy bar in the vanilla ice cream of 4th cup of coffee. Tasted like a chocolate milkshake. Then put in linens and my own laundry, did the dishes, and took measurements. So far 4 cups of coffee, so much studying made me tired, planned on a nap and set alarm but was texting back and forth with car shopper and checking on the bank that I didn't get a nap. Got the nice client at 12 pm. Need to get fuel on the way to her house. Don't want to leave too early. No waist trimmer or compression socks today. Got an exam later. in che1a. Also a little spotty on my mensa. Going to wear compression socks only for one client, then put on sandles at home, my calves are already itching with them on. My calves are fat like a fat persons with my hair on my legs curling over but spotty thin patches on my legs. I still cannot stay awake during lectures past 30 minutes. Not sure why, I have to be doing other things while logged on, could be its all a lot of new concepts to absorb. I even take notes, but probably because my writing isn't fast enough to write what gets passed over to talk about another concept or scroll back. I just log in to show I am there, but not all there. Questions!? Of course not, I am still getting used to it or understanding it. Some people could so obviously those times that the instructor asks for questions are meant for those people who are on aderall or something else for ADD, because I am doubtful they read each chapter and did study problems, and if so they wouldn't have questions because they already been there, done that, and its meant as a refresher. To the eats. Lots of sweets. Must have been two ice cream coffee drinks, one with a whole chocolate candybar meantioned earlier, the other without, had pretty much the same thing for lunch as for breakfast. Four more slices gluten free bread, pickles, blue cheese but minus the mozz cheese and the mashed potatoes with impossible hamburger meat. Also had another can of coke, not the mini, the regular sized, for breakfast and for lunch. Diet no more and has been out the door for weeks already. We are having a review session from 6-710 pm, 20 minute break then logging in from 730-910 pm for 90 minutes of exam taking timed with a lot of formula questions, and T/F as was responded to a student's request to know what the questions are going to be about. ughh, that exam was a bomb! again, lost it on it. But got 65% out of 100% so not as bad. But 25 questions and had to skip some and was so stressed at start that it blanked my mind. Not a fan of that instructor. I have no idea why she makes the exams so difficult. Did laundry and trimmed my french poodles' butt hair before having 2 servings vodka after exam around 9 pm. Washed their blankets on the couches when my bedroom is closed off to them. I will be fortunate if I can pass this chemistry class. I started my rag and was light with old blood lining dropping or dark blood. Listening to country music. I like it less and less sometimes. It reminds me of those that are like, 'church, guns, and girls... that worship the white male and beer' and it gets disgustingly conservative and non-inclusive of my beliefs. But Dan and Shay or those dudes that sound like Keith Urban (I think that's the red head aussie actress's man) and marin moris. That gay dude Hoozier or hoser or something like that switched over to country is on one of her tracks. So weird, its a nice repreive from norm for a while, until those singers that are all guns, church and mind washing by their pastor with backwoods conservative ideas and white male pride. Tipsy while journaling or notetaking into this db. My client is super nice, I met the lady she bought a gift card for earlier and separately ( I told you I am tipsy) this is a rewind time loop to this afternoon, and anyways met the clients bff, nice lady, and my client is doing better with her pain management with massage for relief on knees and LB, she forgot she even had LB pain after two weeks because the work and CBD is so great. Not playing. She is my blog subscriber too. I have one other I don't know that follows it. a medline email address. Cool, after two years and having one of the highest google health and wellness sites I have two subscribers to my blog. Awesome! Thats progress. I should go to the places people have time to actually sit back, relax, and spend time reading my work. But anyways, I was talking to the guy that wants to buy my Dodge Charger. He wants to buy it and meet at my credit institution with a cashier's check. I am not sure I like that, sounds like a scam. Why can't he just pay with his debit card inside instead of getting a cashier's check. I will have to take an uber or lyft back home. But won't have to make the June payment if he buys it at price willing to sell it, which is slightly more than what I owe on it. It is truely a feminist car, sexy beast and power of a car. That's why you always see feminist looking chicks or feminine guys driving those Chargers, who needs  a man to make you ( a female ) feel protected when you have a black, pitch black, big rimmed and locked, keyless entry, dash cam, remote key start, sedan that has power and rear wheel power. I can actually trade it in right now for the upgraded model for the payoff that won't add much more to the price of the new vehicle with a hemi engine and much more power, but not the bigger, sexier rims. If he is legit, it would be great to not have to pay an additional $120 + $500 month for insurance full coverage and monthly payment financed and to use that money to save or invest in business or site or move out, and rent. I am supposed to stay with that retarded. Caught him putting rocks in the trash bins again, but he thinks he's smart by only filling it 1/4 the trash and covering with trash or recyclables. He is such an asshole. He doesn't stop doing something that I tell him is not ok. He has to have the last word and do whatever he wants and live by his archaic rules. I am so surprised he doesn't listen to country music. It is better brainwashing for white, male, retards such as himself. He would be so upset if he knew I was disrespecting him. I play it when he is on his stupid podcast or video hate filled videos of minorities and females and such the podcast host created a path of stories to motivate the viewers like a hate church, so that instead of saying, 'amen' they say, 'fuck that bitch, that cunt, that whatever race for doing that shit.' like the story involves somebody who was voted best representation of their race and/or gender. Those podcasts are in need of censorship. But I got work and a client tomorrow I haven't seen in about 3-4 weeks now. Her babie's birthday was mid April I think, and now it is late into May, so more than a month. Bed time by probably 1130. Gotto do those SOAP notes for client earlier. Didn't have a sm BM until around 1115 pm. I worked out the SOAP notes and receipt for client and emailed them around 1130 pm. A little afterward, and had 3 servings of Vodka and a bowl of the rest of the impossible meat and potatoes with 2 slices gluten free bread.</t>
  </si>
  <si>
    <t>Daves bread, 1 slice</t>
  </si>
  <si>
    <t>white chocolate hersheys july 4th candy bars, serving 1 bar</t>
  </si>
  <si>
    <t>chocolate hersheys bar, serving1 bar</t>
  </si>
  <si>
    <t>Amys bean,cheese,rice gluten free burrito</t>
  </si>
  <si>
    <t>iced sea salt coffee 85 degrees bakery</t>
  </si>
  <si>
    <t>cheese bread 85 degrees bakery</t>
  </si>
  <si>
    <t>morning star vegan beef patty, 1 patty</t>
  </si>
  <si>
    <t xml:space="preserve">1 cup vanilla icecream
(266.67	16.00	9.33	4.00	26.67	0.00	66.67)
1 Aldi dark chocolate candy bar
(220	13	8	2	24	2	0)
1/4 cup almond milk
(40	3	0	1	2	1	180)
2 servings pea protein
(240.00	5.00	0.00	40.00	10.00	4.00	680.00)
2 salted butter bread 85 degrees bakery
(640	34	20	12	70	0	860)
1 cheese bread 85 degrees bakery
(330.00	17.00	10.00	10.00	34.00	1.00	270.00)
sea salt iced coffee med 85 degrees bakery
(220	14	8	1	34	0	180)
1 Amy burrito beans, rice, cheddar, gluten free
(230.00	9.00	2.00	9.00	40.00	5.00	580.00)
3 tbs sourcream
(180	15	10.5	3	6	0	45)
2 tbs bluecheese
(100	8	4.5	5	2	0	360)
1 serving tortilla chips
(140.00	7.00	0.50	2.00	16.00	1.00	120.00)
1 morning star vegan beef patty
(130	5	0.5	16	8	4	390)
1 slice gluten free bread
(80	1	0	1	16	2.5	100)
5 pickles
(30	0	0	0	8	1	150)
2 tbs bluecheese
(50	4	2.25	2.5	1	0	180)
serving cheddar potato chips
(160	10	1.5	1	15	1	115)
3 tbs sourcream
(180	15	10.5	3	6	0	45)
=266.7+220+40+240+640+330+220+230+180+100+140+130+80+30+50+160+180
=16+13+3+5+34+17+14+9+15+8+7+5+1+0+4+10+15
=9.3+8+0+0+20+10+8+2+10.5+4.5+.5+0.5+0+0+2.25+1.5+10.5
=4+2+1+40+12+10+1+9+3+5+2+16+1+0+2.5+1+3
=26.7+24+2+10+70+34+34+40+6+2+16+8+16+8+1+15+6
=0+2+1+4+0+1+0+5+0+0+1+4+2.5+1+0+1+0
=66.7+0+180+680+860+270+180+580+45+360+120+390+100+150+180+115+45
</t>
  </si>
  <si>
    <t>Woke up after 4 am, went back to bed, got a lab due in 2 days but need energy for work and a client afterwards. Woke up at 530 alarm but rested until 610 am and got out of bed and did the normal routine. Filled in the blanks on ppt of genetics course on genetic testing and other interesting information on how genes can be modified.I checked grade in che1a and it dropped from 85 to 83 % with the 65% on exam 3 yesterday. I do like the professor, but her exams are way too tough to master. I get super stressed preparing for them and taking them, I get brain farts that make me forget from the stress and anxiety. Took measurements after 2nd cup of coffee and made a protein shake with 1 cup almond milk, a 3rd cup coffee, chocolate candy bar Aldi brand, and 2 servings protein, then took measurements before taking a shower. No BM this morning, started to feel like I had movement towards one. BUt went away. After showering had a small BM. Then went to work. After the breakfast protien shake, for lunch went to 85 degrees celsius, had an iced sea salt coffee, 2 salted butter and 1 cheese breads. Then after work. On the way home had about 1 serving tortilla chips. That was the 4 th cup of coffee for lunch, was tired when I got home, I made a 5th cup of coffee and then went to client's house at 5 pm. After giving Growly his afternoon early evening 12 hour pill, feeding the babies. Client is having divorce problems with a total deadbeat loser. He quit his job to not pay her any alimony, attorney fees, or child support for their small child. She was crying during the massage face down, stressed. Nice lady, her little child was playing as usual. Haven't seen her in about a month, right before his 3rd birthday, he is talking a lot and better with words in a month. After client's stopped at bank to deposit my yesterday weekly client's prepaid monthly subscription into my savings so as to not spend. Unless the service has been used for the credit balance. My clients are great. I want to hook up my client today with my client tomorrow for a PPP loan application to hopefully get approved. I told her I would give her contact to her in her email of her receipt and SOAP notes. After work and the Target run for small groceries and more laundry detergent a larger size one. and body wash and another coconut scent clorox wipes, I like those ones. I got a lab due tomorrow at 11:59 pm in che1a. I will wait. Had a 3 second serving of the vodka while entering in the food data for this and the SOAP notes and receipts. Got new food items. Ate an Amys gluten free bean, rice, and cheddar burrito with sour cream and bluecheese before drinking the serving of vodka. FYI, lately, there has been an issue with memory and loss of this little speaker, I couldn't find it at one client's house on a Monday, and last client was the previous Wed. And I thought I left it there, not the 1st time, bc I left my clock at a diff client months ago and didn't even know until I saw her a week later. But anyways, I had a 2nd client after her, and told her about the speaker lost, then after the session I saw it plugged and tucked in the back on the cord. So I was happily surprised it was there and it put doubts in my mind about holes in my memory like why did I see it there now and not before when it was wide open. And figured because the massage gun case was covering it. Then I had the 3rd client today, and couldn't find the speaker again and saw the cords and apparently I have multiple USB charging cables, because after the session I saw a cord tucken under the shelf and followed it to the speaker, and it was there! Now I am thinking I am losing my mind or just having holes in my sight that prevent me from grabbing things I never had a problem keeping track of before. Though I have been drinking more now. But not a problem. WE develop ways to convince ourselves that its ok. Currently, I am thinking back to when I drank for years heavy, then stopped cold turkey epiphany God related and narcissitic related to an attribute I could pull out and hold to for 3 years, then started drinking again after realizing my husband was a complete RETARD asshole narcissist. Then got sick. So I currently think when we do this, we create a network in the body that knew there was certain physical attributes related to drinking, then not there, and when encountered again it is considered an antigen that sends your immune response into killer cell mode and makes you sick, so everything in moderation. Because similar to getting stung by a bee once, having a terrible time, then getting stung a 2nd time and dying. Just keep it in your system, its not evil, its tolerable. Dumb thing is to eliminate cold turkey if not able to keep from it for LIFE. You can go propose that to Harvard to publish a study research results on to some science article or just take my word for it. Got onto my 2nd serving vodka by 940 pm and sent out the SOAP notes and receipt already. Not started the lab. Going to go over genetics. Such interesting stuff. We are onto ch 19 and was the Human Genome Project last week, but was studying the exam material. Still have the nutrition to enter for calorie counts.Had a sm BM before having a snack. I had a slice of gluten free bread with blue cheese, pickles and 1 morning star vegan beef patty before trying to put together a  car magnet for genomic data sequencing to start gathering interest and promoting the benefits of genomics and massage. Had 1 3 second gravity vodka earlier, then another 1.5 second gavity vodka all with water. So about 2 servings vodka during the night. Was bleeding med to heavy during that time but bled heavy during night.</t>
  </si>
  <si>
    <t>cauliflower veggie pizza</t>
  </si>
  <si>
    <t xml:space="preserve">2 vegan beef patties
(160	2	0	2	32	5	200)
4 slices daves killer bread
(280	4	0	12	52	8	420)
1/2 cup mozz
(160	10	7	12	2	0	380)
4 tbs bluecheese
(100	8	4.5	5	2	1	360)
10 sm pickle slices
(75	0	0	0	20	2.5	375)
1 cauliflower veggie pizza, picked most white onions off of it while frozen
(560	15	6	14	94	6	1060)
1 1/2 cups vanilla icecream
(400	24	14	6	40	0	100)
1 serving pea protein
(120	2.5	0	20	5	2	340)
1 july 4th white chocolate sprinkles candy bar
(220.00	11.00	7.00	3.00	29.00	0.00	75.00)
2 servings cheddar potato chips
(320	20	3	2	30	2	230)
6 tbs sourcream
(360	30	21	6	12	0	90)
=160+280+160+100+75+560+400+120+220+320+360
=2+4+10+8+0+15+24+2.5+11+20+30
=0+0+7+4.5+0+6+14+0+7+3+21
=2+12+12+5+0+14+6+20+3+2+6
=32+52+2+2+20+94+40+5+29+30+12
=5+8+0+1+2.5+6+0+2+0+2+0
=200+420+380+375+1060+100+340+75+230+90
</t>
  </si>
  <si>
    <t xml:space="preserve">Woke up at 4 am to pee and then drink some water, not a lot. Had to change my pad too, went back to bed, woke up at 6 am, changed pad heavy flow with blood clots on rag, gave Growly his meds with food and fed babies. Instead of icecream they have been getting whipped cream last few days with their cat food. He eats it that way. Fortunately he is eating, good thing, his other pill still hasn't arrived yet. I finished the lab on antacid base report. Took only 2.5 hours, turned it in as a pdf by 830 am but had to ask if the average or deviation of one sample was the formula std dev or just subtracting the average from the one trial in the notes to turn in report. Got class earlier. No BM by 3rd cup of coffee that I had with 2 slices Daves killer bread and a morning star vegan beef patty, pickles, mozz, and bleu cheese with cheddar potato chips and 3 tbs sourcream. I was folding the laundry around 945 am and got a text from my scheduler that my client this morning cancelled her 11 am. No big deal. She can't reschedule it for anytime until after the 12th. I didn't get a text from her, but didn't the last time either. I missed the genetics 9am, but had already decided that these reviews are just Q&amp;A and didn't try to remember to go to it. I probably could have gotten some bonus points for showing. But last week I was the only one with one other classmate checking in 10-20 minutes later. It dropped from 4-5 to 1-2. I don't have any questions. Didn't get a chance to look over the genetics, but can now since client has freed up my time by cancelling, and also look at the ch12/13/14 ppt slides I haven't even looked at in chemistry. There is no hw on these chapters, so it is scary to go into the final without the homework to help in solving problems using the theory. Though, it helps a lot, her exams are still very tough to get the questions answered. I need to contact counseling to see about getting a  pass/no pass and see if I can do it after I find out my grade on the final. I emailed norco and was told to contact Riverside bc its my home college. So I sent an email to the email address Elizabeth Lopez at the Norco campus sent me. For lunch I had a protein shake, 1 serving protein powder, 1 1/2 cups vanilla icecream and my 4th cup of coffee. Also the cauliflower pizza I bought at Target yesterday. And later a white chocolate sprinkled hershey candy bar.I spoke with Ring Central earlier and bought the 12 month service of the phone system they offer to route people calling a number they provide, or transferring my phone to them I opted out of, and updated my website, yelp, and googles with it. People can still call me about massage through my car magnets that have my direct number. But this will be great for forwarding calls to people who want to work with me and get extra work on the side doing mobile massage. I have been constipated all day and passing gas. I passed gas while on the phone with the guy selling me the ringcentral service. I normally don't have gas, because my diet is better and also because I have a reg BM in the mornings no problems normally. Bleeding med-heavy during the day. Stayed home all day. Going to meet the guy interested in my car tomorrow and I called the credit union and they said that it is a normal way for people to pay for the vehicle by paying with a cashier's check instead of a debit card, because the cards have limits on purchases they can make beyond a certain threshold. And he is paying off the Charger for the balance around $17,500. It is worth it and must be going up in value, which is why I raised the price online  a few months back to 20k from 18 k. I had an offer yesterday that made an offer of 19k but told him to see if this guy buys the car it might be off the market on Tred, but if not, then I would contact him. We went over the exam 3 in class, and I feel like I got most of them right, but those few are weighted more in points that I didn't have time to complete, but got to see the reason why some questions or how some questions could be answered. I was getting an aura migraine onset that went away around 12 pm, and its probably because of me being on my rag but also eating wheat or gluten when I stay away from it. I can't believe Target doesn't have gluten free bread. They have almost everything else. Also, took my measurements late. At 8 pm. Had another sandwhich and chips exactly how I had it this morning after measurements. Last half of lab was used to work on worksheets and develop questions for next week to go over or finish up the lab due tonight, that I turned in this morning. Had two servings of vodka and water and ordered Dad a bday gift massage gun on sale for $50 and some photo lighting circular fan disks for myself to arrive Sunday. I had a reg BM before finishing 2nd drink. My stomach feels much less distended now. But still am on rag and have a little bit of lower back pain. Not anything out of the normal. Paid the internet bill too. </t>
  </si>
  <si>
    <t>Woke up at 530 am by alarm but stayed in bed until 5:45 am. Then did the normal routine, Growly's meds, and fed the babies, cleaned up some pet messes, had my 1st cup of coffee, then a 2nd and had my reg lg BM at that time, before breakfast. Breakfast was a protein shake, 1 serving protein, 1 hersheys chocolate candybar, 3rd cup coffee, and 1 cup almond milk. On my rag, med-heavy. Lighter color, slimy and some blood clots. Left for work early to wash car in Dodge Charger. Beautiful car, so happy that I am selling it to a family that has had Charger's. Hopefully they take care of it as the other ones were totalled. The daughter will love it, it was well taken care of. The father is a nice, respectable guy. He was at the credit union after work waiting on time. He test drove it. His daughter is going to school to do child pyschology but wants to be a teacher. His son is going to school to write for movies and he worked for the airlines for 27 years. We paid off the car with his cashier's check, and the mileage was 74, 126 miles, cleaned out, washed on outside. Just left the smog check and registration in glove box. He is getting it registered in FL when he gets back to Atlanta to give to his daughter. He is driving cross country and stopping on the way to visit family. Very nice guy. Seems like a respectable guy. My roommate picked me up, and took me back home on time. His ear is bugging him, even though he had the plastic removed, he says it hurts when he chews and makes him not think right from the pain. I got home, finished the bottle of vodka and then took the roommate's stock he was keeping for his previous boss from an LA party the dude paid more than the bottles are worth. He has had them months, but they are the same grey goose bottles, I will just replace it with another. Its less than $30. Just chilling, but got tons of studying to do. I got my VOIP line set up but not feeling motivated to get creative to complete the phone system, but the routing system doesn't say which extension is which, even though Iknow from the online login admin functions. I will have to set up another menu to direct callers to navigate to each of those items. For lunch had the cauliflower lime cilantro rice and sofritas with a serving of Sprouts tortilla white corn chips from chipotles. After work had a vegan beef patty the last of 4 patty pkg, with 2 slices Daves Killer bread, pickles, mozz and bluecheese. And cheddar potato chips and 3 tbs sourcream. 2 servings of vodka grey goose. Had a head ache washing car before work and sipped a coffee from work for part of 4th cup but didn't drink it all, for lunch had that full 4th cup coffee to help. The head ache subsided, but still felt pressure like my meninges are pressing on a blood vessel. Read about the pericardium inflammation some mRNA vaccines like pfizer have been causing, and worried, bc last few days felt pressure there, but not noticed today. Could have been my empathy for Growly not having his heart meds yet, but he did get it, thankfully, yesterday. Its a liquid one that has to be shaken and comes out like a buret with upside down measurements for 1 mL 2x a day. My stomach kind of felt sick today too but under control. Could be the tight waist trimmer, belt, or not being hydrated, or being on my menstruation. Trying to sell this idea of promethion 24 to my clients at work just in case one bites the line and forks over hundreds of thousands of dollars to buy it or invest in it. Maybe, right?</t>
  </si>
  <si>
    <t>sofritos bowl with cauliflower cilantro rice instead of brown rice, mozz cheese, sourcream, https://www.chipotle.com/nutrition-calculator</t>
  </si>
  <si>
    <t>Schar gluten free bagels</t>
  </si>
  <si>
    <t>cauliflower margherite pizza</t>
  </si>
  <si>
    <t>morning star buffalo chkn patty</t>
  </si>
  <si>
    <t>morning star beef patty</t>
  </si>
  <si>
    <t xml:space="preserve">1 serving protein powder
(120	2.5	0	20	5	2	340)
hershey candy bar
(220	13	8	3	26	1	35)
1 cup almond milk
(30	2.5	0	1	1	1	170)
cauliflower cilantro rice and sofritos with mozz/sourcream chipotle
(410	28	13.5	19	19	6	990)
morning star beef patty
(150	8	1	16	6	3	400)
2 slices Daves killer bread
(140	2	0	6	26	4	210)
1 tbs blue cheese
(100	8	4.5	5	2	0	360)
1/8 cup mozz
(40	2.5	1.75	3	0.5	0	95)
cheddar potato chips
(160	10	1.5	1	15	1	115)
3 tbs sour cream
(180	15	10.5	3	6	0	45)
=120+220+30+410+150+140+100+40+160+180
=2.5+13+2.5+28+8+2+8+2.5+10+15
=0+8+0+13.5+1+0+4.5+1.75+1.5+10.5
=20+3+1+19+16+6+5+3+1+3
=5+26+1+19+6+26+2+0.5+15+6
=2+1+1+6+3+4+0+0+1+0
=340+35+170+990+400+210+360+95+115+45
</t>
  </si>
  <si>
    <t>cinnamon twist 85 degrees bakery</t>
  </si>
  <si>
    <t>1/4 instant red potatoes with 3 tbs sourcream and 1/2 cup mozz cheese</t>
  </si>
  <si>
    <t>potatoes
(210	9.5	7.25	6	22.5	1	680)
2 strawberry poptarts
(400	10	5	4	74	1	240)
salted bread 85 degrees bkry
(320	17	10	6	35	0	430)
cinn twist 85 degree bkry
(330	21	12	5	30	2	280)
bb muffin 85 degree bkry
(480	26	5	6	59	0	590)
3 carmel creamers with 5th cup coffee
(105	4.5	0	0	15	0	45)
1 buffalo ckn patty
(160	6	1	9	19	3	320)
1 vegan beef patty
(150	8	1	16	6	3	400)
2 schar gluten free bagels
(580	7	0	8	120	14	1420)
1 tbs bluecheese
(100	8	4.5	5	2	1	360)
1/4 cup mozz
(80	5	3.5	6	1	0	190)
10 pickles
(75	0	0	0	20	2.5	375)
=400+320+330+480+105+160+150+580+100+80+75+210
=10+17+21+26+4.5+6+8+7+8+5+0+9.5
=5+10+12+5+0+1+1+0+4.5+3.5+0+7.25
=4+6+5+6+0+9+16+8+5+6+0+6
=74+35+30+59+15+19+6+120+2+1+20+22.5
=1+0+2+0+0+3+3+14+1+0+2.5+1
=240+430+280+590+45+320+400+1420+360+190+375+680</t>
  </si>
  <si>
    <t xml:space="preserve">Woke up at 5:30 am and got up tired. Had a few vodka drinks last night. Went to bed around 10 pm. Don't really remember, but don't remember staying up until 12 am. Probably got about 6 hours of sleep. Was tired during last massage, probably the slow electric music too like that hypno electric music sound waves along brain waves hemisync. Did the usual routine, cleaned up a pet mess or two, fed Growly his meds and the babies their food. But read the ch 12 ppt I still hadn't actually read bc too busy studying for a quiz/exam/hw finishing/ lab etc. Finally got to it almost 2 weeks after the lab/lectures reviewed it in class. I finished the ch 14 after work, and the ch 12 before work. Still have to look over those worksheets and try them out before looking at the answers a lot with heat enthalpy and changes and attractions of london dispersion, dipole dipole, Hydrogen, covalent, etc. and bonds that are endo or exothermic and then on to molality and molarity with knowing the vapor pressure of solute and solvent types, etc. A lot that I will need examples and hw type problems to understand. Have to make do with the worksheets. This lab final could be anything that includes these worksheets and also the excel video tips and tricks and all the equipment, the rules of lab, the report statistics, the procedures, anything at all. I will see if we got a review sheet for the lab. I know there is one for the lecture final. But not certain on the lab. We have the lab final Tuesday from 6:30-8:30 pm or 6:00 pm to 8:00 pm. I have to check. Need a 65% to pass course on lab final and it is 25% of grade in course. Breakfast was 2 strawberry poptarts, had 3 cups of coffee and a reg BM before finishing 3rd cup of coffee and after my poptarts. Took measurements, then showered and washed hair. At work for lunch they brought panera bread and it was nice, but I don't like the sandwhiches so I didn't eat any. Every weekend they have been treating us to lunch. I went to 85 degrees with a cup of the coffee no creamer from work keurig, still have a slight headache but not the blinding site just the pressure a little on back R side. At 85 degrees opted out of coffee and got a cinnamon twist with hard sugar crystals the size of epsome salt crystals it seemed and cinnaomon coated on it, crunchy, also a salted butter bread, and a blueberry muffin. After work didn't eat anything until I went to Stater Bros and got some more Morning star buffalo chkn and beef frozen precooked patties, schar gluten free bagels and hamburger buns, a cauliflower margherite pizza, a bottle of Kettle One vodka because they lock up the grey goose for whatever reason. Then at home had a buffalo chkn bagel with mozz and pickles. I fed the babies before going to the store. I gave Growly his meds with icecream and forgot to give him his liquid one until I just remembered at 720 pm. His other 12 hour pill was given around 530 pm. Around 630 pm after reading the ch 14 ppt slides had a vegan beef bagel with blue cheese mozz and pickles. I had a glass of ice water vodka 1 serving while eating my buffalo chkn bagel earlier. I also posted the discussion for genomic sequencing online to buy- would we- dangers-benefits. I had sorted the labs into a separate lab folder to read/review when ready for the lab final. Then entered in the nutrition and notes into this db for today and yesterday. My rag is almost done, its tapering off, very light, light color pink clear slimy, etc. Looked over labs and saw the worksheet on chemical reactions is a lab and need to go back and review that, as well as other worksheets. Thats only ch4 and ch5. Shouldn't be too bad. Will attempt the other worksheets for sure before the lab final Tuesday. They could be included in the lab final. I could email her and ask. Probably on Monday after catching up. Its Memorial Day and my Dad's birthday tomorrow. His massage gun should arrive tomorrow. I will stop by and wish him happy birthday before work or after work. Had two servings of vodka by 830 pm when I made some instant red potatoes with 1/2 cup mozz cheese and 2-3 tbs sourcream. Ran out of sour cream. Feeling tired. Drank some water too because I could be dehydrated. Went to bed at 930 pm tired. </t>
  </si>
  <si>
    <t>mini vegetable egg rolls frozen, 3 eggrolls is a serving:</t>
  </si>
  <si>
    <t>almond chocolate chocoloceur Aldi lg candy bar, serving is 3 blocks or 1 row, 5 rows a pkg, 1 row:</t>
  </si>
  <si>
    <t>schar gluten free hamburger bun</t>
  </si>
  <si>
    <t>spicy mustard generic</t>
  </si>
  <si>
    <t xml:space="preserve">mashed potatoes 1/3 pkg
(210	9.5	7.25	6	22.5	1	680)
2 ckn patty buffalo vegan
(320	12	2	18	38	6	640)
green beans canned 1/4 cup
(30	0	0	2	6	2	5)
gluten free bagel
(290	3.5	0	4	60	7	710)
1/2 cup mozz
(160	10	7	12	2	0	380)
10 pickles
(75	0	0	0	20	2.5	375)
baked potato chips 1 serving Aldi brand
(120	8.5	0	2	22	1	160)
caulipower margherite pizza entirety
(670	26	8	21	88	5	1330)
1/2 choc almond Aldi choceur candy bar
(450	30	12.5	10	35	5	50)
hamburger bun gluten free schar brand
(170	2	0	2	37	4	340)
vegan beef patty
(80	1	0	1	16	2.5	100)
mustard spicy, 1 tbs
(20	0	0	0	0	0	200)
=210+320+30+290+160+75+120+670+450+170+80+20
=9.5+12+0+3.5+10+0+8.5+26+30+2+1+0
=7.25+2+0+0+7+0+0+8+12.5+0+0+0
=6+18+2+4+12+0+2+21+10+2+1+0
=22.5+38+6+60+2+20+22+88+35+37+16+0
=1+6+2+7+0+2.5+1+5+5+4+2.5+0
=680+640+5+710+380+375+160+1330+50+340+100+200
</t>
  </si>
  <si>
    <t xml:space="preserve">Woke up at 4 am , but too early to get out of bed. Still felt a little head ache pressure when I got up to pee. I laid in bed until 430 am and got up, fed the babies and gave Growly his 2 pills, then had 2 cups of coffee planned out my lab final stuying, checked an email and found a guy emailed me about lipocavitation popping fat cells and killing them bc he has a wife that has lipedema and knows. But he isn't a med pro and he emailed me at 130 am via my chat box on my website that he also thanked me for spreading knowlege about lipedema and similar. I updated that blog from November 2020 with his anonymous email. Said he is part of a tiny home bus in his email website. It could be some random guy searching and found that digital footprint on lipedema. Great! Getting recognized. Biz should be picking up even more now. It already has for my MLD clients, but they are slowing down. I had a reg BM after 1st cup of coffee, then had the 2nd cup of coffee, and saw that I am getting refunded almost $600 on the 3rd of June from the overpayment on 10k of unemployment the latest act by congress said would not be included as income as the first $10k of unemployment. Going straight to the credit card. I am sure I will find a way to max it out again when it sits there a few days. I haven't cancelled my auto insurance on the charger yet. Going to wait a few weeks, then cancel it before the 20th when they bill me for it. I don't think anything will happen, but just in case. I already signed over a NRL or Notice of Release of Liabillity on it yesterday, a day after selling it. I think I gave Melvin the other papers we filled in together, because I cannot find them, but I did take a photo before signing it that had his address and our information to send the title when the DMV sends it to me. Dad's birthday is today and won't get the massage gun until 10 pm tonight, maybe earlier. They could always delay it too, wouldn't be the first time. I had breakfast a chkn buffalo patty with 1/3 pkg instant potatoes made last night with green beans and sour cream and mozz cheese already mixed in the potatoes. Canned french green beans. Gave Growly his liquid 12 hour meds before sharing my breakfast with them. He is and has been eating great. Even gaining a tiny bit of weight on his small frame, still coughs, but not as much, only when he gets excited and starts barking. I want to wash the van today before work if possible, maybe because its only 634 am and I don't have to leave until 820 am to get to work by 9 am. And wanted to say happy birthday to Dad before work, I did text him, but he keeps his phone off when not at work. He texted me back, before leaving for work, I washed my van early as I left early for work, and almost lost a car magnet but was able to collect it. While a line was forming. It was in good condition the same as it was. Went to work and ate my bowl of potatoes mashed and a chicken vegan buffalo patty with mozz and sourcream in potatoes red mashed instant made earlier, the last of it. Had a coffee at work with 3 carmel creamers, hten after work started drinking early while trying to get the printer on, and had the CD to install on other laptop, but the other laptop wouldn't install it once the drivers to install with cable pluggen in were in place. Waited while drinking a few hours to see and kept restarting printer. Its a piece of shit, that printer. Never again a cheap printer that the ink costs more than the printer and especially from walmart. The other lap top that the software was installed wouldn't even let me log on. Something with the different passcodes I have to my online Microsoft subscriptions and it wanted to act like a little bitch at my studying time. Wasn't able to use the printer needless to say at all. Made flashcards on a worksheet on chemical reactions and stochiometry from a lab and went to bed after eating a 1/2 chocolate almond candy bar, entire marghuerite caulipower personal size pizza, a hamburger bun gluten free wihta vegan beef patty Morning Star brand, pickles, mozz, spicy mustard and a total of 4 Kettle One vodka drinks with water bw 4 pm and 10 pm. Bed by 1030 pm. </t>
  </si>
  <si>
    <t>sweet and sour sauce generic 4 tbs calorieking.com</t>
  </si>
  <si>
    <t xml:space="preserve">1/2 gluten free bagel
(145	1.75	0	2	30	3.5	355)
1/2 vegan beef patty morning star
(40	0.5	0	0.5	8	1.25	50)
1/8 cup mozz
(40	2.5	1.75	3	0.5	0	95)
5 pickles
(30	0	0	0	8	1	150)
1/3 choc Aldi almond candy bar
(360	24	10	8	28	4	40)
3/4 marghuerite pizza caulipower brand
(502.5	19.5	6	15.75	66	3.75	997.5)
7-8 mini vegetable egg rolls
(577.5	16.5	2.75	13.75	88	5.5	1485)
4 packets or tbs sweet and sour sauce
(105	0	0	0	27	0	260)
2 tbs sourcream
(120	10	7	2	4	0	30)
gluten free hamburger bun
(170	2	0	2	37	4	340)
vegan beef patty
(80	1	0	1	16	2.5	100)
1/8 cup mozz
(40	2.5	1.75	3	0.5	0	95)
5 pickles
(30	0	0	0	8	1	150)
spicy mustard
(20	0	0	0	0	0	200)
serving Aldi choc almond candy bar
(360	24	10	8	28	4	40)
=145+40+40+30+360+502.5+577.5+105+120+170+80+40+30+20+360
=1.75+0.5+2.5+0+24+19.5+16.5+0+10+2+1+2.5+0+0+24
=0+0+1.75+0+10+6+2.75+0+7+0+0+1.75+0+0+10
=2+0.5+3+0+8+15.75+13.75+0+2+2+1+3+0+0+8
=30+8+0.5+8+28+66+88+27+4+37+16+0.5+8+0+28
=3.5+1.25+0+1+4+3.75+5.5+0+0+4+2.5+0+1+0+4
=355+50+95+150+40+997.5+1485+260+30+340+100+95+150+200+40
</t>
  </si>
  <si>
    <t>beef crumbles morning star, serving is 1/2 cup</t>
  </si>
  <si>
    <t>vegan vegetable patty morning star, 1 patty</t>
  </si>
  <si>
    <t xml:space="preserve">1/4 veggie patty morning star
(27.5	1.125	0.125	2.75	2.25	1	97.5)
1/4 gluten free hamburger patty
(42.5	0.5	0	0.5	9.25	1	85)
1/8 cup mozz
(40	2.5	1.75	3	0.5	0	95)
pickles
(30	0	0	0	8	1	150)
1 gluten free hamburger patty 
(170	2	0	2	37	4	340)
1/4 cup vegan beef crumbles morning star brand
(70.00	2.50	0.00	10.00	4.00	3.00	210.00)
1/4 cup mozz
(160.00	10.00	7.00	12.00	2.00	0.00	380.00)
1 white chocolate hersheys sprinkles candy bar
(220.00	11.00	7.00	3.00	29.00	0.00	75.00)
7-8 mini eggrolls
(525.00	15.00	2.50	12.50	80.00	5.00	1350.00)
4 tbs sweet and sour
(105	0	0	0	27	0	260)
1 1/2 cup vanilla icecream
(400.00	24.00	14.00	6.00	40.00	0.00	100.00)
1 bowl mac n cheese with sourcream and mozz
(780	7.5	4.5	27	144	6	1680)
sourcream in mac n cheese 10 tbs/ 3 bowls
(200.00	16.67	11.67	3.33	6.67	0.00	50.00)
mozz in mac n cheese 1/2 cup / 3 bowls
(53.33	3.33	2.33	4.00	0.67	0.00	126.67)
=27.5+42.5+40+30+170+70+160+220+525+105+400+780+200+53.3
=1.1+0.5+2.5+0+2+2.5+10+11+15+0+24+7.5+16.7+3.3
=0.1+0+1.75+0+0+0+7+7+2.5+0+14+4.5+11.7+2.3
=2.75+0.5+3+0+2+10+12+3+12.5+0+6+27+3.3+4
=2.25+9.25+0.5+8+37+4+2+29+80+27+40+144+6.67+0.67
=1+1+0+1+4+3+0+0+5+0+0+6+0+0
=97.5+85+95+150+340+210+380+75+1350+260+100+1680+50+126.7
</t>
  </si>
  <si>
    <t xml:space="preserve">Woke up around 630 am but a few minutes earlier like 10 before alarm went off, fed Growly his meds and the babies their food. I made my coffee, felt groggy, but the coffee shook it off. Had laundry in the dryer and restarted it. Then made more flashcards of the labs done last night where I left it on chemical reactions. There are actually a bunch of labs and chemical formulas, and general formulas like %error and such to write down. This lab final is very vague on to the content of the final, but need at least 60 or 65% to pass course, and I have already seen how easy it is to study for days and not get a 70%. Had posted some retarded social media videos of me drinking bc my printer and her are making me do it as it is futile to think optimistically about getting what you want from either of them and that was to my biz account. Hardly any subscribers or followers, and don't care. The conservatives weed themselves out automatically. Don't have to apply any effort other than be myself. Naturally my clients are minority, educated, females, and not white, conservative, females married into conservative same race families spanning generations of same race and religion family members. Those ones are not my type, neither are the pervs. So naturally, I be my feminist self and they automatically do not follow me or seek my biz services. It works out great. Like the laws of VESPR or electron attraction. Any how, had my regular client at 9 am and made it to hers no problem, she has 2 more prepaid but is going through some health stuff and needs to find out more from her doctors and health care staff to schedule in her 10 th one. Right now her 9th one is this Thursday during my genetics course that is usually a Q&amp;A only and not a typical review session. I ate breakfast before going to client's house. Oh! and had a reg BM by 2nd cup of coffee before having breakfast. For breakfast had a 1/2 bagel and vegan beef patty with pickles and mozz, bc I split the other half 3 ways for the babies. Then later on in the day had a 1/3 choc Aldi almond candy bar, 3rd cup coffee, 3/4 marghuerite caulipower pizza, gave other 1/4 to Princess. And later before my first vodka of the day had 7-8 frozen mini eggrolls vegetable w about 4 tbs or packets of the sweet and sour sauce. Went to Winco after 9 am client's massage ended around 10 am and got groceries. They didn't have beyond meat so I had to buy more Morning Star. They didn't have it at Sprouts last week either. Had my 1st cup of vodka after writing down all the nomenclature of a lab on flashcards except the last part on metals/acids/molecules. I have more labs with exercises as well like the thermochemistry and valence bond and molecular orbital theory to read through. Because these worksheets are labs and that is a lot of information. I will be eating more. I did my measurements after lunch and gained about 2-3 pounds since yesterday. I am almost at 145 pounds. Getting a bit heavy. My tape measurements were slightly larger too on abs and thighs and arms. Not on my rag, no light or spotty bleeding at all. Yesterday just slight tint in spotty fluid, but probably ended the uterine shedding yesterday. Also, was able to get a money order or 2 to be exact from Winco, their money services was open. Yesterday my massage gun order from Amazon arrived after stopping by Dad's house after work to wish him happy birthday. He was eating chicken and rice and with his dog Cody a blood hound. I saw the package was at my house, but had a weird name like 'cordless vibration device' and I thought that might be a sick mix up and opened the plastic wrap to verify that it was indeed a massage gun and not some obscene toy before giving it to my dad. I went back to his house and gave it to him and he said I shouldn't have as always and I told him it was $50 and normally they are 5-10X that price. It was amazon so bargain. He is 64 years old. He is starting to look it. But still about 10 years younger. It was actually cold in the morning, ran the heater a bit, then it got hot after 5 pm and ran the AC. Weird weather. But when is it not. Had a total of 2 servings of kettle one vodka and water by 830 pm and didn't pick up on studying, but did input this data. Also, I sent my client her SOAP notes and receipt by 2 pm earlier today. I also ate 1/3 of the Aldi chocolate and had a gluten free vegan beef mozz pickles spicy mustard burger. Bed by 9 pm, and woke up at around 430 am the next day. Also, did take a nap this day at 2 pm for 15 minutes approximately. </t>
  </si>
  <si>
    <t xml:space="preserve">Woke up at 430 am but a little before that time by a few minutes, got out of bed, did the regular routine, cleaned up a pet mess, fed Growly his meds, and the babies their food icecream and cat food. They love it. Started on the flashcards of labs, and got through quite a bit. I ate a half a veggie patty, not vegan beef but the vegetable patty by Morning Star that is absolutely gross, so only ate really about 1/4 of it with a gluten free hamburger bun and pickles and mozz, gave the other bit except half to Princess, and took a 10 minute nap at 10 am with that half on the desk that I threw away once I woke up. For making up for that I had a cup and half of vanilla icecream with 3rd cup coffee I put in fridge bc I didn't drink it. Made it into a capuccino blast with cinnamon. My digestive tract felt weird later on after eating the rest of the mini egg rolls, 7-8 of them and 4 packets of the sweet and sour sauce. I also had the last gluten free hamburger bun with microwaved morning star beef crumbles and mozz cheese. Ate all that. Had the client at 12 pm. And ate all that before that time. I had gotten through a lot of labs on mostly dry labs. Did look at some of the labs that I remembered some questions or calculations/formulas that were tough, but didn't make notes on them bc didn't think to, but later found out on the lab exam that those parts that everybody asked questions about for the calculations was on the exam. Not the most difficult. I got the minimum +2-3 pts needed to pass course without the instructor going into the exam to look at entries. She said before hand not to worry about it. I had a sm reg BM after 2nd cup of coffee earlier FYI. And the 3rd cup didn't feel like drinking so put in the fridge and made into my capucino blast later before heading to client's house. She is a super nice lady, very cool and listens and gives thoughtful conversation and feedback. I also had a white chocolate candy bar Hersheys independence day sprinkles flavor. While working on notes but couldn't remember if before or after, likely after, as I wouldn't want to eat too much sugar, but know I had gas, and blame the vegetable mini egg rolls because of the cabbage in them and ate them before client's house. After lecture and before the lab exam, we ended ch 13 ppt early 1/2 hour before lecture normally ends, and was open for Q and A only. But was tired. I always get tired during the last 2/3 of lecture. Made mac n cheese kraft brand with 1/2 cup mozz and 1/2 cup or 10 tbs sourcream approximately. Had a bowl of that, makes about 2 1/2 bowls. Didn't have anything else to eat before drinking my 1st serving of vodka and water with ice at 830 pm after the lab final. It was hot and the roommate injured his knee on the bags and was bitching the whole time about the pain he is in demanding I massage him. He injured himself kicking the bag at the gym. He does this all the time. Most of his injuries are from working out. He says I should just massage him and help him to stop his bitching because he isn't going to stop until I do. Had a 2nd cup around 9 pm instead of going to bed, bc I need to fill out this data and sent out the client's SOAP notes by about 9 pm also. I could use more of her type. She's cool, but I love all my clients to be honest. Because I screen them and they all fill out their consent forms and know the terms and conditions. Had a new person call me about her husband and she took a photo of the magnets promoting my service on my van a couple weeks ago. But didn't mention on social media that I had offered a 50% discount to anybody who takes a photo of my car magnets and schedules a massage and I didn't tell her. She asked pricing and wants hot stones. She called back but I couldn't take it bc I had to do dishes and she hung up earlier bc a potential client for her biz called. I also need to change my ringcentral voice prompt, I need a better audio recording system, and a better description of how the caller can navigate to menu items because it doesn't have that info or the numbers I saw on ringcentral do not direct them to the proper voice prompt and they need to know that they can skip the prompt by pressing zero to get back to the main menu to make a selection. The voice doesn't sound perky, happy, or inviting, more normal blah with me interrupts in voice like brain farts that don't sound as a good representation for my biz. Had a 15 minute nap around 10 am. Had a 2nd BM, solid reg sm BM at around 910 pm. while finishing my 2nd serving of vodka and entering in these notes. My stomach feels better. Could be those mini eggrolls or the stress from studying . Got plenty of sleep last night as I went to bed around 9 pm and woke up around 430 am. Finished 2nd drink by 950 pm. Should get to bed, am a little tired. Shouldn't be a problem, might eat something before bed. Not sure yet. Will upload this and see what happens. </t>
  </si>
  <si>
    <t xml:space="preserve">Woke up at 530 am by alarm and got out of bed 15 min later. Did normal routine fed Growly his meds, fed babies, had a few cups coffee 2, then had a sm-reg BM solid by 2nd cup coffee. Updated the phone queu but not completely done. Ate breakfast of mac n cheese and vegan beef crumbles then took measurements and showered for work. After dishes. Went to work, the first 3 were 2 regulars and a new one. The last two were cheap skates, and the one lady, Lina, Asian, spoiled princess Asian Karen, reminds me of my older sister, took 6+ minutes to exit, and not disabled. I wrote that in her notes that she takes 6+ minutes to exit. Of course no tip bc I knocked 2 x asking and telling her I need to get in there. I cannot stand clients like that, they are always cheap too and entitled. She also had a history of going to whoever is available, and didn't talk in the massage, asked for med press than wanted more. The last client called me a masseuse, young white guy that doesn't know how to work out and did a bench press with dumbells that tweaked his neck and upper back, neck and shoulders. He was chatty and did get out on time, which I appreciate, but we ended talking about his marketing company and how he gets clients, bc no cold calls anymore do to wasted time like talking to someone for 15 min, and it not being the right person, or them not knowing what social media is. No tip from him either. As expected, he just goes to whoever as well, and his marketing company must be struggling. These gas prices have most people splitting the normal amount of gratuity they leave. From $20 to $10 now. We fit in more massages for the business but get paid the same bc of the back to back massages, having to fit in everybody in exactly 5 min before and after including making the table and room after disinfecting and having assholes that take longer to exit than contractually allowed. The fine print in the one paragraph before their signature says they get 50 minutes of massage and its a one hour session. I have no time for thankless people or helping them out. Being me, naturally makes the assholes go elsewhere. They were the 4th and 5th client today. That is intertwined with my phone queue for the 4th and 5th phone options for the discounted MLD massages and couples massage. Burned out from new people at work. They will likely call me tomorrow to fill in as someone will call out, bc if its happening to me its happening to others and they don't want to come into work. Too bad. I have a client at 7 pm that is getting back from HI and a client tomorrow at 9 am unless she cancels due to her health or doctor appointment late scheduling. My normal client that that last guy filled in for wasn't able to make it, probably bc she has a wedding this weekend she has to get ready for, planning for her daughter's first wedding. Maybe her only one, time will tell with that. Updated the Ringcentral voice queu again. I think it sounds better now. For breakfast had the last 1/3 mac n cheese made with 10 tbs sourcream or 1/3 cup of it and 1/2 cup mozz last night, with about 1/2 cup vegan beef crumbles by morning star. At work on the way had a white chocolate candy bar, for lunch had 4 carmel creamers in 3rd cup coffee and a reg choc candy bar both hersheys candy bars, and a double salmon poke bowl with tortilla chips a serving crumbled on top. Normal style but no edemame bc the store smelled like fish and normally doesn't and thought the vegetables might taste like fish when not, but still got the cucumbers and ginger, wasabe, double salmon, cream cheese 4 tbs and brown rice with house ponzu type sauce. I know high sodium but it tastes great that way. Had the last 3 clients. Turning into massage green and their clients, that would be great if they could just stick with that company. Traders. Taking their no tip, low tip, and time waste to massage envy. bummer. For dinner had a 4th cup of coffee plain and a whole personal size frozen caulipower marghuerite pizza with about 4 tbs sourcream spread over the slices. The roommate wasn't home when I got here bc I think he was at the doctors bc of his ear ache that he has been waiting to see. He usually gets up around the time I get home on Wed. I had to wash my linens too bc Princess peed on my bed, she is the only one who can jump on it, so it had to be her, although she never pees on the bed, so I think the roommate probably picked up Goody and put him on the bed and he peed on the bed bc he couldn't jump off of it. The roommate said I am giving him heart disease when he got back from his doctor that told him he has high blood pressure. I told him he does it to himself, with his white priviledge getting so mad about not being able to tell or yell at people to get what he wants for just bitching about it. I told him that he needs to stop thinking on that path bc if my brother in law can do it after a heart attack, he should too. And that I am surprised he hasn't had a heart attack yet even though he works out all the time. His diet is terrible, sweets all over the place, chips, 15% fatty meat. He is always getting upset. He said I am killing him by not basically listening to him and letting him bitch at me and yell and not do what he demands of me, hence the divorce after 8 years. He should change and yet he hasn't got with it. He is lucky he hasn't had a heart attack. Somebody loves him. I do too, but I would leave him if I had the funds and could take my furbabies. He is an asshole and gets upset over bullshit that he thinks he is entitled to, listens to propaganda bullshit that upsets him to start his day, works out with more weight than he can use with the right form, and also hits and kicks the bag thinking he's in his 20s with strong tendons and ligaments that bounce back but he is 47 years old and the tendons aren't the same. He is also an idiot and they tend to live longer oblivious to the capabilities and limits until they get injured from excessively pushing those limits for years. Mr Growly makes me happy, he doesn't. I do love him though. But he is an asshole. I sent out my client her receipt and SOAP notes by 930 pm. Felt brain fog wiped from all the studying I did last few days for the final in the lab section the day before. I finished the bottle of kettle one vodka from that time until about 12 am, or just before when going to bed and made a pot of gluten free spaghetti I split smaller with 1/2 cup mozz and 1/2 cup sour cream to make similar to mac n cheese but not the same without the powder cheese. So I added some vegan beef crumbles and some of this pasta sauce I got from Sprouts last week abut 1/2 cup of that sauce. Ate that bowl, finished the 4th serving of vodka for the night or the last of the bottle and went to bed. </t>
  </si>
  <si>
    <t>Sprouts Tomato Basil pasta sauce, serving sz 1/2 cup, jar holds 6 servings</t>
  </si>
  <si>
    <t>pot of gluten free spaghetti noodles with 1/2 cup mozz, 10 tbs sourcream, makes 4 bowls</t>
  </si>
  <si>
    <t>bowl of gluten free noodles with mozz sourcream</t>
  </si>
  <si>
    <t xml:space="preserve">1/3 mac n cheese
(513.33	22.50	15.50	16.33	55.33	2.00	736.67)
1/2 cup vegan beef crumbles
(70.00	2.50	0.00	10.00	4.00	3.00	210.00)
double salmon poke bowl
(979	13.925	2.825	29.875	125.45	14.125	1997.5)
white chocolate hersheys candy bar
(220.00	11.00	7.00	3.00	29.00	0.00	75.00)
chocolate hersheys candy bar
(220	13	8	3	26	1	35)
4 tbs creamcheese
(204.00	20.40	12.80	4.40	1.60	0.00	172.00)
1 caulipower margheurite pizza
(670	26	8	21	88	5	1330)
4 tbs sourcream
(240	20	14	4	8	0	60)
4 coffee creamers international delight carmel
(140	6	0	0	20	0	60)
1 serving white corn tortilla chips
(140	7	5	2	18	2	90)
gluten free noodle macn cheese
(540	16.75	10.5	12.5	82.5	1.75	132.5)
=513+70+979+220+220+204+670+240+140+140+540
=22.5+2.5+13.9+11+13+20.4+26+20+6+7+16.8
=15.5+0+2.8+7+8+12.8+8+14+0+5+10.5
=16.3+10+29.9+3+3+4.4+21+4+0+2+12.5
=55.33+4+125.45+29+26+1.6+88+8+20+18+82.5
=2+3+14.1+0+1+0+5+0+0+2+1.75
=736.7+210+1997.5+75+35+172+1330+60+60+90+132.5
</t>
  </si>
  <si>
    <t>calzone veggie, using generic approx nutrition of calorieking.com</t>
  </si>
  <si>
    <t>Starbucks honey almond milk nitro cold brew</t>
  </si>
  <si>
    <t xml:space="preserve">2 bowls pasta
(1080	33.5	21	25	165	3.5	265)
1 cup pasta sauce
(180	5	1	4	20	4	1020)
1/4 cup parmesan cheese or 4 tbs
(40	3	2	4	0	0	200)
calzone 2/3, but a large one using the calorie king nutrition as 1 whole
(630	22	7	20	86	6	1390)
1 can coke
(180	0	0	0	50	0	60)
1 grande honey almond nitro cold brew
(50	0.5	0	0	11	0	25)
3 tbs ranch dressing
(218	23.1	3.6	0.5	3	0.3	367)
=1080+180+40+630+180+50+218
=33.5+5+3+22+0+0.5+23.1
=21+1+2+7+0+0+3.6
=25+4+4+20+0+0+0.5
=165+20+0+86+50+11+3
=3.5+4+0+6+0+0+0.3
=265+1020+200+1390+60+25+367
</t>
  </si>
  <si>
    <t xml:space="preserve">Woke up a little before 630 am, tired and feeling dehydrated but didn't want to drink water, did normal routine, cleaned a pet mess, restarted dryer, gave Growly his meds and fed the babies, updated the nutrition for this database. My ankles aren't as swollen today but still a little swollen. A normal part of my life with this high sodium diet. They don't get swollen until later in the day as I am standing for longer hours in front of the computer or at work up doing massages. I am not planning on wearing my waist trimmer or compression socks today, bc my client just cancelled for 9 am. She said she might have to due to her doctor last time I saw her. Bc she needs to find out what is going on with her scans that they saw. Had a sm reg BM after 2nd cup of coffee. Put away laundry while drinking 3rd cup of coffee, but made a bowl of pasta same as last night with 1 bowl noodles, 1/2 cup vegan beef crumbles, and 1/2 cup pasta sauce, with 2 tbs parmesan cheese winco bottle brand. Then finished 3rd cup cold while completing 1st half of genetics ch18/19/20 hw. Didn't log in at 9 am, was working on the hw instead. No questions, it was only for exam 4 study guide questions. Didn't even get there yet. Then looked at the ppt slides and worksheet for ch 14 solutions or mixtures not as in the key to worked out problems, that is available. Got tired, because the wording on describing and breaking down the formulas of heat of solution equal to the heat of solute+heat of solvent+heat of mixture got confusing, and made no sense. I took a 20 min nap at 10 am, then reread it and made notes on the endo(+) and exo(-) heats, and the -lattice energy being heat of solute (endo +) but lattice energy always negative or exothermic. So, the confusing part is when the heat of hyradtion is made up of the endo(+) heat of breaking solvent-solvent added with the heat of mixture exothermic (-) heat of attracting solute-solvent then heat of solution is heat of hydration minus lattice energy, and if the heat of hydration is less than the lattice energy, why is the heat of solution endothermic (+) when that would make it negative, because lattice energy is always negative. Why even put that slide in, but to introduce confusion and an exam question, when it doesn't make sense, it should say if the heat of hydration is less than the magnitude of lattice energy, then the heat of solution is endothermic or positive. I feel like a grammatical error leading to interpretation exists on that slide. I emailed the professor about it. Then took my measurements at 1230 pm. Hungry, and it sucks that the food in the fridge isn't satisfying. I ate lunch at 1 pm a bowl of pasta with pasta sauce, parmesan cheese and 1/2 cup vegan beef crumbles. The instructor replied, just notation. I originally said -1&lt;-0.5 --&gt; exo(-) and she said its the amount of energy, basically notation on the magnitude not her words, so that -1&gt;-0.5 --&gt; endo(+). Went to Starbucks, feeling it, the drinks last night, not hung over but the stress of studying and uncertainty and the drinks last night, making me sick. That and getting older and feeling like not a person to go to the zoo with or have fun with. Want to lay my head down and sob until I feel better, but can't. Because its retarded and only imagine it would make me feel better. Looked up rental homes out of curisoity. Not really any listed or rented out all over Corona, there were more before, but I think many people don't want to rent anymore because of the extension on not paying rent for renters in a financial hardship due to quarantines and business shutdowns. Scams and losers all over. I was also annoyed by some bums bag of trash sitting in front of our house like trash since last night and with some other junk. We're right across from a 711. So when I pulled up from Starbucks I threw it in the street. Who the hell puts their shit on city property strip land by a street in front of a residential house? Some bum's cart probably got emptied out and they went somewhere they couldn't pick it up. Then throw that shit away!The city will pick it up if its in the street or just push it right back to the strip of city property on the other side of the sidewalk. Also, the houses are 2-3X the rent as here, only $600 more a month for 2 bathrooms in Riverside. We did a review session for lecture, I did get tired, but had my grande honey almond milk nitro cold brew I sipped until gone during LE. Then have been craving pizza all day, looked up best pizza near me and one at Fuze, ordered a calzone, this way it is less likely to get cross contaminated with meat when they use the same pizza cutters that they use on meat pizzas. It comes with about the same amount of dough as a small pizza at dominos wrapped around mozzarella and ricotta cheese that I chose Basil and peppers that were green bell peppers to stuff in it. It also came with 2 tbs each of marinara sauce and ranch dressing. It was good, couldn't eat it all but did eat about 2/3 of it. I will approximate nutrition value of it by putting a domino pizza small veggie pizza into the nutrition values. Also, drank about 2/3 of a reg sz coca cola soda with it. There goes gluten free and non processed sugars for the day. Stayed in Q&amp;A after break, just personal time in lab to study and ask questions as we look through study material. Went to bed before 10 pm, but couldn't go to sleep, got out of bed around 1130 pm, ate the last 1/3 of the calzone with pasta sauce, and looked at my previous employer's ADP that I logged into earlier in the day and wondered why they have me listed as terminated and have my ugly DL photo up to display me when my current work account lets me switch out the photo, theirs is disabled. I left some statements in my personal statement about how they only allow LMTs to use the used toilet paper last roll, and I quit for harassment and was limited on the words I could put in. I gave a 2 weeks notice there, they let Diane and Yesenia yell at us like slaves, harassing, demand we wash the other LMTs stones and chinese cups without extra pay, and their pay was on a system that only allowed you to get the service commission on top of min wage if you were more than 90% booked, which the front desk and length of time and reliability of clients depends on, and not per day, but per pay period. I didn't leave this information on their yelp or indeed employer reviews but considered it. They had 20-30 rolls of toilet paper they specifically posted a sign up in the breakroom pre-quarantine, with the cheapest thin single sheet toilet paper in the bottom drawer of the cabinets in each bathroom that accumulated so that they wouldn't waste the toilet paper and that the last few sheets would get used by their help. They are scumbags and cheap skates. They treat their workers like worthless help, slaves, 2nd class citizens, like we should be thankful to work there and be treated as worthless yet we bring in the clients. That pissed me off to see I was listed as terminated, and that 'old lady' everybody leaves a review referrring to, Tamera, even when she worked at Massage Heights in Newport acts like she is so understanding and nice, but is the one trying to get lead massage therapists to enforce slavery and harassment on new workers, she also follows me on instagram and facebook. I have never referred to her as an old lady, but when I heard it once at Newport, then a few more times there, then working at the Chino Hills one for her when she said I would get paid more to leave the Rancho location I noticed that for some reason it is a common trend. When people talk negatively about her they talk about her first as being the old lady and then referring to her being stupid in some way or ignorant. I went to bed around midnight, listening to night birds chirping and the AC on medium low, it was supposed to be on high but felt like med-low. This morning woke up just before my 530 am alarm went off, did the normal routine. My ankles weren't swollen, sure that will change as the day progresses. Had a few cups of coffee after looking at the balance on the dodge from a text the new owner sent me of the plates getting sent in. Nice guy. Had a BM after drinking 2nd cup of coffee. I wanted to check the workplace number and cannot login and know I had an account, it is missing from my password file, but scribbled on my checkbook notebook for last year, and cannot find the file of the last workplace number pdf that showed all the places and history of pay and reason for leaving etc since early 2000s. So weird. Makes me think this Massage Heights is also shady in other aspects and wants to put on previous employees as terminated. I can direct message Tamera and ask her why my ADP account says terminated. I will for sure be leaving a bad review of their business on Yelp and Indeed as retaliation for unfair business and fair employment and housing department biz practices if I hear from her that they have me listed as fired when I quit and gave my two weeks notice. I told the owner Mitchell I would be classy and not leave that review, but told him Diane and Yesenia and the low wages are exactly why I was leaving. </t>
  </si>
  <si>
    <t>Digiorno cheese pizza serving is 1/6 pizza</t>
  </si>
  <si>
    <t>ranch dressing, 3 tbs</t>
  </si>
  <si>
    <t>garden veggie pizza 12" 1/8 pizza as a slice https://www.calorieking.com/us/en/foods/f/calories-in-pizzas-medium-12-garden-veggie-pizza/S70v4xx1SBeMcYpMAbHV-Q</t>
  </si>
  <si>
    <t>4 coffee mate creamers liquid, french vanilla sub with irish cream online calorie king, 4tbs</t>
  </si>
  <si>
    <t xml:space="preserve">Woke up about 520 am, did normal routine, a lg BM after 2nd cup of coffee, gave Growly his meds and the food for babies with icecream. Took measurements around 710 am. Had a bowl of pasta with 1/2 cup vegan beef crumbles, 2 tbs parmesan, and 1/2 cup pasta sauce. For lunch had 4 coffee mate creamers in 3rd cup of coffee at work with a salted butter bread and soufle cheesecake for 85 degrees bakery. Then stopped off River Rd Little Caesars craving pizza, had to wait for the veggie at $12, went to Stater and got a frozen 4 cheese digourno, ranch dressing, biscuit rolls and picked up pizza. I ate a slice at home and crust, didn't like it, ended up throwing it away. Waste of money. They don't accept tips there either. I had a huge headache while making flashcards, had a 4th cup of coffee and bottle water, the blinding aura went a way but still blurry, then went away by time digested water, but felt sick, while heating up the cheese pizza. The roommate was bitching again as usual to himself and stupid audio. I played country on spotify to drown him out. He is so obnoxious. So annoying. Puts me in a foul mood. When he left, while pizza in oven I had a drink of his Jameson Whiskey that is his previous boss's he had 3/4 a year. I was feeling sick like flu or nautious. It helped and made me feel pressure in my head. Drank it with water. Not bad. Had a can of soda and ice coca cola with the slice of veggie pizza I ate around 530 pm. Didn't have the pizza till after the drink at 9 pm. I also had 2 pcs of hersheys snack size almond toffee candies before the cheese pizza yesterday. </t>
  </si>
  <si>
    <t>Hersheys nuggets almond toffee, 3 pcs serving</t>
  </si>
  <si>
    <t xml:space="preserve">bowl pasta
(540	16.75	10.5	12.5	82.5	1.75	132.5)
1/2 cup vegan crumbles
(70.00	2.50	0.00	10.00	4.00	3.00	210.00)
1/2 cup pasta sauce
(90.00	2.50	0.50	2.00	10.00	2.00	510.00)
2 tbs parmesan cheese
(20	1.5	1	2	0	0	100)
4 coffee creamers coffeemate french vanilla
(80	4	0	0	8	0	0)
whole souffle cheesecake 85 degrees bakery
(1350	770	132	31	13	37	215)
salted butter bread 85 degrees bakery
(320	17	10	6	35	0	430)
slice of little caesar's veggie pizza
(180	5	2.5	8	25	4	310)
3 tbs ranch dressing
(218	23.1	3.6	0.5	3	0.3	367)
digiorno cheese pizza 3/8 pizza
(675	22.5	11.25	36	83.25	2.25	1575)
3 tbs ranch dressing
(218	23.1	3.6	0.5	3	0.3	367)
can of coca cola reg sz
(180	0	0	0	50	0	60)
100.00	6.00	3.33	1.33	11.33	0.67	33.33
=540+70+90+20+80+1350+320+180+218+675+218+180+100
=16.75+2.5+2.5+1.5+4+770+17+5+23.1+22.5+23.1+0+6
=10.5+0+0.5+1+0+132+10+2.5+3.6+11.25+3.6+0+3.3
=12.5+10+2+2+0+31+6+8+0.5+36+0.5+0+1.3
=82.5+4+10+0+8+13+35+25+3+83.25+3+50+11.3
=1.75+3+2+0+0+37+0+4+0.3+2.25+0.3+0+0.67
=132.5+210+510+100+0+215+430+310+367+1575+367+60+33.3
</t>
  </si>
  <si>
    <t>jose cuervo classic margarita mix, 4oz in a serving 8 servings per bottle, about 1 serving:</t>
  </si>
  <si>
    <t>Alaska cod filets, frozen bag, 1 fish is 1 serving</t>
  </si>
  <si>
    <t>thin crust 10" pizza cheese from Pizzita Chino, approximately 3 slices of thin crust 14" pizza from calorieking.com</t>
  </si>
  <si>
    <t>broccoli rice Target Good&amp;Gather brand, serving 3/4 cup, 3.5 per bag:</t>
  </si>
  <si>
    <t xml:space="preserve">5/8 digiorno cheese pizza
(1125	37.5	18.75	60	138.75	3.75	2625)
5 tbs ranch dressing
(1090	115.5	18	2.5	15	1.5	1835)
1 whole 10" marghuerite pizza from Pizzita
thin crust, not the thick mozz or fresh basil
like a frozen thin crust cheese pizza you get at the grocery store
(574	29.6	13.1	26.8	50.2	3.8	1098)
1 fish filet
(100	0	0	25	0	0	150)
1/2 bag of the broccoli rice
(40	0	0	4	8	6	40)
3/4 cup margarita mix for 2 margaritas
(110.00	0.00	0.00	0.00	28.00	0.00	175.00)
1 can coca cola
(180	0	0	0	50	0	60)
starbucks grande nitro cold brew
(70.00	5.00	3.50	1.00	4.00	0.00	20.00)
=1125+1090+574+100+40+110+180+70
=37.5+115.5+29.6+0+0+0+0+5
=18.75+18+13.1+0+0+0+0+3.5
=60+2.5+26.8+25+4+0+0+1
=138.75+15+50.2+0+8+28+50+4
=3.75+1.5+3.8+0+6+0+0+0
=2625+1835+1098+150+40+175+60+20
</t>
  </si>
  <si>
    <t xml:space="preserve">Woke up at around 515 am and started the day, have to start getting ready for work at 630 am to leave by 720-730 am to make it there before 8 am when I start. Still had a headache on my Right side of my head, gave Growly his meds and fed the babies their icecream and catfood, had my coffee and input the data into this database. Went to bed around 930 pm with the AC on. So about 7.5 hours of sleep. Need to see if Growly's meds is out front. Yesterday I called the company on my dashcam of the guy who was driving an EMT vehicle that drove next to me until I turned to look at him and I knew he was waiting to flick me off bc I was getting off the freeway and he was far behind trying to speed up, he pulled along side me while I was in middle lane in the fast lane so knowing this I turned my dash cam towards him to see him put down his middle finger. But got the video clips stored to my computer. I called and spoke with someone at the UMT unicare medics, saying he is a misogynist and drove irratically into the carpool after flicking me off but that I saw that he transports people and that type of guy would rape female patients transporting for dominance and a hate for women. He shouldn't be around people especially women. She took my first name and was shocked he drove that way. I caught a glimpse of him as having dark hair and not fat but also in mid20s approx. He is supposed to be driving injured people to and from the hospitals and he is driving like he doesn't care about any human life. Plus road rage, he gets that upset. He wasn't even close to my vehicle, to get mad about me who is an obvious female, and had a prenatal car magnet on my left side of my van says a lot about his character. That number for notes is 951-530-8420. The vehicle company number was #2001 and it was a ford van with tinted windows on the Right side that he pulled along side my van in on the freeway to flick me off. Loser guy. Had a reg BM before finishing my 2nd cup of coffee. I ate a lot of fat yesterday, unbelievable amount, its because I ate the entire 85 degree bakery cheesecake that is actually a sub for the soufle cheesecake because that item isn't on their nutrition menu. Its a light pastry not thick like a cheesecake. More like a sponge cake. Measurements taken after 2nd cup of coffee, reg BM, and before having some pizza left over from yesterday, the cheese digiorno with ranch dressing before showering and getting ready for work. Had 2 1/8 slices of the cheese pizza with 2 tbs ranch dressing for breakfast. For lunch I had a grande nitro cold brew from Starbucks and 1/2 a marghuerite personal size pizza from Pizzita, Then after work had a Jack in Coke, because I went to BevMo and got a small bottle of Jack Daniels that was surprisingly $15, a bottle of kettle one that was regular size for $18, a bottle of Jose Cuervo for about $15 that was smaller than normal but twice the size of the Jack Daniels Whiskey, and some lime lemon margarita mix. After the Jack and Coke I was preparing for finishing up some ch 12 study and realized I need to review the ppt slides. It was about 330 pm when I finished the Jack Daniels, and then ate the chilled 1/2 pizza left over from Pizzita, then had a margarita with tequila and the mix, then had the left over digiorno of 3/8 the pizza with 3 tbs ranch dressing, and another margarita. The neighbors are having their 1 year old's birthday party and the same disrespectful guests of theirs that got confrontational with me, a resident who lives next to their friend and recognizes them as trespassers or unfriendly guests/strangers/disrespectful people, blocked the alley last time they were here. I turned on the country music from Spotify to drown them out. That was the last margarita I drank. I was slow drinking the 2nd one. The ice stays cold longer while in it due to the salty margarita mix. Was working on chemistry the whole time, the roommate had the nerve to say to leave the neighbors alone because he doesn't want any problesm. He doesn't even know them, and they invite disrespectful people into our area, so I told him as long as they don't get disrespectful like block the alley like last time and our vehicles, and he insisted I not. They are a bunch of overweight dorks, like losers the kind of dudes you would never think any woman would have a baby with yet someone did and the same types of dudes the roommate called or labeled 'lames' when he would see them in the gym when we met at the gym and he was a personal trainer, they're odd looking dads, don't look intimidating or scary at all, and if so I would for sure cause some upset. But he doesn't want any problems. I had to yell at him and call him a coward when he got in his car. He needs to get his priorities right. They weren't disrespectful, and got out of the backyard where I could hear them chatting and laughing out loud earlier. They left either before he did from the backyard or a little after. So dumb that he wants to let the neighbors' guests come in put themselves before his household. I later made one of the fish from the frozen fish I got from Target weeks ago. It had to be thawed out for 30 minutes in cold water first, then baked for 15-18 minutes at 350. Had it with a microwavable broccoli rice veggie side, parmesan cheese and mozz cheese. Finished the ch 12 ppt and saw the example problem for the use of heat of fusion, heat of vaporization, and specific heat capacities already known to break apart a problem into the phases of the heating curve of water, ice--&gt; heat of fusion--&gt;liquid q eqn--&gt;heat of vaporization--&gt;boiling q eqn for a total of 5 equations to add up the heat or enthalpy to find the amount needed to bring ice from -5 degrees celsius to 120 degrees celsius after boiling. It was already solved in the example of course, but needed to know how to set it up. Wasn't drunk. Started from 240 and ended by 730. Done studying by about 1030 pm. Then went to bed. </t>
  </si>
  <si>
    <t xml:space="preserve">Woke up at 5 am to Goody barking, had to yell at him to shut up. He was barking because Growly was going to attack him for going up the stairs to the bed. They do this once in a while. Then my alarm went off at 530 am and I got up. I thought it was actually 630 am, because the monitor to security cams looked bright outside, but its overcast, and the 5 looked like a 6 on the time code. I did the normal routine, cleaned a pet mess, gave Growly his meds and fed babies, need more icecream, used last of it. Made my coffee, and input this nutrition data from yesterday and notes on the day from written notes jotted down in case I forget. Had about 7 hours of sleep, from 1030 pm to 5 am, or 6.5 hours sleep. Want to buy another car magnet promoting the family massage special and the new phone number or a window decal or 2 for the van. I took off the other ones. Did that and started on some baked fozen rolls 1/2 bag or 5 rolls with mac n cheese added the sourcream 1/2 cup and the mozz 1/2 cup for breakfast will have a bowl and some rolls and take the rest to work for lunch. Study the fashcards I made, then get home have a drink and start acclimating to studying other chemistry material for the final and maybe completing the genetics homework due Tuesday. Its finals week. Final on Thursday at 3 pm for chemistry and online for genetics from Wed-Fri availability online. Had a bowl of mac n cheese with 2 rolls for breakfast with 3rd cup coffee. Then did dishes and had aslightly constipated reg BM by 738 am. Then took measurements. Went to work and then got back. Breakfast and lunch was 2 bowls of mac n cheese and 5 rolls all together and a canned sweet vanilla nitro cold brew from Circle K by my work when I put fuel in my van. At home had a margarita to start, then 3/8 pizza with a coca cola reg sz can, the pizza is mama cozi Aldi brand cheese, with 3 tbs ranch. Jack was in the coca cola. Getting used to soda pop again. Did some studying and review and flash cards of exam 2 and went to bed at 9 pm. No music today. </t>
  </si>
  <si>
    <t>starbucks carbonated canned nitro cold brew sweet vanilla cream, 1 can is 1 serving</t>
  </si>
  <si>
    <t>Aldis Mama Cozzi pizza, 1/6 pizza is a serving</t>
  </si>
  <si>
    <t>raviolis Aldi's Priano brand, 1 serving is 10 raviolis</t>
  </si>
  <si>
    <t>Sister Schuberts dinner rolls, serving 1 roll</t>
  </si>
  <si>
    <t>bowl mac n cheese with 10 tbs sourcream and 1/2 cup mozz</t>
  </si>
  <si>
    <t xml:space="preserve">2 bowls mac n cheese
(1026.67	45.00	31.00	32.67	110.67	4.00	1473.33)
5 rolls
(700.00	20.00	5.00	15.00	110.00	5.00	1200.00)
starbucks canned cold brew nitro sweet vanilla cream
(70	1.5	1	3	13	0	45)
1 coca cola reg sz
(180.00	0.00	0.00	0.00	50.00	0.00	60.00)
3/8 mama cozzi cheese pizza
(697.50	20.25	10.13	31.50	94.50	4.50	1530.00)
3 tbs ranch
(218	23.1	3.6	0.5	3	0.3	367)
4 coffee mate creamers
(80	4	0	0	8	0	0)
=1026.7+700+70+180+698+218+80
=45+20+1.5+0+20.3+23+4
=31+5+1+0+10.1+3.6+0
=32.7+15+3+0+31.5+0.5+0
=110.67+110+13+50+94.5+3+8
=4+5+0+0+4.5+0.3+0
=1473.3+1200+45+60+1530+367+0
</t>
  </si>
  <si>
    <t xml:space="preserve">4.5 1/8 pizza slice mama cozzi cheese pizza
(1046.25	30.375	15.1875	47.25	141.75	6.75	2295)
5 tbs ranch dressing
(363.33	38.50	6.00	0.83	5.00	0.50	611.67)
1.5 servings ravioli Priano brand
(375	7.5	3.75	15	63	1.5	510)
1 serving priano 4 cheese pasta sauce
(90	3.5	1	3	12	3	460)
1 serving vanilla icecream
(200	12	7	3	20	0	50)
1.5 servings ravioli Priano brand
(375	7.5	3.75	15	63	1.5	510)
1 serving priano 4 cheese pasta sauce
(90	3.5	1	3	12	3	460)
1/2 cup mozz
(160.00	10.00	7.00	12.00	2.00	0.00	380.00)
1 can coca cola reg sz
(180.00	0.00	0.00	0.00	50.00	0.00	60.00)
=1046.25+363.3+375+90+200+375+90+160+180
=30.4+38.5+7.5+3.5+12+7.5+3.5+10+0
=15.19+6+3.75+1+7+3.75+1+7+0
=47.3+5+15+3+3+15+3+12+0
=141.8+5+63+12+20+63+12+2+50
=6.8+0.5+1.5+3+0+1.5+3+0+0
=2295+611.7+510+460+50+510+460+380+60
</t>
  </si>
  <si>
    <t xml:space="preserve">Woke up at 4 am not by alarm, got out of bed, went to bed at 9 pm, so about 7 hours of sleep. Normal routine. Gave Growly his meds and fed the babies, cleaned a few pet messes before that and had my couple cups of coffee, no BM by 12 pm, probably none today. Had 3rd cup of coffee by 8 am. Was working on review of exam 2 and working out those problems on flash cards, had to redo a few of those to get it right. Then did some genetics exam 4 study guide questions later when done. Had 7 am breakfast 2/8 pizza with 2 tbs ranch, then at 830 2 1/2 of those remaining 1/8th pizza slices with 3 tbs ranch dressing with a can of coke. The 3rd cup of coffee was after the last pizza. Took a nap at 7 am for 20 minutes. Need to review the nomenclature some more but also the molecular orbital and VSEPR theory and structures etc. I bought the wirelass web cams from BestBuy by my work yesterday but haven't put them up yet. I reviewed the video and zoomed in to the person Ioriginally thought was a bummy guy, but the zoom could show it was a frumpy female with a bun on her head carrying a bag, she pointed at the camera on my house in alley before crossing it, then stopped by the tree in front before going to the front of this house, and I could see in the reflection in the pickup truck window, she didn't walk up to the porch, but couldn't see her throw anything, but that would have been the only way she would have delivered my package on the grass for Growly's meds. She then crossed the street towards 7-11 and didn't see her anymore. I updated my complaint with USPS about the non-delivery of the meds and am awaiting their reply. Getting closer to the finals, and still studying. Got work later today from 3-10 pm. Made some of the Priano cheese raviolis I got from Aldis yesterday with their 4 cheese sauce and some mozz on top. Didn't update the nutrition yet for yesterday or today. So far, for the nutrition had 4 1/2 of the 1/8 th pizza cheese mama cozi Aldi brand, 5 tbs ranch, 1 can coca cola, 2 servings ravioli cheese priano Aldi brand with 1 serving the priano 4 cheese pasta sauce Aldi brand, and 1/4 cup mozz. Then will later have a capuccino blast I just made for when I leave for work, a serving of vanilla icecream, 4th cup of coffee, and cinnamon. Its in the fridge. Overcast all day today at least till 1230 it still was overcast and chilly. Took measurements after eating raviolis and still no BM. Might be dehydrated, but my lower Left side of abdominal area was causing some pinching pain yesterday for on and off till bed. Nothing too painful, but uncomfortable. Wrote in the rest of my nutrition which was just drinking the cappucino getting ready for work and the bowl of pasta with mozz on my lunch break. Had a total of 4 cups of coffee today. Work was a full schedule as the norm. No regulars, all new to me. Had a 15 minute nap at 1 pm before work for the 2nd nap of the day. And my skin around my compression socks itched in first session. So I took the compression socks and waist trimmer off. I couldn't work feeling my skin itch from hair growing in and lymphedema in my body. Didn't have time for a shower before work, used it to feed lunch for my babies and pack my lunch for work. Did brush my teeth and wash my face and put deodorant on. Didn't sweat at all since last shower. </t>
  </si>
  <si>
    <t>Black Forest gummy snacks, serving size 1 pouch</t>
  </si>
  <si>
    <t xml:space="preserve">Woke up at 6:10 am approx, went to bed at 11 pm a little after, got about 7 hours of sleep. Did normal routine, fed the babies, gave Growly his meds, had my coffee, a lg BM by 2nd cup and before 2nd cup of coffee. Studied the molecular oribital portion of chemistry and reviewed the last part of the ch11 slides and reviewed the video for that lecture that explained why some atoms have different sequence patterns of MO for period 2 homonuclear, and how to choose the sequence for heteronuclear diatomic molecules. I have a few clients today at 11, my normal regular at 12, but her good friend that she got a gift card for at 11 am at her house. Very nice people. I see my 12 pm client every week same time for her massage to help with arthritis in LB and knees. I started the van around 830 am to make sure the hydrocollator was hot for the hot packs. Around 9 am , made some rolls from the remaining 5 frozen rolls in freezer and then a couple scrambled eggs, with olive oil and a couple tbs sourcream and some left over broccoli rice from a few days ago that wasn't eaten completely. The chemistry course has a final later in the afternoon today for the first group. I am in the 2nd group. I want to go over more material like format of questions. There was one question I thought could be confusing that I made a flash card on. When getting the amount in moles from an amount of a sample but using the amount of the solution. It was confusing. I know I would get hung up on a question like it. This is the exact question from a worksheet, "A chemist added an excess of sodium sulfate to a solution of a soluble barium compound to precipitate all of the barium ion as barium sulfate. How many grams of barium ion are in a 458 mg sample of the barium compound if a solution of the sample gave 513 mg barium sulfate precipitate? What is the mass percent barium in the compound?" --so the problem is when extracting the grams of Ba ion are we using 458 mg of the ba compount to get the molar mass of the barium sulfate, the mole ratio of barium to barium sulfate then use the molar mass of ba to get the grams barium after converting mg to grams, or the 513 mg sample, then use the other amount to get the mass percent of the result? It is to use the 513 mg sample to extract grams barium, then use the grams barium over 458 mg converted to grams to get mass percent.  I have to take measurements and shower then go to clients' house, maybe get the water, cat food, and paper towels we're low on, bc it seemed like I just bought that stuff. And almost gone. I guess it has been a week. Had a cappucino blast with a serving vanilla icecream and 5 melted snack size hersheys almond toffee candy and 3rd cup of coffee before the shower. Went grocery shopping after my clients at 11 am - 1 pm. Then got home, and started to finish the rest of the final exam study guide questions, after putting groceries away and doing the laundry. I had a jack and ice water at 230 pm then again at 530 pm and finished the study guide by 6 pm. Didn't fill out the SOAP notes or receipt yet or study any more chemistry just yet. Had the last bowl from the raviolis made the other day with mozz and parmesan cheese. No soda anymore because I feel like it or the margarita or the combination of both made me constipated so won't be drinking soda for a while but not the same with margaritas as needed or desired or whatever as long as noninterfering with my studies. Didn't drink any more alcohol rest of the day and ended up getting tired around 8 pm. Got the chemistry exam at 3 pm Thursday on campus and the genetics exam between tomorrow and Friday. I have a 7 pm client tomorrow, but will plan for staying up late that night, waking up, studying, practice problems, take exam, go home study for genetics and read bw studying the exam sheet filled in and take that exam online before Friday or early Friday morning. Then work. Got a family massage Saturday after work, and a stretch session this Sunday that I scheduled with my boss about 3-4 weeks ago. But its scheduled into my calendar. My 11 am client is nice and a good friend of my regular. I have to upload her printed consent form then fill that info into my database. Was tired after studying. Throughout the last part of the day ate 4 fruit snacks here, a couple later,  3 later, 2 late. So about 10-11 fruit snacks. Went to bed at 830 but couldn't go to sleep until probably about 9 even though I was tired reviewing Molecular Orbitals. Woke up at 230 am got up 20 minutes later put the blankets in the wash because Goody peed on them and woke up smelling it. Probably bc Princess went to bed with one of her babies or toys and he always pees on her babies/toys. I tried studying but when reviewing  the Molecular Orbital homework wasted time recalling or figuring out that I don't know where the electrons go in the hybridized orbitals of valence bond theory. WE had an example on 4 electrons with carbon, but sulfur and 3 electron groups and 6 electrons didn't make sense to me. Tried looking at the power point and the homework and drawing schematics, but didn't find an answer. Scribbled all over paper in different colored ink. Tried going back to sleep around 5 am but couldn't and ended up archiving each and every post in both instagram accounts. Then felt like I might not make it through the day driving to and from work, possibly falling asleep in session, or having a couple asshole clients end my day and stressing me out for the time I have to prepare for the exam. Good thing my evening client cancelled last night, I realized this morning. She is busy and wanted to reschedule for Thur or Fri but told her its finals week and nothing available. I decided to call out from work by texting my manager and leaving a voicemail at work around 630 am. Then I felt better but thinking of them like I am a dissappointment, but not nearly as much as getting injured like my roommate did to himself last night at work getting out of his car too fast. His knee is twisted or in pain and makes him limp. Also, thought about seeing people at work call out all the time, or having my work call or text me to come in many times. Also, they are going to be closed 3 days in August for remodeling that we won't get paid for. So, I asked to use my sick days, but didn't disclose those other reasons. Really, I do like my regulars, but haven't been seeing many of them lately, just some new people, and last week two of them were assholes. I do not like having to wait around for somebody to get out of the room more than 3 minutes and closer to 6+ minutes. Then have to rush to get the room ready for a guy that laughs when I correct him on our classification being massage therapists and not masseuses. I hate ignorant peope and I hate entitled people. No healing energy for them. I have absolutely zero to give them. And they drain my good energy. I get the rest of the day to study. Its CA law anyhow to use sick days, and that is their fault if they operate their business model to give clients free massages when a therapist calls off. I wouldn't do that because I have seen it happen all the time at every single place I worked, except for the independent contractor places like Bodycentre where the massage therapists have to pay for the hours they miss under contractual obligations. </t>
  </si>
  <si>
    <t xml:space="preserve">12 bags fruit snacks
(840	0	0	12	204	0	300)
3 bowls raviolis
(1125	22.5	11.25	45	189	4.5	1530)
1 1/2 cups pasta sauce
(270	10.5	3	9	36	9	1380)
1/2 cup mozzarella
(160	10	7	12	2	0	380)
1/4 cup parmesan cheese about 4 tbs
(40	3	2	4	0	0	200)
2 1/2 cups vanilla icecream
(600	36	21	9	60	0	150)
half hersheys chocolate candy bar
(110	6.5	4	1.5	13	0.5	17.5)
can of coke
(180	0	0	0	50	0	60)
=840+1125+270+160+40+600+110+180
=0+22.5+10.5+10+3+36+6.5+0
=0+11.25+3+7+2+21+4+0
=12+45+9+12+4+9+1.5+0
=204+189+36+2+0+60+13+50
=0+4.5+9+0+0+0+0.5+0
=300+1530+1380+380+200+150+17.5+60
</t>
  </si>
  <si>
    <t xml:space="preserve">5 rolls
(700	20	5	15	110	5	1200)
2 eggs scrambled
(140	10	3	12	0	0	140)
2 tbs olive oil
(260	28	4	0	0	0	0)
2 tbs sour cream
(120	10	7	2	4	0	30)
1/4 cup mozz
(80	5	3.5	6	1	0	190)
1/4 cup parmesan cheese
(20	1.5	1	2	0	0	100)
bowl raviolis
(250	5	2.5	10	42	1	340)
serving of priano 4 cheese pasta sauce
(90	3.5	1	3	12	3	460)
10 fruit snacks
(700	0	0	10	170	0	250)
half hersheys chocolate candy bar
(110	6.5	4	1.5	13	0.5	17.5)
=700+140+260+120+80+20+250+90+700+110
=20+10+28+10+5+1.5+5+3.5+0+6.5
=5+3+4+7+3.5+1+2.5+1+0+4
=15+12+0+2+6+2+10+3+10+1.5
=110+0+0+4+1+0+42+12+170+13
=5+0+0+0+0+0+1+3+0+0.5
=1200+140+0+30+190+100+340+460+250+17.5
</t>
  </si>
  <si>
    <t>Woke up at 230 am and couldn't go back to bed, studied, couldn't sleep, didn't feel right to go to work, and called out by 630 am via text and phone message. First time ever for many years. The exam coming up is stressing me out and affecting my health and sleep. I got all day now to study, relax, and memorize for two exams. The genetics exam will be available later today, and I might study for that and take it before the end of the day so that I can take my chemistry exam and be done with the semester by the end of Thursday. Did the normal routine and went to bed at around 9 pm after laying in bed half an hour around 830 pm. So got about 5.5 hours of sleep. I have been up on worse, but really pushing the limits this time. So called out. Thankfully CA law protects workers and provides sick hours over time for them. Because work is stressful, the constant time management and getting the rooms ready, and having to speed up the process to clients who linger in the room for more than 3 minutes at the end of the massage. Mental health is diminished by end of shift. Not trying to work through it. That and I don't really like about half my coworkers. Didn't eat breakfast but had 3 cups of coffee by 7:18 am and a diarhea BM about reg amt of crap after 3rd cup around 7 am after the roommate arrived. My breakfast wasn't breakfast but 4 bags of fruit snacks. Took measurements at 7:42. Started feeling exhausted again, and mentally unable to do anything, but not tired enough to sleep for a nap. Thought about putting the wireless cameras up, but it made me exhausted thinking about it. Took the day off. Had a couple naps about 10-15 min each at some time during the day, the morning around 9 am and in the afternoon. Studied all day and later around 2 pm had a jack and ice water then cleaned kitty litter and washed the dog blankets on couches, swept floor, called the vet meds place to ask how they handle the package of heart meds I never got and they wanted a police report number, I spoke with a lady at USPS who called me and told her what happened and she said it was scanned next door and the neighbor must have taken it but its empty and told her about the security cams seeing her NOT go to the porch at all and of course she said she did. The package wasn't there and I don't believe anybody took it. I filed a police report online but after complaining online on google reviews about the heartland vet meds delivering in flat rate envelope and USPS delivery being lazy and throwing package on lawn or not delivering it. Then studied some more, still going over worksheets and formulas needed and flashcards as needed. Had another jack and water by 530 and massaged the roommate's knee, he is drama all day any day all the time exactly. No inbetween. His knee, his knee, his knee. He hurt it. Put some CBD on it, infrared light, used the instrument assisted soft tissue mobilization tool to detox inflammatory agents and reduce tension in parts of ITB that are pulling on his medial collateral ligament and his hyper extended aches in patella tendon of his L knee. Then let him rest, recorded that mini video if ff to add to my instagram videos. Then studied some more went to bed before 9 pm, difficult at first to fall asleep, but did. I had about 12 bags of fruit snacks all throughout the day, 3 bowls of raviolis or the whole package with 1 1/2 cups in total of pasta sauce about 1/2 cup mozz and 1/4 cup parmesan cheese, about 2 1/2 cups vanilla icecream, some with a canned coke and the rest was later with that first jack and ice water that was the remaining coca cola, the other with the 4th cup of coffee and half a chocolate hersheys candy bar with cinnamon in a coffee icecream drink or capuccino blast and last cup of the day. Went to bed around 9 pm but more between 845 and 9 pm. I didn't wear my waist trimmer or compression socks all day.</t>
  </si>
  <si>
    <t>Woke up at 418 am and did routine, felt refreshed after not being able to sleep the day before. Did some more reviewing of worksheets on thermochemistry and solutions and heat vaporization and fusion with liquids and reactions with mixtures, solutes, and solvents and heat of hydration. Reviewed the ppts of those chapters some and ch13, but don't think we are tested on that one on lattice geometry with cubic layering, but could be what the bonus question is on. Who knows? The bonus question ended up being on the different enthalpies, and wouldn't you know it I didn't remember all of them and also which one is less reliable. Which I assumed was the tabular one. I was there for the final review but didn't study my notes from the final review at all, only the worksheets, and the first 2 pages was exactly from the worksheets on nomenclature and some other problems, She had a very time consuming heat enthalpy with Hess's Law and I am glad we had more time to do it. I also don't know how to know which atoms in compounds have higher lattice energy so just drew the lewis structure and chose the ones with more lone pairs as weaker and the ones with more bonds stronger. Also a question that gave the density and asked grams of NaOH needed when the Molarity was given for the solute and the mass percent. That question didn't make sense. Overall, I feel like I did good on the test. The other questions didn't stump me that much to start. I later had a triple shot of Jack and ice water then studied for the genetics exam and took that at 9 pm and finished around 945 pm. Not a difficult exam but many multiple choice responses seemed likely. I was going to massage the roommate's knee the same way as I told him I would in the morning but he had to get ready for work. He was walking around much better and I should record him limping around before the massage and walking after the next day getting up. The gua sha tool with teeth and infrared light with CBD to loosend the tight bands pulling on his knee on the patella and medial collateral ligament of his knee. All together for food I had 3 bowls of mashed potatos 1 cup each with mac n cheese 1 cup each, 2 pickles 1/2 cup vegan beef morning star brand, 4 cups of coffee all day, one with 1 1/2 cups vanilla icecream, cinnamon, and the other half of the hersheys chocolate candy bar from yesterday, and 13 fruit snacks by bed time at 10 pm after taking my measurements. I got caught up in studying and getting ready. I also had a nap around 10 am for 15 minutes. I only wore my waist trimmer after my shower and after the exam with compression socks for about 5-6 hours, because I showered early in the morning because I dried my hair with my hair dryer I had to ask the roommate to use because he took it for his art painting projects. This was around 9 am. I was already done showering and drying my hair. Didn't take too long because its short and came out smoother than air dried. But I didn't put on the waist trimmer until after my nap around 11 am. It was difficult to put on. I feel like my belly was bloated. I only had a sm BM solid after 2 nd cup of coffee in am and before 3rd one before my shower. But ate a lot of food. A whole bunch of pasta that wasn't gluten free and pasta sauce is high in sodium. Plus the small amounts of Jack and ice water I have been drinking a few days. Finished that bottle it was a small bottle from Bev mo yesterday with my triple shot jack and ice water after my chemistry exam and made me unable to study for about 3 hours while listening to Spotify and budgeting my check book and other things like making some manicottis later in the evening that I didn't eat but made for today as I had to bake them for 45 minutes and wanted something to put in microwave before work for breakfast. Got them at Aldis in frozen section. Not gluten free. Planning on having a drink later and not eating gluten free. This should be interesting to go to work when I called off the day before for the first time ever while working there since Jan 2020. It is now June 2021. Already summer. Chilly in the morning even though hot last night, so running heater still in the mornings.</t>
  </si>
  <si>
    <t xml:space="preserve">3 cups mashed potatoes
(480	12	8	8	80	4	1640)
3 cups mac n cheese
(780	7.5	4.5	27	144	6	1680)
1/2 cup vegan beef morning star brand
(70.00	2.50	0.00	10.00	4.00	3.00	210.00)
6 tbs sour cream
(360	30	21	6	12	0	90)
1/2 cup mozz
(160	10	7	12	2	0	380)
1/4 cup almond milk
(15	1.25	0	0.5	0.5	0.5	85)
1 1/2 cups vanilla icecream
(400	24	14	6	40	0	100)
1/2 hersheys chocolate candy bar
(110	6.5	4	1.5	13	0.5	17.5)
13 fruit snacks
(910	0	0	13	221	0	325)
2 pickles
(180	0	0	0	48	6	900)
=480+780+70+360+160+15+400+110+910+180
=12+7.5+2.5+30+10+1.25+24+6.5+0+0
=8+4.5+0+21+7+0+14+4+0+0
=8+27+10+6+12+0.5+6+1.5+13+0
=80+144+4+12+2+0.5+40+13+221+48
=4+6+3+0+0+0.5+0+0.5+0+6
=1640+1680+210+90+380+85+100+17.5+325+900
</t>
  </si>
  <si>
    <t>Priano Aldi brand manicotti pasta, 3 servings per bag, 2 manicotti in a serving, package:</t>
  </si>
  <si>
    <t xml:space="preserve">Woke up at 530 by alarm and did the normal routine, cleaning pet messes, feeding the babies, giving Growly his meds. We went to bed with the AC on and my eyes were dry waking up and a little tired. Updated this data base on nutrition and notes and other information. Heater on in the am, AC on last night. Finished updating the database by 6:55 am, had 2 cups of coffee at that time and a very large BM in volume that made up for yesterday. Taking measurements around 7 am. Before breakfast. Plan for manicottis, might change it if not good, but should be because the raviolis are by Priano and their pasta sauce. My BM was quite a bit of volume. I lost 2 pounds since taking weight last night around 10 pm, and this morning after my BM, 2 cups coffee, and before breakfast. Body is healing from stress and rebalancing. That's great, no I have a few weeks to look over this python coding for genomics, still haven't gotten my full genome results. But will know more about what to do to analyze it, even though they have their own online system for analyzing it. I will also be able to get more biz on side for my biz, already got a couple new clients this Monday in the morning that scheduled yesterday, and pick up more shifts at work to start paying off my credit card and probably save some, but realistically I spend. There is always something to invest in to add value to my company or to buy. Saving is good for those that can afford to do it, but it does take money out of circulation and spending boosts economy and creates more work. Only save if saving up for your children's education, a house to buy, a vacation, etc. I have a huge genomics machine to save for that realistically I will not be able to afford by saving for, so it is unlikely I will be saving money. Unless I can save a little bit to put down on it and finance the rest. I checked into an email Massage Heights sent out to all visitors in their database, about buying a franchise, and they want at least $400k in equity or $175K cash to even be considered. That is unrealistic, and they also promoted that their average owners gross 1.5M USD a year. Gross is correct, because they are pimps and probably charge them royalties and entitlement fees for the name and monitor them like an HOA with fines and such for not complying with their brand. They honestly don't make after their bills that much. I haven't got the intel on it, because they are all private owned. That Tamera manager works there and knows how much they make, but like I said before they are cheap AF, and have the worst treatment of their employees. That happens in places not making a profit or a very small one to be that greedy on the surface. Although the owners drive 7 series BMW and live in Tustin and own five or four all throughout CA, but have to divy up their profits or better performing locations between the ones not performing well. Boom! I just checked my grade and my final was a 92%. Super! It also replaced my lowest exam. But I did still have another low exam, but 3/4 an A. My score is 88.9% and I think she uses that scale as an A. That is so great! Relaxed and chilled. On to my day. Got home and had a margarita after work, for lunch at work I had the rest of the manicottis, after eating 1/3 the pkg for breakfast, no additional cheese added. I also had a nitro cold brew with honey almond and sweet cream added from Target and bought a new bikini that were out front while waiting in line to the Target Starbucks. I went to that one because Grand blvd was packed, and overflowing too much to turn Left during the light at the start of my break and when returning the same around 1 pm. I finally put up the wireless web cams while drinking the margarita and getting frustrated with listening to the roommate pester me to massage his knee and tell me to hurry while not being able to get the wireless module to connect to my blink app and waiting for it to update my old app from the line plug in blink camera. Got a free subscription until mid July. I had to call tech support and thankfully he was able to get it to work, for some reason when he looked at the account and the devices he could see their activity and everything worked, but for me, it kept trying to refresh and never go through. I had put up the hardware and never found instructions on how to put the cameras on the brackets and was scared of breaking them when trying to snap them on, but didn't. I got 3 camera on the front entrance, 2 on the porch and 1 on the outside of the porch to see that the mail person is not giving us our mail. Had my Mr. GRowly's meds stolen, or she never dropped it off or threw it in the front lawn. The outside one doesn't see the sidewalk, and the view cuts off right below the sidewalk. but the porch ones see through the porch screen any images, but not sure if it will be motion activated that far from the vision in day light. Never massaged the roommate's knee, and had a 2nd margarita listening to country music before deciding to call tech support. They were up and running by the time the roommate left to work out and/or work. Went to bed around 10 pm, with laundry in the wash. </t>
  </si>
  <si>
    <t xml:space="preserve">pkg Priano Aldi brand frozen bag manicotti
(570	13.5	6	33	72	3	1290)
1/2 cups pasta sauce Priano 4 cheese
(225	8.75	2.5	7.5	30	7.5	1150)
honey almond grande nitro cold brew with sweet cream
(70.00	5.00	3.50	1.00	4.00	0.00	20.00)
1.5 cups mashed red potatoes
(120	3	2	2	20	1	410)
1 cup mac n cheese
(260	2.5	1.5	9	48	2	560)
3 tbs sourcream
(180	15	10.5	3	6	0	45)
1/4 cup mozz
(80	5	3.5	6	1	0	190)
2 tbs parmesan
(20	1.5	1	2	0	0	100)
1/4 cup vegan beef crumbles
(35	1.25	0	5	2	1.5	105)
3 fruit snacks
(210	0	0	3	51	0	75)
margarita mix classic jose cuervo brand
(220	0	0	0	56	0	350)
=570+225+70+120+260+180+80+20+35+210+220
=13.5+8.75+5+3+2.5+5+1.5+1.25+0+0
=6+2.5+3.5+2+1.5+10.5+3.5+1+0+0+0
=33+7.5+1+2+9+3+6+2+5+3+0
=72+30+4+20+48+6+1+0+2+51+56
=3+7.5+0+1+2+0+0+0+1.5+0+0
=1290+1150+20+410+560+45+190+100+105+75+350
</t>
  </si>
  <si>
    <t>mac n cheese pkg, 3 servings per pkg, 4 tbs sourcream 1/2 cup mozz 1/4 cup almond milk added and 1/3 cup vegan beef crumbles</t>
  </si>
  <si>
    <t>honey cake 85 degrees bakery</t>
  </si>
  <si>
    <t xml:space="preserve">half bowl mac n cheese with sourcream mozz beef vegan
(613.33	19.58	12.75	24.83	78.33	4.00	1130.00)
8 fruit snacks
(560.00	0.00	0.00	8.00	136.00	0.00	200.00)
salt butter bread 85 degrees bakery
(320	17	10	6	35	0	430)
honey cake 85 degrees bakery
(190.00	10.00	6.00	7.00	34.00	0.00	15.00)
4 international delight caramel creamers
(140.00	6.00	0.00	0.00	20.00	0.00	60.00)
half bowl mac n cheese with sourcream mozz beef vegan
(613.33	19.58	12.75	24.83	78.33	4.00	1130.00)
2 fruit snacks
(140	0	0	2	34	0	50)
=613.3+560+320+190+140+613+140
=19.58+0+17+10+6+19.58+0
=12.75+0+10+6+0+12.75+0
=24.83+8+6+7+0+24.83+2
=78.33+136+35+34+20+78.33+34
=4+0+0+0+0+4+0
=1130+200+430+15+60+1130+50
</t>
  </si>
  <si>
    <t xml:space="preserve">Woke up around 345 am, peed, let Growly out to pee and put laundry in the dryer and laid in bed until 445, got up, and washed the blankets and mattress pad and cover because one of the babies peed on them. Then looked up getting a Texas massage license. Was curious, because the idea of maybe moving there or vacationing there a while and massaging as income came to mind when thinking about taking a road trip in my work van and promoting mobile massage therapy. It is doable, but they want the school catalog course description with the official transcript from my school that I have to get directly from the CAMTC.org because my school has been closed 5 years now and I think it is $125 for that, plus a letter from them probably the same cost, have to email the CAMTC and find out, the letter stating I am in good standing and no violations and how long I have been licensed, and take a  TX jurisprudence exam before applying which is actually done online and costs $35, plus send over the MBLEX to the TX massage board, which is I think $20, since I took it last summer and passed it that was the price at that time. And the cost for the Texas application is $100. I have a couple clients today, nice family. I had to cancel on them for a family massage 2 weeks ago because I had to study for an exam and didn't have enough time, ended up not doing great on the exam even with studying, but had no extra time when deciding to cancel the night before the massages. Thankfully, in the long run I ended up doing great in that class. Two fruitsnacks for breakfast, measurements, got scared Growly escaped and walked around before shower upset looking for him outside. Left by 730 am rushed. But enrolled in course and paid with mastercard and the used text book paid with mastercard to pick up at RCC. Starts the 21st of June, in 10 days. Emailed MBLEX and CAMTC to get additional information on TX needed info. But didn't pay for it. Because I don't know how and still deciding. I think it would be good. Summer course is entirely online and gets out Thur 7/29. 3rd cup coffee before work. Felt like a heartattck looking for Growly. Had a sm BM after 2nd cup of coffee earlier before looking for Growly, he was under the bed. Brain fog this morning. I forgot I let him in first and the othr 2 babies were outside, so when I saw only the other 2, I called his name and he didn't come. He is the only one able to crawl under the gate like the cat does. Turns out Growly was under the bed ignoring me and scared once I was yelling his name. Went to work, didn't pack lunch, out of food again other than mac n cheese, potatoes and quesadillas. Need some frozen raviolis and other pastas, but more sodium in those pasta sauces than the other items. Or both the same. Close, but I think the pasta sauce has the most sodium. Got home around 215, no Amazon package, checked out the front porch wifi camera, the two lights red and blue came on when I looked in the mailbox to see if the mailperson delivered the mail. This is really upsetting because the sinc module is offline. I am likely going to return it. had 5 more fruit snacks bw bk and lunch after the 1st 2, then a salt butter bread and honey cake from 85 degrees for lunch and 4 creamers in 4th cup coffee at work. Then got home tired. Took a 20 minute nap and still felt tired after dealing with customer support, of course the sinc module worked when I called the customrr support for it. I might be taking it back. Made mac n cheese when I woke up, hot day today, and supposed to be much hotter next weekend. Had a bottle of water to see if I was tired due to being dehydrated bc not drinking a lot of water later at all. More coffee and drinks at home at night when done for the day. Going to put sourcream, beef crumbles 1/3 cup of the remaining morning star vegan brand, with almond milk and mozz cheese and the powder it comes with. then top with parmesan. Could be tired bc no real food eaten at all today and about 6 hours sleep from 10 to 445 am. but it was more like 345 then laying in bed till 445, so 5 hours of sleep. Took another nap around same time I woke up but in the PM for 15 minutes. Then made a 5th cup of coffee for the day. Had 1/2 the pot of mac n cheese I made before the coffee and nap while digesting food. Slept for about 10-15 minutes. Still felt tired, and then had the 5th cup of coffee, but woke the roommate up to massage his knee again with infrared light, CBD, and the gua sha tool for IASTM around the taught bands and his medial knot on the side of the knee, feel a pocket of something folding over, almost like a bursa or fluid sack or maybe even a nerve, not a blood vessel, some fluid in knee but not noticeable, felt while palpating knee and him flexing knee he feels pressure in it. Went to clients. A nice mom and daughter. They were understanding of my cancellation two weeks ago due to school related stress. I gave them a discount to help their understanding before hand. They are very nice. Probably will be massaging their pops of the house around father's day and/or the son in law. Got home before 9 pm, because needed to deposit some cash accumulated from tips and the 1s were taking up room in my wallet. I got a stretch session tomorrow. I actually felt normal, energy wise after the massage and during it. The daughter carried the 52 lb massage table up the stairs and down it. That was super cool. Tomorrow I am working with another employee to get trained on stretching after my work shift at exactly 3 pm. Yay! Finally get to learn the Massage Envy stretch technique. Not sure how long that will last but could be all day. I also drank one drink of a margarita while doing the SOAP notes and updating this database and my client database. I actually have a few more clients rebook with me this week, one from a while back like a year ago. Super cool all of them. She has probably gotten through her 1st 2 years at UCLA premed one client, and the others are couples that are regulars. All super cool. I just thought I could see about buying some CBD from her, but she probably doesn't have it on hand, and I just deposited all my cash, not a big deal if she did because I can actually deduct it from their invoice that lasts as long as the massage session lasts. It seems to work on my roommate and my regular client, but also the infrared light and gua sha tool too. The combination for the roommate, and just the CBD and infrared light for my regular client. Super nice lady, of course.  I didn't get any groceries, but don't matter, mac n cheese is good too. Especially loaded with the stuff I put in it. I found out I got an A in my chemistry course. Super yay! I know I fussed the whole time because it was torture, but at least my efforts paid off. She is a great instructor after all. I feel like I learned quite a bit from both courses. I will wait until next week to see what I got in genetics. I am assuming an A as well. But it could be a curve ball. If anything, the worst is a B, but I feel that is unlikely. I have a 93% in the course. But I just realized my Exam 3 score was a 79.5 after hand grading responses. That was the same one the exam cut me out of the last part of the exam and I emailed her my responses. I am not sure if that affected the score, or not. But thought it would improve it. Now not so certain. They get graded usually with a 5-7 day gap after the exam and aren't available to look at. The exams weren't available to look at for my other biology course either 10 years ago, Principles of Ecology, but that was a hard A to earn as well. I won't know my final grade until Tuesday some time. Hopefully an A. Went to bed tired at a little after 10 pm after putting laundry in the dryer, it was probably around 1010 pm. I had the other half of the mac n cheese before bed and 2 more fruit snacks. I also noticed late last night that the front camera does work after checking to see who delivered the better weight scale hopefully that I ordered on Amazon that was delivered last night. </t>
  </si>
  <si>
    <t>Woke up around 524 am when I saw the time on the monitor in room. I did the normal routine, cleaned the babies messes, gave Growly his meds and fed the babies after doing dishes from last night and restarted dryer after feeding babies. Did the receipt for clients, but didn't get around to their SOAP notes. Going to do that this morning. Had my coffee and a small BM before finishing the 1st cup. Had another cup of coffee, folded laundry and put away, then 3 fruit snacks, and made a 3rd cup of coffee before taking measurements. Was finished by SOAP notes and emailing receipt and SOAP notes to clients before finishing 2nd cup coffee. Measurements with new weight scale. My fat caliper measurements on abs is a huge increase, I was able to grab more fat today from abs, usually its tight against my ab muscles. I haven't worked out in months. And I am getting breast tenderness and a little bit emotional, getting ab cramps, so feel like my menstruation is going to start soon. We have a stretch class today after work, and going to grab something to eat other than fruit snacks before work. Showered and washed hair before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</si>
</sst>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xf numFmtId="2" fontId="0" fillId="0" borderId="0" xfId="0" applyNumberFormat="1" applyFill="1" applyAlignment="1">
      <alignment horizontal="right"/>
    </xf>
    <xf numFmtId="2" fontId="0" fillId="0" borderId="0" xfId="0" applyNumberForma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I395"/>
  <sheetViews>
    <sheetView workbookViewId="0">
      <pane ySplit="1" topLeftCell="A381" activePane="bottomLeft" state="frozen"/>
      <selection pane="bottomLeft" activeCell="B395" sqref="B395:H395"/>
    </sheetView>
  </sheetViews>
  <sheetFormatPr defaultRowHeight="14.4" x14ac:dyDescent="0.3"/>
  <cols>
    <col min="1" max="1" width="92.5546875" style="16" customWidth="1"/>
    <col min="4" max="4" width="19.109375" customWidth="1"/>
    <col min="5" max="6" width="16.109375" customWidth="1"/>
    <col min="7" max="7" width="17.33203125" customWidth="1"/>
  </cols>
  <sheetData>
    <row r="1" spans="1:8" x14ac:dyDescent="0.3">
      <c r="A1" s="16" t="s">
        <v>34</v>
      </c>
      <c r="B1" s="1" t="s">
        <v>33</v>
      </c>
      <c r="C1" s="2" t="s">
        <v>26</v>
      </c>
      <c r="D1" s="2" t="s">
        <v>27</v>
      </c>
      <c r="E1" s="2" t="s">
        <v>28</v>
      </c>
      <c r="F1" s="2" t="s">
        <v>88</v>
      </c>
      <c r="G1" s="2" t="s">
        <v>29</v>
      </c>
      <c r="H1" s="2" t="s">
        <v>32</v>
      </c>
    </row>
    <row r="2" spans="1:8" x14ac:dyDescent="0.3">
      <c r="A2" s="16" t="s">
        <v>35</v>
      </c>
      <c r="B2">
        <v>180</v>
      </c>
      <c r="C2">
        <v>2</v>
      </c>
      <c r="D2">
        <v>0</v>
      </c>
      <c r="E2">
        <v>6</v>
      </c>
      <c r="F2">
        <v>32</v>
      </c>
      <c r="G2">
        <v>2</v>
      </c>
      <c r="H2">
        <v>380</v>
      </c>
    </row>
    <row r="3" spans="1:8" x14ac:dyDescent="0.3">
      <c r="A3" s="16" t="s">
        <v>36</v>
      </c>
      <c r="B3">
        <v>140</v>
      </c>
      <c r="C3">
        <v>10</v>
      </c>
      <c r="D3">
        <v>3</v>
      </c>
      <c r="E3">
        <v>12</v>
      </c>
      <c r="F3">
        <v>0</v>
      </c>
      <c r="G3">
        <v>0</v>
      </c>
      <c r="H3">
        <v>140</v>
      </c>
    </row>
    <row r="4" spans="1:8" x14ac:dyDescent="0.3">
      <c r="A4" s="16" t="s">
        <v>37</v>
      </c>
      <c r="B4">
        <v>92</v>
      </c>
      <c r="C4">
        <v>0</v>
      </c>
      <c r="D4">
        <v>0</v>
      </c>
      <c r="E4">
        <v>2</v>
      </c>
      <c r="F4">
        <v>24</v>
      </c>
      <c r="G4">
        <v>2</v>
      </c>
      <c r="H4">
        <v>0</v>
      </c>
    </row>
    <row r="5" spans="1:8" x14ac:dyDescent="0.3">
      <c r="A5" s="16" t="s">
        <v>38</v>
      </c>
      <c r="B5">
        <v>120</v>
      </c>
      <c r="C5">
        <v>3</v>
      </c>
      <c r="D5">
        <v>2</v>
      </c>
      <c r="E5">
        <v>6</v>
      </c>
      <c r="F5">
        <v>19</v>
      </c>
      <c r="G5">
        <v>2</v>
      </c>
      <c r="H5">
        <v>330</v>
      </c>
    </row>
    <row r="6" spans="1:8" x14ac:dyDescent="0.3">
      <c r="A6" s="16" t="s">
        <v>279</v>
      </c>
      <c r="B6">
        <v>60</v>
      </c>
      <c r="C6">
        <v>5</v>
      </c>
      <c r="D6">
        <v>3.5</v>
      </c>
      <c r="E6">
        <v>1</v>
      </c>
      <c r="F6">
        <v>2</v>
      </c>
      <c r="G6">
        <v>0</v>
      </c>
      <c r="H6">
        <v>15</v>
      </c>
    </row>
    <row r="7" spans="1:8" x14ac:dyDescent="0.3">
      <c r="A7" s="16" t="s">
        <v>39</v>
      </c>
      <c r="B7">
        <v>81</v>
      </c>
      <c r="C7">
        <v>0</v>
      </c>
      <c r="D7">
        <v>0</v>
      </c>
      <c r="E7">
        <v>2</v>
      </c>
      <c r="F7">
        <v>21</v>
      </c>
      <c r="G7">
        <v>4</v>
      </c>
      <c r="H7">
        <v>2</v>
      </c>
    </row>
    <row r="8" spans="1:8" x14ac:dyDescent="0.3">
      <c r="A8" s="16" t="s">
        <v>332</v>
      </c>
      <c r="B8">
        <v>40</v>
      </c>
      <c r="C8">
        <v>0.2</v>
      </c>
      <c r="D8">
        <v>0.1</v>
      </c>
      <c r="E8">
        <v>0.6</v>
      </c>
      <c r="F8">
        <v>10.1</v>
      </c>
      <c r="G8">
        <v>1.4</v>
      </c>
      <c r="H8">
        <v>2</v>
      </c>
    </row>
    <row r="9" spans="1:8" x14ac:dyDescent="0.3">
      <c r="A9" s="16" t="s">
        <v>40</v>
      </c>
      <c r="B9">
        <v>15</v>
      </c>
      <c r="C9">
        <v>0</v>
      </c>
      <c r="D9">
        <v>0</v>
      </c>
      <c r="E9">
        <v>1</v>
      </c>
      <c r="F9">
        <v>3</v>
      </c>
      <c r="G9">
        <v>1</v>
      </c>
      <c r="H9">
        <v>290</v>
      </c>
    </row>
    <row r="10" spans="1:8" x14ac:dyDescent="0.3">
      <c r="A10" s="16" t="s">
        <v>41</v>
      </c>
      <c r="B10">
        <v>280</v>
      </c>
      <c r="C10">
        <v>7</v>
      </c>
      <c r="D10">
        <v>1</v>
      </c>
      <c r="E10">
        <v>8</v>
      </c>
      <c r="F10">
        <v>42</v>
      </c>
      <c r="G10">
        <v>8</v>
      </c>
      <c r="H10">
        <v>360</v>
      </c>
    </row>
    <row r="11" spans="1:8" x14ac:dyDescent="0.3">
      <c r="A11" s="16" t="s">
        <v>56</v>
      </c>
      <c r="B11">
        <v>210</v>
      </c>
      <c r="C11">
        <v>5.25</v>
      </c>
      <c r="D11">
        <v>0.75</v>
      </c>
      <c r="E11">
        <v>6</v>
      </c>
      <c r="F11">
        <v>31.5</v>
      </c>
      <c r="G11">
        <v>6</v>
      </c>
      <c r="H11">
        <v>270</v>
      </c>
    </row>
    <row r="12" spans="1:8" x14ac:dyDescent="0.3">
      <c r="A12" s="16" t="s">
        <v>57</v>
      </c>
      <c r="B12">
        <v>140</v>
      </c>
      <c r="C12">
        <v>3.5</v>
      </c>
      <c r="D12">
        <v>0.5</v>
      </c>
      <c r="E12">
        <v>4</v>
      </c>
      <c r="F12">
        <v>21</v>
      </c>
      <c r="G12">
        <v>4</v>
      </c>
      <c r="H12">
        <v>180</v>
      </c>
    </row>
    <row r="13" spans="1:8" x14ac:dyDescent="0.3">
      <c r="A13" s="16" t="s">
        <v>42</v>
      </c>
      <c r="B13">
        <v>161</v>
      </c>
      <c r="C13">
        <v>14.5</v>
      </c>
      <c r="D13">
        <v>2</v>
      </c>
      <c r="E13">
        <v>2</v>
      </c>
      <c r="F13">
        <v>8.5</v>
      </c>
      <c r="G13">
        <v>6.5</v>
      </c>
      <c r="H13">
        <v>7</v>
      </c>
    </row>
    <row r="14" spans="1:8" x14ac:dyDescent="0.3">
      <c r="A14" s="16" t="s">
        <v>52</v>
      </c>
      <c r="B14">
        <v>322</v>
      </c>
      <c r="C14">
        <v>29</v>
      </c>
      <c r="D14">
        <v>4</v>
      </c>
      <c r="E14">
        <v>4</v>
      </c>
      <c r="F14">
        <v>17</v>
      </c>
      <c r="G14">
        <v>18</v>
      </c>
      <c r="H14">
        <v>14</v>
      </c>
    </row>
    <row r="15" spans="1:8" x14ac:dyDescent="0.3">
      <c r="A15" s="16" t="s">
        <v>167</v>
      </c>
      <c r="B15">
        <f>0.75*322</f>
        <v>241.5</v>
      </c>
      <c r="C15">
        <f>29*0.75</f>
        <v>21.75</v>
      </c>
      <c r="D15">
        <f>4*0.75</f>
        <v>3</v>
      </c>
      <c r="E15">
        <f>4*0.75</f>
        <v>3</v>
      </c>
      <c r="F15">
        <f>17*0.75</f>
        <v>12.75</v>
      </c>
      <c r="G15">
        <f>18*0.75</f>
        <v>13.5</v>
      </c>
      <c r="H15">
        <f>14*0.75</f>
        <v>10.5</v>
      </c>
    </row>
    <row r="16" spans="1:8" x14ac:dyDescent="0.3">
      <c r="A16" s="16" t="s">
        <v>43</v>
      </c>
      <c r="B16">
        <v>150</v>
      </c>
      <c r="C16">
        <v>0</v>
      </c>
      <c r="D16">
        <v>0</v>
      </c>
      <c r="E16">
        <v>3</v>
      </c>
      <c r="F16">
        <v>14</v>
      </c>
      <c r="G16">
        <v>3</v>
      </c>
      <c r="H16">
        <v>30</v>
      </c>
    </row>
    <row r="17" spans="1:8" x14ac:dyDescent="0.3">
      <c r="A17" s="16" t="s">
        <v>45</v>
      </c>
      <c r="B17">
        <v>100</v>
      </c>
      <c r="C17">
        <v>0</v>
      </c>
      <c r="D17">
        <v>0</v>
      </c>
      <c r="E17">
        <v>2</v>
      </c>
      <c r="F17">
        <v>9</v>
      </c>
      <c r="G17">
        <v>2</v>
      </c>
      <c r="H17">
        <v>20</v>
      </c>
    </row>
    <row r="18" spans="1:8" x14ac:dyDescent="0.3">
      <c r="A18" s="16" t="s">
        <v>44</v>
      </c>
      <c r="B18">
        <v>130</v>
      </c>
      <c r="C18">
        <v>3</v>
      </c>
      <c r="D18">
        <v>2</v>
      </c>
      <c r="E18">
        <v>0</v>
      </c>
      <c r="F18">
        <v>19</v>
      </c>
      <c r="G18">
        <v>3</v>
      </c>
      <c r="H18">
        <v>670</v>
      </c>
    </row>
    <row r="19" spans="1:8" x14ac:dyDescent="0.3">
      <c r="A19" s="16" t="s">
        <v>46</v>
      </c>
      <c r="B19">
        <v>80</v>
      </c>
      <c r="C19">
        <v>5</v>
      </c>
      <c r="D19">
        <v>3.5</v>
      </c>
      <c r="E19">
        <v>6</v>
      </c>
      <c r="F19">
        <v>1</v>
      </c>
      <c r="G19">
        <v>0</v>
      </c>
      <c r="H19">
        <v>190</v>
      </c>
    </row>
    <row r="20" spans="1:8" x14ac:dyDescent="0.3">
      <c r="A20" s="16" t="s">
        <v>48</v>
      </c>
      <c r="B20">
        <v>290</v>
      </c>
      <c r="C20">
        <v>12</v>
      </c>
      <c r="D20">
        <v>6</v>
      </c>
      <c r="E20">
        <v>7</v>
      </c>
      <c r="F20">
        <v>39</v>
      </c>
      <c r="G20">
        <v>3</v>
      </c>
      <c r="H20">
        <v>1150</v>
      </c>
    </row>
    <row r="21" spans="1:8" x14ac:dyDescent="0.3">
      <c r="A21" s="16" t="s">
        <v>49</v>
      </c>
      <c r="B21">
        <v>60</v>
      </c>
      <c r="C21">
        <v>0.5</v>
      </c>
      <c r="D21">
        <v>0</v>
      </c>
      <c r="E21">
        <v>2</v>
      </c>
      <c r="F21">
        <v>11</v>
      </c>
      <c r="G21">
        <v>7</v>
      </c>
      <c r="H21">
        <v>0</v>
      </c>
    </row>
    <row r="22" spans="1:8" x14ac:dyDescent="0.3">
      <c r="A22" s="16" t="s">
        <v>451</v>
      </c>
      <c r="B22">
        <v>70</v>
      </c>
      <c r="C22">
        <v>1</v>
      </c>
      <c r="D22">
        <v>0</v>
      </c>
      <c r="E22">
        <v>2</v>
      </c>
      <c r="F22">
        <v>17</v>
      </c>
      <c r="G22">
        <v>9</v>
      </c>
      <c r="H22">
        <v>0</v>
      </c>
    </row>
    <row r="23" spans="1:8" x14ac:dyDescent="0.3">
      <c r="A23" s="16" t="s">
        <v>50</v>
      </c>
      <c r="B23">
        <v>42</v>
      </c>
      <c r="C23">
        <v>0</v>
      </c>
      <c r="D23">
        <v>0</v>
      </c>
      <c r="E23">
        <v>1</v>
      </c>
      <c r="F23">
        <v>13</v>
      </c>
      <c r="G23">
        <v>2</v>
      </c>
      <c r="H23">
        <v>1</v>
      </c>
    </row>
    <row r="24" spans="1:8" x14ac:dyDescent="0.3">
      <c r="A24" s="16" t="s">
        <v>51</v>
      </c>
      <c r="B24">
        <v>120</v>
      </c>
      <c r="C24">
        <v>3</v>
      </c>
      <c r="D24">
        <v>2</v>
      </c>
      <c r="E24">
        <v>6</v>
      </c>
      <c r="F24">
        <v>19</v>
      </c>
      <c r="G24">
        <v>2</v>
      </c>
      <c r="H24">
        <v>330</v>
      </c>
    </row>
    <row r="25" spans="1:8" x14ac:dyDescent="0.3">
      <c r="A25" s="16" t="s">
        <v>53</v>
      </c>
      <c r="B25">
        <v>8.5</v>
      </c>
      <c r="C25">
        <v>0</v>
      </c>
      <c r="D25">
        <v>0</v>
      </c>
      <c r="E25">
        <v>0</v>
      </c>
      <c r="F25">
        <v>36</v>
      </c>
      <c r="G25">
        <v>0</v>
      </c>
      <c r="H25">
        <v>1</v>
      </c>
    </row>
    <row r="26" spans="1:8" x14ac:dyDescent="0.3">
      <c r="A26" s="16" t="s">
        <v>54</v>
      </c>
      <c r="B26">
        <v>25</v>
      </c>
      <c r="C26">
        <v>0</v>
      </c>
      <c r="D26">
        <v>0</v>
      </c>
      <c r="E26">
        <v>0</v>
      </c>
      <c r="F26">
        <v>6</v>
      </c>
      <c r="G26">
        <v>1</v>
      </c>
      <c r="H26">
        <v>0</v>
      </c>
    </row>
    <row r="27" spans="1:8" x14ac:dyDescent="0.3">
      <c r="A27" s="16" t="s">
        <v>55</v>
      </c>
      <c r="B27">
        <v>8</v>
      </c>
      <c r="C27">
        <v>0.6</v>
      </c>
      <c r="D27">
        <v>0</v>
      </c>
      <c r="E27">
        <v>0.25</v>
      </c>
      <c r="F27">
        <v>0.25</v>
      </c>
      <c r="G27">
        <v>0.25</v>
      </c>
      <c r="H27">
        <v>40</v>
      </c>
    </row>
    <row r="28" spans="1:8" x14ac:dyDescent="0.3">
      <c r="A28" s="16" t="s">
        <v>58</v>
      </c>
      <c r="B28">
        <v>57</v>
      </c>
      <c r="C28">
        <v>0</v>
      </c>
      <c r="D28">
        <v>0</v>
      </c>
      <c r="E28">
        <v>0</v>
      </c>
      <c r="F28">
        <v>15</v>
      </c>
      <c r="G28">
        <v>3</v>
      </c>
      <c r="H28">
        <v>1</v>
      </c>
    </row>
    <row r="29" spans="1:8" x14ac:dyDescent="0.3">
      <c r="A29" s="16" t="s">
        <v>306</v>
      </c>
      <c r="B29">
        <v>62</v>
      </c>
      <c r="C29">
        <v>0.1</v>
      </c>
      <c r="D29">
        <v>0</v>
      </c>
      <c r="E29">
        <v>0.3</v>
      </c>
      <c r="F29">
        <v>14.9</v>
      </c>
      <c r="G29">
        <v>2.5</v>
      </c>
      <c r="H29">
        <v>0</v>
      </c>
    </row>
    <row r="30" spans="1:8" x14ac:dyDescent="0.3">
      <c r="A30" s="16" t="s">
        <v>59</v>
      </c>
      <c r="B30">
        <v>30</v>
      </c>
      <c r="C30">
        <v>0</v>
      </c>
      <c r="D30">
        <v>0</v>
      </c>
      <c r="E30">
        <v>0</v>
      </c>
      <c r="F30">
        <v>8</v>
      </c>
      <c r="G30">
        <v>1</v>
      </c>
      <c r="H30">
        <v>150</v>
      </c>
    </row>
    <row r="31" spans="1:8" x14ac:dyDescent="0.3">
      <c r="A31" s="16" t="s">
        <v>60</v>
      </c>
      <c r="B31">
        <v>70</v>
      </c>
      <c r="C31">
        <v>5</v>
      </c>
      <c r="D31">
        <v>3</v>
      </c>
      <c r="E31">
        <v>4</v>
      </c>
      <c r="F31">
        <v>1</v>
      </c>
      <c r="G31">
        <v>0</v>
      </c>
      <c r="H31">
        <v>250</v>
      </c>
    </row>
    <row r="32" spans="1:8" x14ac:dyDescent="0.3">
      <c r="A32" s="16" t="s">
        <v>61</v>
      </c>
      <c r="B32">
        <v>270</v>
      </c>
      <c r="C32">
        <v>7</v>
      </c>
      <c r="D32">
        <v>1</v>
      </c>
      <c r="E32">
        <v>6</v>
      </c>
      <c r="F32">
        <v>46</v>
      </c>
      <c r="G32">
        <v>3</v>
      </c>
      <c r="H32">
        <v>55</v>
      </c>
    </row>
    <row r="33" spans="1:8" x14ac:dyDescent="0.3">
      <c r="A33" s="16" t="s">
        <v>62</v>
      </c>
      <c r="B33">
        <v>25</v>
      </c>
      <c r="C33">
        <v>0</v>
      </c>
      <c r="D33">
        <v>0</v>
      </c>
      <c r="E33">
        <v>0</v>
      </c>
      <c r="F33">
        <v>6</v>
      </c>
      <c r="G33">
        <v>1</v>
      </c>
      <c r="H33">
        <v>0</v>
      </c>
    </row>
    <row r="34" spans="1:8" x14ac:dyDescent="0.3">
      <c r="A34" s="16" t="s">
        <v>63</v>
      </c>
      <c r="B34">
        <v>150</v>
      </c>
      <c r="C34">
        <v>8</v>
      </c>
      <c r="D34">
        <v>1</v>
      </c>
      <c r="E34">
        <v>2</v>
      </c>
      <c r="F34">
        <v>17</v>
      </c>
      <c r="G34">
        <v>1</v>
      </c>
      <c r="H34">
        <v>170</v>
      </c>
    </row>
    <row r="35" spans="1:8" x14ac:dyDescent="0.3">
      <c r="A35" s="16" t="s">
        <v>64</v>
      </c>
      <c r="B35">
        <f>SUM(B36:B39)</f>
        <v>528</v>
      </c>
      <c r="C35">
        <f>SUM(C36:C39)</f>
        <v>19.34</v>
      </c>
      <c r="D35">
        <f t="shared" ref="D35:G35" si="0">SUM(D36:D39)</f>
        <v>5.04</v>
      </c>
      <c r="E35">
        <f t="shared" si="0"/>
        <v>28</v>
      </c>
      <c r="F35">
        <f>SUM(F36:F39)</f>
        <v>62</v>
      </c>
      <c r="G35">
        <f t="shared" si="0"/>
        <v>7</v>
      </c>
      <c r="H35">
        <f>SUM(H36:H39)</f>
        <v>385.03</v>
      </c>
    </row>
    <row r="36" spans="1:8" x14ac:dyDescent="0.3">
      <c r="A36" s="16" t="s">
        <v>562</v>
      </c>
      <c r="B36">
        <v>200</v>
      </c>
      <c r="C36">
        <v>1</v>
      </c>
      <c r="D36">
        <v>0</v>
      </c>
      <c r="E36">
        <v>4</v>
      </c>
      <c r="F36">
        <v>44</v>
      </c>
      <c r="G36">
        <v>1</v>
      </c>
      <c r="H36">
        <v>0</v>
      </c>
    </row>
    <row r="37" spans="1:8" x14ac:dyDescent="0.3">
      <c r="A37" s="16" t="s">
        <v>180</v>
      </c>
      <c r="B37">
        <v>260</v>
      </c>
      <c r="C37">
        <v>18</v>
      </c>
      <c r="D37">
        <v>5</v>
      </c>
      <c r="E37">
        <v>20</v>
      </c>
      <c r="F37">
        <v>5</v>
      </c>
      <c r="G37">
        <v>2</v>
      </c>
      <c r="H37">
        <v>350</v>
      </c>
    </row>
    <row r="38" spans="1:8" x14ac:dyDescent="0.3">
      <c r="A38" s="16" t="s">
        <v>65</v>
      </c>
      <c r="B38">
        <v>31</v>
      </c>
      <c r="C38">
        <v>0.34</v>
      </c>
      <c r="D38">
        <v>0.04</v>
      </c>
      <c r="E38">
        <v>3</v>
      </c>
      <c r="F38">
        <v>6</v>
      </c>
      <c r="G38">
        <v>2</v>
      </c>
      <c r="H38">
        <v>30.03</v>
      </c>
    </row>
    <row r="39" spans="1:8" x14ac:dyDescent="0.3">
      <c r="A39" s="16" t="s">
        <v>66</v>
      </c>
      <c r="B39">
        <v>37</v>
      </c>
      <c r="C39">
        <v>0</v>
      </c>
      <c r="D39">
        <v>0</v>
      </c>
      <c r="E39">
        <v>1</v>
      </c>
      <c r="F39">
        <v>7</v>
      </c>
      <c r="G39">
        <v>2</v>
      </c>
      <c r="H39">
        <v>5</v>
      </c>
    </row>
    <row r="40" spans="1:8" x14ac:dyDescent="0.3">
      <c r="A40" s="16" t="s">
        <v>115</v>
      </c>
      <c r="B40">
        <v>40</v>
      </c>
      <c r="C40">
        <v>0</v>
      </c>
      <c r="D40">
        <v>0</v>
      </c>
      <c r="E40">
        <v>1</v>
      </c>
      <c r="F40">
        <v>10</v>
      </c>
      <c r="G40">
        <v>3</v>
      </c>
      <c r="H40">
        <v>0</v>
      </c>
    </row>
    <row r="41" spans="1:8" x14ac:dyDescent="0.3">
      <c r="A41" s="16" t="s">
        <v>278</v>
      </c>
      <c r="B41">
        <v>27</v>
      </c>
      <c r="C41">
        <v>0</v>
      </c>
      <c r="D41">
        <v>0</v>
      </c>
      <c r="E41">
        <v>1</v>
      </c>
      <c r="F41">
        <v>6</v>
      </c>
      <c r="G41">
        <v>1</v>
      </c>
      <c r="H41">
        <v>2</v>
      </c>
    </row>
    <row r="42" spans="1:8" x14ac:dyDescent="0.3">
      <c r="A42" s="16" t="s">
        <v>67</v>
      </c>
      <c r="B42">
        <v>105</v>
      </c>
      <c r="C42">
        <v>0</v>
      </c>
      <c r="D42">
        <v>0</v>
      </c>
      <c r="E42">
        <v>1</v>
      </c>
      <c r="F42">
        <v>27</v>
      </c>
      <c r="G42">
        <v>3</v>
      </c>
      <c r="H42">
        <v>1</v>
      </c>
    </row>
    <row r="43" spans="1:8" x14ac:dyDescent="0.3">
      <c r="A43" s="16" t="s">
        <v>68</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3">
      <c r="A44" s="16" t="s">
        <v>69</v>
      </c>
      <c r="B44">
        <v>180</v>
      </c>
      <c r="C44">
        <v>3.5</v>
      </c>
      <c r="D44">
        <v>0</v>
      </c>
      <c r="E44">
        <v>24</v>
      </c>
      <c r="F44">
        <v>20</v>
      </c>
      <c r="G44">
        <v>13</v>
      </c>
      <c r="H44">
        <v>0</v>
      </c>
    </row>
    <row r="45" spans="1:8" x14ac:dyDescent="0.3">
      <c r="A45" s="16" t="s">
        <v>70</v>
      </c>
      <c r="B45">
        <v>220</v>
      </c>
      <c r="C45">
        <v>13</v>
      </c>
      <c r="D45">
        <v>7</v>
      </c>
      <c r="E45">
        <v>17</v>
      </c>
      <c r="F45">
        <v>12</v>
      </c>
      <c r="G45">
        <v>3</v>
      </c>
      <c r="H45">
        <v>570</v>
      </c>
    </row>
    <row r="46" spans="1:8" x14ac:dyDescent="0.3">
      <c r="A46" s="16" t="s">
        <v>71</v>
      </c>
      <c r="B46">
        <v>60</v>
      </c>
      <c r="C46">
        <v>1</v>
      </c>
      <c r="D46">
        <v>0</v>
      </c>
      <c r="E46">
        <v>2</v>
      </c>
      <c r="F46">
        <v>12</v>
      </c>
      <c r="G46">
        <v>2</v>
      </c>
      <c r="H46">
        <v>420</v>
      </c>
    </row>
    <row r="47" spans="1:8" x14ac:dyDescent="0.3">
      <c r="A47" s="16" t="s">
        <v>73</v>
      </c>
      <c r="B47">
        <v>104</v>
      </c>
      <c r="C47">
        <v>0</v>
      </c>
      <c r="D47">
        <v>0</v>
      </c>
      <c r="E47">
        <v>1</v>
      </c>
      <c r="F47">
        <v>27</v>
      </c>
      <c r="G47">
        <v>1</v>
      </c>
      <c r="H47">
        <v>3</v>
      </c>
    </row>
    <row r="48" spans="1:8" x14ac:dyDescent="0.3">
      <c r="A48" s="16" t="s">
        <v>74</v>
      </c>
      <c r="B48">
        <v>90</v>
      </c>
      <c r="C48">
        <v>3.5</v>
      </c>
      <c r="D48">
        <v>1</v>
      </c>
      <c r="E48">
        <v>3</v>
      </c>
      <c r="F48">
        <v>12</v>
      </c>
      <c r="G48">
        <v>3</v>
      </c>
      <c r="H48">
        <v>460</v>
      </c>
    </row>
    <row r="49" spans="1:8" x14ac:dyDescent="0.3">
      <c r="A49" s="16" t="s">
        <v>114</v>
      </c>
      <c r="B49">
        <v>20</v>
      </c>
      <c r="C49">
        <v>1.5</v>
      </c>
      <c r="D49">
        <v>1</v>
      </c>
      <c r="E49">
        <v>2</v>
      </c>
      <c r="F49">
        <v>0</v>
      </c>
      <c r="G49">
        <v>0</v>
      </c>
      <c r="H49">
        <v>100</v>
      </c>
    </row>
    <row r="50" spans="1:8" x14ac:dyDescent="0.3">
      <c r="A50" s="16" t="s">
        <v>75</v>
      </c>
      <c r="B50">
        <v>120</v>
      </c>
      <c r="C50">
        <v>14</v>
      </c>
      <c r="D50">
        <v>2</v>
      </c>
      <c r="E50">
        <v>0</v>
      </c>
      <c r="F50">
        <v>0</v>
      </c>
      <c r="G50">
        <v>0</v>
      </c>
      <c r="H50">
        <v>0</v>
      </c>
    </row>
    <row r="51" spans="1:8" x14ac:dyDescent="0.3">
      <c r="A51" s="16" t="s">
        <v>76</v>
      </c>
      <c r="B51">
        <v>190</v>
      </c>
      <c r="C51">
        <v>0</v>
      </c>
      <c r="D51">
        <v>0</v>
      </c>
      <c r="E51">
        <v>6</v>
      </c>
      <c r="F51">
        <v>41</v>
      </c>
      <c r="G51">
        <v>7</v>
      </c>
      <c r="H51">
        <v>1450</v>
      </c>
    </row>
    <row r="52" spans="1:8" x14ac:dyDescent="0.3">
      <c r="A52" s="16" t="s">
        <v>77</v>
      </c>
      <c r="B52">
        <v>107</v>
      </c>
      <c r="C52">
        <v>0</v>
      </c>
      <c r="D52">
        <v>0</v>
      </c>
      <c r="E52">
        <v>1</v>
      </c>
      <c r="F52">
        <v>28</v>
      </c>
      <c r="G52">
        <v>3</v>
      </c>
      <c r="H52">
        <v>3</v>
      </c>
    </row>
    <row r="53" spans="1:8" x14ac:dyDescent="0.3">
      <c r="A53" s="16" t="s">
        <v>78</v>
      </c>
      <c r="B53">
        <v>140</v>
      </c>
      <c r="C53">
        <v>7</v>
      </c>
      <c r="D53">
        <v>5</v>
      </c>
      <c r="E53">
        <v>2</v>
      </c>
      <c r="F53">
        <v>18</v>
      </c>
      <c r="G53">
        <v>2</v>
      </c>
      <c r="H53">
        <v>90</v>
      </c>
    </row>
    <row r="54" spans="1:8" x14ac:dyDescent="0.3">
      <c r="A54" s="16" t="s">
        <v>79</v>
      </c>
      <c r="B54">
        <v>200</v>
      </c>
      <c r="C54">
        <v>9</v>
      </c>
      <c r="D54">
        <v>9</v>
      </c>
      <c r="E54">
        <v>12</v>
      </c>
      <c r="F54">
        <v>1</v>
      </c>
      <c r="G54">
        <v>0</v>
      </c>
      <c r="H54">
        <v>340</v>
      </c>
    </row>
    <row r="55" spans="1:8" x14ac:dyDescent="0.3">
      <c r="A55" s="16" t="s">
        <v>80</v>
      </c>
      <c r="B55">
        <v>340</v>
      </c>
      <c r="C55">
        <v>5</v>
      </c>
      <c r="D55">
        <v>0</v>
      </c>
      <c r="E55">
        <v>17</v>
      </c>
      <c r="F55">
        <v>57</v>
      </c>
      <c r="G55">
        <v>16</v>
      </c>
      <c r="H55">
        <v>1670</v>
      </c>
    </row>
    <row r="56" spans="1:8" x14ac:dyDescent="0.3">
      <c r="A56" s="16" t="s">
        <v>81</v>
      </c>
      <c r="B56">
        <v>150</v>
      </c>
      <c r="C56">
        <v>1</v>
      </c>
      <c r="D56">
        <v>0</v>
      </c>
      <c r="E56">
        <v>3</v>
      </c>
      <c r="F56">
        <v>33</v>
      </c>
      <c r="G56">
        <v>2</v>
      </c>
      <c r="H56">
        <v>280</v>
      </c>
    </row>
    <row r="57" spans="1:8" x14ac:dyDescent="0.3">
      <c r="A57" s="16" t="s">
        <v>90</v>
      </c>
      <c r="B57">
        <v>100</v>
      </c>
      <c r="C57">
        <v>1</v>
      </c>
      <c r="D57">
        <v>0</v>
      </c>
      <c r="E57">
        <v>2</v>
      </c>
      <c r="F57">
        <v>21</v>
      </c>
      <c r="G57">
        <v>2</v>
      </c>
      <c r="H57">
        <v>20</v>
      </c>
    </row>
    <row r="58" spans="1:8" x14ac:dyDescent="0.3">
      <c r="A58" s="16" t="s">
        <v>106</v>
      </c>
      <c r="B58">
        <v>200</v>
      </c>
      <c r="C58">
        <v>13</v>
      </c>
      <c r="D58">
        <v>12</v>
      </c>
      <c r="E58">
        <v>2</v>
      </c>
      <c r="F58">
        <v>22</v>
      </c>
      <c r="G58">
        <v>2</v>
      </c>
      <c r="H58">
        <v>20</v>
      </c>
    </row>
    <row r="59" spans="1:8" x14ac:dyDescent="0.3">
      <c r="A59" s="16" t="s">
        <v>108</v>
      </c>
      <c r="B59">
        <v>160</v>
      </c>
      <c r="C59">
        <v>7</v>
      </c>
      <c r="D59">
        <v>2</v>
      </c>
      <c r="E59">
        <v>2</v>
      </c>
      <c r="F59">
        <v>21</v>
      </c>
      <c r="G59">
        <v>2</v>
      </c>
      <c r="H59">
        <v>0</v>
      </c>
    </row>
    <row r="60" spans="1:8" x14ac:dyDescent="0.3">
      <c r="A60" s="16" t="s">
        <v>109</v>
      </c>
      <c r="B60">
        <f>0.66*160</f>
        <v>105.60000000000001</v>
      </c>
      <c r="C60">
        <f>0.66*7</f>
        <v>4.62</v>
      </c>
      <c r="D60">
        <f>0.66*2</f>
        <v>1.32</v>
      </c>
      <c r="E60">
        <f>0.66*2</f>
        <v>1.32</v>
      </c>
      <c r="F60">
        <f>0.66*21</f>
        <v>13.860000000000001</v>
      </c>
      <c r="G60">
        <f>0.66*2</f>
        <v>1.32</v>
      </c>
      <c r="H60">
        <v>0</v>
      </c>
    </row>
    <row r="61" spans="1:8" x14ac:dyDescent="0.3">
      <c r="A61" s="16" t="s">
        <v>110</v>
      </c>
      <c r="B61">
        <v>330</v>
      </c>
      <c r="C61">
        <v>2.5</v>
      </c>
      <c r="D61">
        <v>0.5</v>
      </c>
      <c r="E61">
        <v>23</v>
      </c>
      <c r="F61">
        <v>61</v>
      </c>
      <c r="G61">
        <v>11</v>
      </c>
      <c r="H61">
        <v>0</v>
      </c>
    </row>
    <row r="62" spans="1:8" x14ac:dyDescent="0.3">
      <c r="A62" s="16" t="s">
        <v>111</v>
      </c>
      <c r="B62">
        <v>90</v>
      </c>
      <c r="C62">
        <v>2</v>
      </c>
      <c r="D62">
        <v>2</v>
      </c>
      <c r="E62">
        <v>3</v>
      </c>
      <c r="F62">
        <v>18</v>
      </c>
      <c r="G62">
        <v>4</v>
      </c>
      <c r="H62">
        <v>500</v>
      </c>
    </row>
    <row r="63" spans="1:8" x14ac:dyDescent="0.3">
      <c r="A63" s="16" t="s">
        <v>119</v>
      </c>
      <c r="B63">
        <v>123</v>
      </c>
      <c r="C63">
        <v>0</v>
      </c>
      <c r="D63">
        <v>0</v>
      </c>
      <c r="E63">
        <v>0</v>
      </c>
      <c r="F63">
        <v>4</v>
      </c>
      <c r="G63">
        <v>0</v>
      </c>
      <c r="H63">
        <v>6</v>
      </c>
    </row>
    <row r="64" spans="1:8" x14ac:dyDescent="0.3">
      <c r="A64" s="16" t="s">
        <v>123</v>
      </c>
      <c r="B64">
        <f>123*5</f>
        <v>615</v>
      </c>
      <c r="C64">
        <v>0</v>
      </c>
      <c r="D64">
        <v>0</v>
      </c>
      <c r="E64">
        <v>0</v>
      </c>
      <c r="F64">
        <f>4*5</f>
        <v>20</v>
      </c>
      <c r="G64">
        <v>0</v>
      </c>
      <c r="H64">
        <f>6*5</f>
        <v>30</v>
      </c>
    </row>
    <row r="65" spans="1:8" x14ac:dyDescent="0.3">
      <c r="A65" s="16" t="s">
        <v>282</v>
      </c>
      <c r="B65">
        <v>5</v>
      </c>
      <c r="C65">
        <v>0</v>
      </c>
      <c r="D65">
        <v>0</v>
      </c>
      <c r="E65">
        <v>0</v>
      </c>
      <c r="F65">
        <v>1</v>
      </c>
      <c r="G65">
        <v>0</v>
      </c>
      <c r="H65">
        <v>0</v>
      </c>
    </row>
    <row r="66" spans="1:8" x14ac:dyDescent="0.3">
      <c r="A66" s="16" t="s">
        <v>121</v>
      </c>
      <c r="B66">
        <v>100</v>
      </c>
      <c r="C66">
        <v>0</v>
      </c>
      <c r="D66">
        <v>0</v>
      </c>
      <c r="E66">
        <v>0</v>
      </c>
      <c r="F66">
        <v>25</v>
      </c>
      <c r="G66">
        <v>2</v>
      </c>
      <c r="H66">
        <v>0</v>
      </c>
    </row>
    <row r="67" spans="1:8" x14ac:dyDescent="0.3">
      <c r="A67" s="16" t="s">
        <v>122</v>
      </c>
      <c r="B67">
        <v>200</v>
      </c>
      <c r="C67">
        <v>0</v>
      </c>
      <c r="D67">
        <v>0</v>
      </c>
      <c r="E67">
        <v>0</v>
      </c>
      <c r="F67">
        <v>50</v>
      </c>
      <c r="G67">
        <v>4</v>
      </c>
      <c r="H67">
        <v>0</v>
      </c>
    </row>
    <row r="68" spans="1:8" x14ac:dyDescent="0.3">
      <c r="A68" s="16" t="s">
        <v>133</v>
      </c>
      <c r="B68">
        <v>42</v>
      </c>
      <c r="C68">
        <v>0.4</v>
      </c>
      <c r="D68">
        <v>0</v>
      </c>
      <c r="E68">
        <v>1</v>
      </c>
      <c r="F68">
        <v>10</v>
      </c>
      <c r="G68">
        <v>2.2000000000000002</v>
      </c>
      <c r="H68">
        <v>412</v>
      </c>
    </row>
    <row r="69" spans="1:8" x14ac:dyDescent="0.3">
      <c r="A69" s="16" t="s">
        <v>134</v>
      </c>
      <c r="B69">
        <v>22.1</v>
      </c>
      <c r="C69">
        <v>0.2</v>
      </c>
      <c r="D69">
        <v>0</v>
      </c>
      <c r="E69">
        <v>1.1000000000000001</v>
      </c>
      <c r="F69">
        <v>4.8</v>
      </c>
      <c r="G69">
        <v>1.5</v>
      </c>
      <c r="H69">
        <v>6.2</v>
      </c>
    </row>
    <row r="70" spans="1:8" x14ac:dyDescent="0.3">
      <c r="A70" s="16" t="s">
        <v>135</v>
      </c>
      <c r="B70">
        <v>190</v>
      </c>
      <c r="C70">
        <v>18</v>
      </c>
      <c r="D70">
        <v>1.5</v>
      </c>
      <c r="E70">
        <v>4</v>
      </c>
      <c r="F70">
        <v>4</v>
      </c>
      <c r="G70">
        <v>2</v>
      </c>
      <c r="H70">
        <v>0</v>
      </c>
    </row>
    <row r="71" spans="1:8" x14ac:dyDescent="0.3">
      <c r="A71" s="16" t="s">
        <v>136</v>
      </c>
      <c r="B71">
        <v>100</v>
      </c>
      <c r="C71">
        <v>8</v>
      </c>
      <c r="D71">
        <v>5</v>
      </c>
      <c r="E71">
        <v>7</v>
      </c>
      <c r="F71">
        <v>0</v>
      </c>
      <c r="G71">
        <v>0</v>
      </c>
      <c r="H71">
        <v>170</v>
      </c>
    </row>
    <row r="72" spans="1:8" x14ac:dyDescent="0.3">
      <c r="A72" s="16" t="s">
        <v>151</v>
      </c>
      <c r="B72">
        <v>100</v>
      </c>
      <c r="C72">
        <v>8</v>
      </c>
      <c r="D72">
        <v>4.5</v>
      </c>
      <c r="E72">
        <v>5</v>
      </c>
      <c r="F72">
        <v>2</v>
      </c>
      <c r="G72">
        <v>0</v>
      </c>
      <c r="H72">
        <v>360</v>
      </c>
    </row>
    <row r="73" spans="1:8" x14ac:dyDescent="0.3">
      <c r="A73" s="16" t="s">
        <v>154</v>
      </c>
      <c r="B73">
        <v>240</v>
      </c>
      <c r="C73">
        <v>2</v>
      </c>
      <c r="D73">
        <v>0</v>
      </c>
      <c r="E73">
        <v>2</v>
      </c>
      <c r="F73">
        <v>54</v>
      </c>
      <c r="G73">
        <v>1</v>
      </c>
      <c r="H73">
        <v>490</v>
      </c>
    </row>
    <row r="74" spans="1:8" x14ac:dyDescent="0.3">
      <c r="A74" s="16" t="s">
        <v>155</v>
      </c>
      <c r="B74">
        <f>240*6</f>
        <v>1440</v>
      </c>
      <c r="C74">
        <v>12</v>
      </c>
      <c r="D74">
        <v>0</v>
      </c>
      <c r="E74">
        <v>12</v>
      </c>
      <c r="F74">
        <f>54*6</f>
        <v>324</v>
      </c>
      <c r="G74">
        <v>6</v>
      </c>
      <c r="H74">
        <f>490*6</f>
        <v>2940</v>
      </c>
    </row>
    <row r="75" spans="1:8" x14ac:dyDescent="0.3">
      <c r="A75" s="16" t="s">
        <v>157</v>
      </c>
      <c r="B75">
        <v>100</v>
      </c>
      <c r="C75">
        <v>8</v>
      </c>
      <c r="D75">
        <v>4.5</v>
      </c>
      <c r="E75">
        <v>5</v>
      </c>
      <c r="F75">
        <v>2</v>
      </c>
      <c r="G75">
        <v>1</v>
      </c>
      <c r="H75">
        <v>360</v>
      </c>
    </row>
    <row r="76" spans="1:8" x14ac:dyDescent="0.3">
      <c r="A76" s="16" t="s">
        <v>163</v>
      </c>
      <c r="B76">
        <v>130</v>
      </c>
      <c r="C76">
        <v>3</v>
      </c>
      <c r="D76">
        <v>0</v>
      </c>
      <c r="E76">
        <v>3</v>
      </c>
      <c r="F76">
        <v>23</v>
      </c>
      <c r="G76">
        <v>2</v>
      </c>
      <c r="H76">
        <v>620</v>
      </c>
    </row>
    <row r="77" spans="1:8" x14ac:dyDescent="0.3">
      <c r="A77" s="16" t="s">
        <v>169</v>
      </c>
      <c r="B77">
        <v>60</v>
      </c>
      <c r="C77">
        <v>4</v>
      </c>
      <c r="D77">
        <v>2.5</v>
      </c>
      <c r="E77">
        <v>5</v>
      </c>
      <c r="F77">
        <v>1</v>
      </c>
      <c r="G77">
        <v>0</v>
      </c>
      <c r="H77">
        <v>140</v>
      </c>
    </row>
    <row r="78" spans="1:8" x14ac:dyDescent="0.3">
      <c r="A78" s="16" t="s">
        <v>168</v>
      </c>
      <c r="B78">
        <v>80</v>
      </c>
      <c r="C78">
        <v>6</v>
      </c>
      <c r="D78">
        <v>4</v>
      </c>
      <c r="E78">
        <v>5</v>
      </c>
      <c r="F78">
        <v>0</v>
      </c>
      <c r="G78">
        <v>0</v>
      </c>
      <c r="H78">
        <v>130</v>
      </c>
    </row>
    <row r="79" spans="1:8" x14ac:dyDescent="0.3">
      <c r="A79" s="16" t="s">
        <v>172</v>
      </c>
      <c r="B79">
        <v>330</v>
      </c>
      <c r="C79">
        <v>2.5</v>
      </c>
      <c r="D79">
        <v>0.5</v>
      </c>
      <c r="E79">
        <v>23</v>
      </c>
      <c r="F79">
        <v>61</v>
      </c>
      <c r="G79">
        <v>11</v>
      </c>
      <c r="H79">
        <v>0</v>
      </c>
    </row>
    <row r="80" spans="1:8" x14ac:dyDescent="0.3">
      <c r="A80" s="16" t="s">
        <v>173</v>
      </c>
      <c r="B80">
        <v>8</v>
      </c>
      <c r="C80">
        <v>0</v>
      </c>
      <c r="D80">
        <v>0</v>
      </c>
      <c r="E80">
        <v>0.77</v>
      </c>
      <c r="F80">
        <v>1.1000000000000001</v>
      </c>
      <c r="G80">
        <v>0.5</v>
      </c>
      <c r="H80">
        <v>8</v>
      </c>
    </row>
    <row r="81" spans="1:8" x14ac:dyDescent="0.3">
      <c r="A81" s="16" t="s">
        <v>178</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3">
      <c r="A82" s="16" t="s">
        <v>179</v>
      </c>
      <c r="B82">
        <f>SUM(B37,B62*3)/4</f>
        <v>132.5</v>
      </c>
      <c r="C82">
        <f t="shared" ref="C82:H82" si="3">SUM(C37,C62*3)/4</f>
        <v>6</v>
      </c>
      <c r="D82">
        <f t="shared" si="3"/>
        <v>2.75</v>
      </c>
      <c r="E82">
        <f t="shared" si="3"/>
        <v>7.25</v>
      </c>
      <c r="F82">
        <f t="shared" si="3"/>
        <v>14.75</v>
      </c>
      <c r="G82">
        <f t="shared" si="3"/>
        <v>3.5</v>
      </c>
      <c r="H82">
        <f t="shared" si="3"/>
        <v>462.5</v>
      </c>
    </row>
    <row r="83" spans="1:8" x14ac:dyDescent="0.3">
      <c r="A83" s="16" t="s">
        <v>181</v>
      </c>
      <c r="B83">
        <v>118</v>
      </c>
      <c r="C83">
        <v>0</v>
      </c>
      <c r="D83">
        <v>0</v>
      </c>
      <c r="E83">
        <v>2</v>
      </c>
      <c r="F83">
        <v>28</v>
      </c>
      <c r="G83">
        <v>4</v>
      </c>
      <c r="H83">
        <v>9</v>
      </c>
    </row>
    <row r="84" spans="1:8" x14ac:dyDescent="0.3">
      <c r="A84" s="16" t="s">
        <v>191</v>
      </c>
      <c r="B84">
        <v>100</v>
      </c>
      <c r="C84">
        <v>1</v>
      </c>
      <c r="D84">
        <v>0</v>
      </c>
      <c r="E84">
        <v>2</v>
      </c>
      <c r="F84">
        <v>21</v>
      </c>
      <c r="G84">
        <v>2</v>
      </c>
      <c r="H84">
        <v>60</v>
      </c>
    </row>
    <row r="85" spans="1:8" x14ac:dyDescent="0.3">
      <c r="A85" s="16" t="s">
        <v>192</v>
      </c>
      <c r="B85">
        <v>60</v>
      </c>
      <c r="C85">
        <v>5</v>
      </c>
      <c r="D85">
        <v>3.5</v>
      </c>
      <c r="E85">
        <v>1</v>
      </c>
      <c r="F85">
        <v>0</v>
      </c>
      <c r="G85">
        <v>1</v>
      </c>
      <c r="H85">
        <v>15</v>
      </c>
    </row>
    <row r="86" spans="1:8" x14ac:dyDescent="0.3">
      <c r="A86" s="16" t="s">
        <v>253</v>
      </c>
      <c r="B86">
        <v>36</v>
      </c>
      <c r="C86">
        <v>0</v>
      </c>
      <c r="D86">
        <v>0</v>
      </c>
      <c r="E86">
        <v>1</v>
      </c>
      <c r="F86">
        <v>7</v>
      </c>
      <c r="G86">
        <v>1</v>
      </c>
      <c r="H86">
        <v>18</v>
      </c>
    </row>
    <row r="87" spans="1:8" x14ac:dyDescent="0.3">
      <c r="A87" s="16" t="s">
        <v>258</v>
      </c>
      <c r="B87">
        <v>40</v>
      </c>
      <c r="C87">
        <v>3</v>
      </c>
      <c r="D87">
        <v>0</v>
      </c>
      <c r="E87">
        <v>1</v>
      </c>
      <c r="F87">
        <v>2</v>
      </c>
      <c r="G87">
        <v>1</v>
      </c>
      <c r="H87">
        <v>180</v>
      </c>
    </row>
    <row r="88" spans="1:8" x14ac:dyDescent="0.3">
      <c r="A88" s="16" t="s">
        <v>259</v>
      </c>
      <c r="B88">
        <v>200</v>
      </c>
      <c r="C88">
        <v>20</v>
      </c>
      <c r="D88">
        <v>2</v>
      </c>
      <c r="E88">
        <v>5</v>
      </c>
      <c r="F88">
        <v>4</v>
      </c>
      <c r="G88">
        <v>2</v>
      </c>
      <c r="H88">
        <v>0</v>
      </c>
    </row>
    <row r="89" spans="1:8" x14ac:dyDescent="0.3">
      <c r="A89" s="16" t="s">
        <v>367</v>
      </c>
      <c r="B89">
        <v>10</v>
      </c>
      <c r="C89">
        <v>0.5</v>
      </c>
      <c r="D89">
        <v>0</v>
      </c>
      <c r="E89">
        <v>1</v>
      </c>
      <c r="F89">
        <v>3</v>
      </c>
      <c r="G89">
        <v>1</v>
      </c>
      <c r="H89">
        <v>0</v>
      </c>
    </row>
    <row r="90" spans="1:8" x14ac:dyDescent="0.3">
      <c r="A90" s="16" t="s">
        <v>265</v>
      </c>
      <c r="B90">
        <f>SUM(B91:B96)</f>
        <v>788</v>
      </c>
      <c r="C90">
        <f t="shared" ref="C90:H90" si="4">SUM(C91:C96)</f>
        <v>24.34</v>
      </c>
      <c r="D90">
        <f t="shared" si="4"/>
        <v>6.54</v>
      </c>
      <c r="E90">
        <f t="shared" si="4"/>
        <v>51</v>
      </c>
      <c r="F90">
        <f t="shared" si="4"/>
        <v>101</v>
      </c>
      <c r="G90">
        <f t="shared" si="4"/>
        <v>23</v>
      </c>
      <c r="H90">
        <f t="shared" si="4"/>
        <v>845.03</v>
      </c>
    </row>
    <row r="91" spans="1:8" x14ac:dyDescent="0.3">
      <c r="A91" s="16" t="s">
        <v>264</v>
      </c>
      <c r="B91">
        <v>330</v>
      </c>
      <c r="C91">
        <v>2.5</v>
      </c>
      <c r="D91">
        <v>0.5</v>
      </c>
      <c r="E91">
        <v>23</v>
      </c>
      <c r="F91">
        <v>61</v>
      </c>
      <c r="G91">
        <v>11</v>
      </c>
      <c r="H91">
        <v>0</v>
      </c>
    </row>
    <row r="92" spans="1:8" x14ac:dyDescent="0.3">
      <c r="A92" s="16" t="s">
        <v>65</v>
      </c>
      <c r="B92">
        <v>31</v>
      </c>
      <c r="C92">
        <v>0.34</v>
      </c>
      <c r="D92">
        <v>0.04</v>
      </c>
      <c r="E92">
        <v>3</v>
      </c>
      <c r="F92">
        <v>6</v>
      </c>
      <c r="G92">
        <v>2</v>
      </c>
      <c r="H92">
        <v>30.03</v>
      </c>
    </row>
    <row r="93" spans="1:8" x14ac:dyDescent="0.3">
      <c r="A93" s="16" t="s">
        <v>66</v>
      </c>
      <c r="B93">
        <v>37</v>
      </c>
      <c r="C93">
        <v>0</v>
      </c>
      <c r="D93">
        <v>0</v>
      </c>
      <c r="E93">
        <v>1</v>
      </c>
      <c r="F93">
        <v>7</v>
      </c>
      <c r="G93">
        <v>2</v>
      </c>
      <c r="H93">
        <v>5</v>
      </c>
    </row>
    <row r="94" spans="1:8" x14ac:dyDescent="0.3">
      <c r="A94" s="16" t="s">
        <v>115</v>
      </c>
      <c r="B94">
        <v>40</v>
      </c>
      <c r="C94">
        <v>0</v>
      </c>
      <c r="D94">
        <v>0</v>
      </c>
      <c r="E94">
        <v>1</v>
      </c>
      <c r="F94">
        <v>10</v>
      </c>
      <c r="G94">
        <v>3</v>
      </c>
      <c r="H94">
        <v>0</v>
      </c>
    </row>
    <row r="95" spans="1:8" x14ac:dyDescent="0.3">
      <c r="A95" s="16" t="s">
        <v>180</v>
      </c>
      <c r="B95">
        <v>260</v>
      </c>
      <c r="C95">
        <v>18</v>
      </c>
      <c r="D95">
        <v>5</v>
      </c>
      <c r="E95">
        <v>20</v>
      </c>
      <c r="F95">
        <v>5</v>
      </c>
      <c r="G95">
        <v>2</v>
      </c>
      <c r="H95">
        <v>350</v>
      </c>
    </row>
    <row r="96" spans="1:8" x14ac:dyDescent="0.3">
      <c r="A96" s="16" t="s">
        <v>266</v>
      </c>
      <c r="B96">
        <v>90</v>
      </c>
      <c r="C96">
        <v>3.5</v>
      </c>
      <c r="D96">
        <v>1</v>
      </c>
      <c r="E96">
        <v>3</v>
      </c>
      <c r="F96">
        <v>12</v>
      </c>
      <c r="G96">
        <v>3</v>
      </c>
      <c r="H96">
        <v>460</v>
      </c>
    </row>
    <row r="97" spans="1:8" x14ac:dyDescent="0.3">
      <c r="A97" s="16" t="s">
        <v>267</v>
      </c>
      <c r="B97">
        <v>60</v>
      </c>
      <c r="C97">
        <v>0</v>
      </c>
      <c r="D97">
        <v>0</v>
      </c>
      <c r="E97">
        <v>0</v>
      </c>
      <c r="F97">
        <v>17</v>
      </c>
      <c r="G97">
        <v>0</v>
      </c>
      <c r="H97">
        <v>0</v>
      </c>
    </row>
    <row r="98" spans="1:8" x14ac:dyDescent="0.3">
      <c r="A98" s="16" t="s">
        <v>274</v>
      </c>
      <c r="B98">
        <v>70</v>
      </c>
      <c r="C98">
        <v>5</v>
      </c>
      <c r="D98">
        <v>3</v>
      </c>
      <c r="E98">
        <v>5</v>
      </c>
      <c r="F98">
        <v>0</v>
      </c>
      <c r="G98">
        <v>0</v>
      </c>
      <c r="H98">
        <v>170</v>
      </c>
    </row>
    <row r="99" spans="1:8" x14ac:dyDescent="0.3">
      <c r="A99" s="16" t="s">
        <v>277</v>
      </c>
      <c r="B99">
        <v>30</v>
      </c>
      <c r="C99">
        <v>0</v>
      </c>
      <c r="D99">
        <v>0</v>
      </c>
      <c r="E99">
        <v>2</v>
      </c>
      <c r="F99">
        <v>6</v>
      </c>
      <c r="G99">
        <v>2</v>
      </c>
      <c r="H99">
        <v>5</v>
      </c>
    </row>
    <row r="100" spans="1:8" x14ac:dyDescent="0.3">
      <c r="A100" s="16" t="s">
        <v>280</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3">
      <c r="A101" s="16" t="s">
        <v>284</v>
      </c>
      <c r="B101">
        <f>122*8/5</f>
        <v>195.2</v>
      </c>
      <c r="C101">
        <v>0</v>
      </c>
      <c r="D101">
        <v>0</v>
      </c>
      <c r="E101">
        <v>0</v>
      </c>
      <c r="F101">
        <f>4*8/5</f>
        <v>6.4</v>
      </c>
      <c r="G101">
        <v>0</v>
      </c>
      <c r="H101">
        <v>0</v>
      </c>
    </row>
    <row r="102" spans="1:8" x14ac:dyDescent="0.3">
      <c r="A102" s="16" t="s">
        <v>285</v>
      </c>
      <c r="B102">
        <f>122*12/5</f>
        <v>292.8</v>
      </c>
      <c r="C102">
        <v>0</v>
      </c>
      <c r="D102">
        <v>0</v>
      </c>
      <c r="E102">
        <v>0</v>
      </c>
      <c r="F102">
        <f>4*12/5</f>
        <v>9.6</v>
      </c>
      <c r="G102">
        <v>0</v>
      </c>
      <c r="H102">
        <v>0</v>
      </c>
    </row>
    <row r="103" spans="1:8" x14ac:dyDescent="0.3">
      <c r="A103" s="16" t="s">
        <v>286</v>
      </c>
      <c r="B103">
        <v>110</v>
      </c>
      <c r="C103">
        <v>0.5</v>
      </c>
      <c r="D103">
        <v>0</v>
      </c>
      <c r="E103">
        <v>2</v>
      </c>
      <c r="F103">
        <v>25</v>
      </c>
      <c r="G103">
        <v>1</v>
      </c>
      <c r="H103">
        <v>310</v>
      </c>
    </row>
    <row r="104" spans="1:8" x14ac:dyDescent="0.3">
      <c r="A104" s="16" t="s">
        <v>287</v>
      </c>
      <c r="B104">
        <f>110*3</f>
        <v>330</v>
      </c>
      <c r="C104">
        <f>3*0.5</f>
        <v>1.5</v>
      </c>
      <c r="D104">
        <v>0</v>
      </c>
      <c r="E104">
        <f>3*2</f>
        <v>6</v>
      </c>
      <c r="F104">
        <f>3*25</f>
        <v>75</v>
      </c>
      <c r="G104">
        <f>3*1</f>
        <v>3</v>
      </c>
      <c r="H104">
        <f>3*310</f>
        <v>930</v>
      </c>
    </row>
    <row r="105" spans="1:8" x14ac:dyDescent="0.3">
      <c r="A105" s="16" t="s">
        <v>292</v>
      </c>
      <c r="B105">
        <f>290*5</f>
        <v>1450</v>
      </c>
      <c r="C105">
        <f>1.5*5</f>
        <v>7.5</v>
      </c>
      <c r="D105">
        <f>0*5</f>
        <v>0</v>
      </c>
      <c r="E105">
        <f>21*5</f>
        <v>105</v>
      </c>
      <c r="F105">
        <f>50*5</f>
        <v>250</v>
      </c>
      <c r="G105">
        <f>5*5</f>
        <v>25</v>
      </c>
      <c r="H105">
        <f>0*5</f>
        <v>0</v>
      </c>
    </row>
    <row r="106" spans="1:8" x14ac:dyDescent="0.3">
      <c r="A106" s="16" t="s">
        <v>293</v>
      </c>
      <c r="B106">
        <f>70*5</f>
        <v>350</v>
      </c>
      <c r="C106">
        <f>1.5*5</f>
        <v>7.5</v>
      </c>
      <c r="D106">
        <f>0*5</f>
        <v>0</v>
      </c>
      <c r="E106">
        <f>3*5</f>
        <v>15</v>
      </c>
      <c r="F106">
        <f>10*5</f>
        <v>50</v>
      </c>
      <c r="G106">
        <f>1*5</f>
        <v>5</v>
      </c>
      <c r="H106">
        <f>360*5</f>
        <v>1800</v>
      </c>
    </row>
    <row r="107" spans="1:8" x14ac:dyDescent="0.3">
      <c r="A107" s="16" t="s">
        <v>294</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3">
      <c r="A108" s="16" t="s">
        <v>305</v>
      </c>
      <c r="B108">
        <v>70</v>
      </c>
      <c r="C108">
        <v>1.5</v>
      </c>
      <c r="D108">
        <v>0.5</v>
      </c>
      <c r="E108">
        <v>2</v>
      </c>
      <c r="F108">
        <v>11</v>
      </c>
      <c r="G108">
        <v>1</v>
      </c>
      <c r="H108">
        <v>480</v>
      </c>
    </row>
    <row r="109" spans="1:8" x14ac:dyDescent="0.3">
      <c r="A109" s="16" t="s">
        <v>304</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3">
      <c r="A110" s="16" t="s">
        <v>307</v>
      </c>
      <c r="B110">
        <f>B109/4</f>
        <v>551.6875</v>
      </c>
      <c r="C110">
        <f t="shared" ref="C110:H110" si="8">C109/4</f>
        <v>20.875</v>
      </c>
      <c r="D110">
        <f t="shared" si="8"/>
        <v>5.625</v>
      </c>
      <c r="E110">
        <f t="shared" si="8"/>
        <v>26.625</v>
      </c>
      <c r="F110">
        <f t="shared" si="8"/>
        <v>63.75</v>
      </c>
      <c r="G110">
        <f t="shared" si="8"/>
        <v>4.5</v>
      </c>
      <c r="H110">
        <f t="shared" si="8"/>
        <v>950.125</v>
      </c>
    </row>
    <row r="111" spans="1:8" x14ac:dyDescent="0.3">
      <c r="A111" s="16" t="s">
        <v>313</v>
      </c>
      <c r="B111">
        <v>190</v>
      </c>
      <c r="C111">
        <v>1</v>
      </c>
      <c r="D111">
        <v>0</v>
      </c>
      <c r="E111">
        <v>4</v>
      </c>
      <c r="F111">
        <v>44</v>
      </c>
      <c r="G111">
        <v>2</v>
      </c>
      <c r="H111">
        <v>0</v>
      </c>
    </row>
    <row r="112" spans="1:8" x14ac:dyDescent="0.3">
      <c r="A112" s="16" t="s">
        <v>312</v>
      </c>
      <c r="B112">
        <v>110</v>
      </c>
      <c r="C112">
        <v>11</v>
      </c>
      <c r="D112">
        <v>6</v>
      </c>
      <c r="E112">
        <v>2</v>
      </c>
      <c r="F112">
        <v>2</v>
      </c>
      <c r="G112">
        <v>0</v>
      </c>
      <c r="H112">
        <v>390</v>
      </c>
    </row>
    <row r="113" spans="1:8" x14ac:dyDescent="0.3">
      <c r="A113" s="16" t="s">
        <v>314</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3">
      <c r="A114" s="16" t="s">
        <v>315</v>
      </c>
      <c r="B114">
        <f>B113/5</f>
        <v>679.4</v>
      </c>
      <c r="C114">
        <f t="shared" ref="C114:H114" si="10">C113/5</f>
        <v>38.4</v>
      </c>
      <c r="D114">
        <f t="shared" si="10"/>
        <v>13.7</v>
      </c>
      <c r="E114">
        <f t="shared" si="10"/>
        <v>26</v>
      </c>
      <c r="F114">
        <f t="shared" si="10"/>
        <v>63.5</v>
      </c>
      <c r="G114">
        <f t="shared" si="10"/>
        <v>5.2</v>
      </c>
      <c r="H114">
        <f t="shared" si="10"/>
        <v>862</v>
      </c>
    </row>
    <row r="115" spans="1:8" x14ac:dyDescent="0.3">
      <c r="A115" s="16" t="s">
        <v>320</v>
      </c>
      <c r="B115" s="17">
        <v>70</v>
      </c>
      <c r="C115" s="17">
        <v>1.5</v>
      </c>
      <c r="D115" s="17">
        <v>0.5</v>
      </c>
      <c r="E115" s="17">
        <v>2</v>
      </c>
      <c r="F115" s="17">
        <v>11</v>
      </c>
      <c r="G115" s="17">
        <v>1</v>
      </c>
      <c r="H115" s="17">
        <v>480</v>
      </c>
    </row>
    <row r="116" spans="1:8" x14ac:dyDescent="0.3">
      <c r="A116" s="16" t="s">
        <v>321</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3">
      <c r="A117" s="16" t="s">
        <v>322</v>
      </c>
      <c r="B117">
        <v>27</v>
      </c>
      <c r="C117">
        <v>0.6</v>
      </c>
      <c r="D117">
        <v>0.1</v>
      </c>
      <c r="E117">
        <v>2.1</v>
      </c>
      <c r="F117">
        <v>4.8</v>
      </c>
      <c r="G117">
        <v>1.8</v>
      </c>
      <c r="H117">
        <v>5.4</v>
      </c>
    </row>
    <row r="118" spans="1:8" x14ac:dyDescent="0.3">
      <c r="A118" s="16" t="s">
        <v>323</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3">
      <c r="A119" s="16" t="s">
        <v>335</v>
      </c>
      <c r="B119">
        <v>120</v>
      </c>
      <c r="C119">
        <v>14</v>
      </c>
      <c r="D119">
        <v>13</v>
      </c>
      <c r="E119">
        <v>0</v>
      </c>
      <c r="F119">
        <v>0</v>
      </c>
      <c r="G119">
        <v>0</v>
      </c>
      <c r="H119">
        <v>0</v>
      </c>
    </row>
    <row r="120" spans="1:8" x14ac:dyDescent="0.3">
      <c r="A120" s="16" t="s">
        <v>336</v>
      </c>
      <c r="B120">
        <v>520</v>
      </c>
      <c r="C120">
        <v>36</v>
      </c>
      <c r="D120">
        <v>10</v>
      </c>
      <c r="E120">
        <v>40</v>
      </c>
      <c r="F120">
        <v>10</v>
      </c>
      <c r="G120">
        <v>4</v>
      </c>
      <c r="H120">
        <v>700</v>
      </c>
    </row>
    <row r="121" spans="1:8" x14ac:dyDescent="0.3">
      <c r="A121" s="16" t="s">
        <v>337</v>
      </c>
      <c r="B121">
        <f>330*2.5</f>
        <v>825</v>
      </c>
      <c r="C121">
        <f>2.5+2.5</f>
        <v>5</v>
      </c>
      <c r="D121">
        <f>0.5*2.5</f>
        <v>1.25</v>
      </c>
      <c r="E121">
        <f>23*2.5</f>
        <v>57.5</v>
      </c>
      <c r="F121">
        <f>61*2.5</f>
        <v>152.5</v>
      </c>
      <c r="G121">
        <f>11*2.5</f>
        <v>27.5</v>
      </c>
      <c r="H121">
        <f>0</f>
        <v>0</v>
      </c>
    </row>
    <row r="122" spans="1:8" x14ac:dyDescent="0.3">
      <c r="A122" s="16" t="s">
        <v>338</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3">
      <c r="A123" s="16" t="s">
        <v>339</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3">
      <c r="A124" s="16" t="s">
        <v>342</v>
      </c>
      <c r="B124">
        <v>30</v>
      </c>
      <c r="C124">
        <v>2.5</v>
      </c>
      <c r="D124">
        <v>0</v>
      </c>
      <c r="E124">
        <v>1</v>
      </c>
      <c r="F124">
        <v>1</v>
      </c>
      <c r="G124">
        <v>0</v>
      </c>
      <c r="H124">
        <v>115</v>
      </c>
    </row>
    <row r="125" spans="1:8" x14ac:dyDescent="0.3">
      <c r="A125" s="16" t="s">
        <v>412</v>
      </c>
      <c r="B125">
        <v>130</v>
      </c>
      <c r="C125">
        <v>2</v>
      </c>
      <c r="D125">
        <v>0</v>
      </c>
      <c r="E125">
        <v>18</v>
      </c>
      <c r="F125">
        <v>9</v>
      </c>
      <c r="G125">
        <v>2</v>
      </c>
      <c r="H125">
        <v>320</v>
      </c>
    </row>
    <row r="126" spans="1:8" x14ac:dyDescent="0.3">
      <c r="A126" s="16" t="s">
        <v>346</v>
      </c>
      <c r="B126">
        <v>570</v>
      </c>
      <c r="C126">
        <v>24</v>
      </c>
      <c r="D126">
        <v>6</v>
      </c>
      <c r="E126">
        <v>37</v>
      </c>
      <c r="F126">
        <v>58</v>
      </c>
      <c r="G126">
        <v>5</v>
      </c>
      <c r="H126">
        <v>480</v>
      </c>
    </row>
    <row r="127" spans="1:8" x14ac:dyDescent="0.3">
      <c r="A127" s="16" t="s">
        <v>347</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3">
      <c r="A128" s="16" t="s">
        <v>348</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3">
      <c r="A129" s="16" t="s">
        <v>349</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3">
      <c r="A130" s="16" t="s">
        <v>350</v>
      </c>
      <c r="B130" s="17">
        <f>150/3</f>
        <v>50</v>
      </c>
      <c r="C130" s="17">
        <f>6/3</f>
        <v>2</v>
      </c>
      <c r="D130" s="17">
        <f>3.5/3</f>
        <v>1.1666666666666667</v>
      </c>
      <c r="E130" s="17">
        <f>1/3</f>
        <v>0.33333333333333331</v>
      </c>
      <c r="F130" s="17">
        <f>24/3</f>
        <v>8</v>
      </c>
      <c r="G130" s="17">
        <f>0</f>
        <v>0</v>
      </c>
      <c r="H130" s="17">
        <f>85/3</f>
        <v>28.333333333333332</v>
      </c>
    </row>
    <row r="131" spans="1:8" x14ac:dyDescent="0.3">
      <c r="A131" s="16" t="s">
        <v>352</v>
      </c>
      <c r="B131">
        <v>270</v>
      </c>
      <c r="C131">
        <v>24</v>
      </c>
      <c r="D131">
        <v>2</v>
      </c>
      <c r="E131">
        <v>9</v>
      </c>
      <c r="F131">
        <v>9</v>
      </c>
      <c r="G131">
        <v>6</v>
      </c>
      <c r="H131">
        <v>180</v>
      </c>
    </row>
    <row r="132" spans="1:8" x14ac:dyDescent="0.3">
      <c r="A132" s="16" t="s">
        <v>353</v>
      </c>
      <c r="B132">
        <v>130</v>
      </c>
      <c r="C132">
        <v>8</v>
      </c>
      <c r="D132">
        <v>5</v>
      </c>
      <c r="E132">
        <v>2</v>
      </c>
      <c r="F132">
        <v>28</v>
      </c>
      <c r="G132">
        <v>3</v>
      </c>
      <c r="H132">
        <v>1</v>
      </c>
    </row>
    <row r="133" spans="1:8" x14ac:dyDescent="0.3">
      <c r="A133" s="16" t="s">
        <v>359</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3">
      <c r="A134" s="16" t="s">
        <v>360</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3">
      <c r="A135" s="16" t="s">
        <v>361</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3">
      <c r="A136" s="16" t="s">
        <v>364</v>
      </c>
      <c r="B136">
        <v>130</v>
      </c>
      <c r="C136">
        <v>4.5</v>
      </c>
      <c r="D136">
        <v>2.5</v>
      </c>
      <c r="E136">
        <v>1</v>
      </c>
      <c r="F136">
        <v>22</v>
      </c>
      <c r="G136">
        <v>0</v>
      </c>
      <c r="H136">
        <v>70</v>
      </c>
    </row>
    <row r="137" spans="1:8" x14ac:dyDescent="0.3">
      <c r="A137" s="16" t="s">
        <v>370</v>
      </c>
      <c r="B137">
        <v>164</v>
      </c>
      <c r="C137">
        <v>13.5</v>
      </c>
      <c r="D137">
        <v>2.5</v>
      </c>
      <c r="E137">
        <v>4.7</v>
      </c>
      <c r="F137">
        <v>8.4</v>
      </c>
      <c r="G137">
        <v>0.9</v>
      </c>
      <c r="H137">
        <v>4</v>
      </c>
    </row>
    <row r="138" spans="1:8" x14ac:dyDescent="0.3">
      <c r="A138" s="16" t="s">
        <v>371</v>
      </c>
      <c r="B138">
        <v>120</v>
      </c>
      <c r="C138">
        <v>2</v>
      </c>
      <c r="D138">
        <v>0</v>
      </c>
      <c r="E138">
        <v>7</v>
      </c>
      <c r="F138">
        <v>20</v>
      </c>
      <c r="G138">
        <v>4</v>
      </c>
      <c r="H138">
        <v>420</v>
      </c>
    </row>
    <row r="139" spans="1:8" x14ac:dyDescent="0.3">
      <c r="A139" s="16" t="s">
        <v>372</v>
      </c>
      <c r="B139">
        <v>40</v>
      </c>
      <c r="C139">
        <v>0</v>
      </c>
      <c r="D139">
        <v>0</v>
      </c>
      <c r="E139">
        <v>1</v>
      </c>
      <c r="F139">
        <v>8</v>
      </c>
      <c r="G139">
        <v>1</v>
      </c>
      <c r="H139">
        <v>140</v>
      </c>
    </row>
    <row r="140" spans="1:8" x14ac:dyDescent="0.3">
      <c r="A140" s="16" t="s">
        <v>373</v>
      </c>
      <c r="B140">
        <v>120</v>
      </c>
      <c r="C140">
        <v>14</v>
      </c>
      <c r="D140">
        <v>1</v>
      </c>
      <c r="E140">
        <v>0</v>
      </c>
      <c r="F140">
        <v>0</v>
      </c>
      <c r="G140">
        <v>0</v>
      </c>
      <c r="H140">
        <v>0</v>
      </c>
    </row>
    <row r="141" spans="1:8" x14ac:dyDescent="0.3">
      <c r="A141" s="16" t="s">
        <v>374</v>
      </c>
      <c r="B141">
        <v>2</v>
      </c>
      <c r="C141">
        <v>0</v>
      </c>
      <c r="D141">
        <v>0</v>
      </c>
      <c r="E141">
        <v>0</v>
      </c>
      <c r="F141">
        <v>0</v>
      </c>
      <c r="G141">
        <v>0</v>
      </c>
      <c r="H141">
        <v>25</v>
      </c>
    </row>
    <row r="142" spans="1:8" x14ac:dyDescent="0.3">
      <c r="A142" s="16" t="s">
        <v>375</v>
      </c>
      <c r="B142">
        <v>180</v>
      </c>
      <c r="C142">
        <v>16</v>
      </c>
      <c r="D142">
        <v>3</v>
      </c>
      <c r="E142">
        <v>7</v>
      </c>
      <c r="F142">
        <v>3</v>
      </c>
      <c r="G142">
        <v>1</v>
      </c>
      <c r="H142">
        <v>70</v>
      </c>
    </row>
    <row r="143" spans="1:8" x14ac:dyDescent="0.3">
      <c r="A143" s="16" t="s">
        <v>376</v>
      </c>
      <c r="B143">
        <v>200</v>
      </c>
      <c r="C143">
        <v>2.5</v>
      </c>
      <c r="D143">
        <v>0</v>
      </c>
      <c r="E143">
        <v>14</v>
      </c>
      <c r="F143">
        <v>31</v>
      </c>
      <c r="G143">
        <v>13</v>
      </c>
      <c r="H143">
        <v>590</v>
      </c>
    </row>
    <row r="144" spans="1:8" x14ac:dyDescent="0.3">
      <c r="A144" s="16" t="s">
        <v>377</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3">
      <c r="A145" s="16" t="s">
        <v>392</v>
      </c>
      <c r="B145">
        <v>100</v>
      </c>
      <c r="C145">
        <v>1</v>
      </c>
      <c r="D145">
        <v>0</v>
      </c>
      <c r="E145">
        <v>2</v>
      </c>
      <c r="F145">
        <v>20</v>
      </c>
      <c r="G145">
        <v>2</v>
      </c>
      <c r="H145">
        <v>20</v>
      </c>
    </row>
    <row r="146" spans="1:8" x14ac:dyDescent="0.3">
      <c r="A146" s="16" t="s">
        <v>397</v>
      </c>
      <c r="B146">
        <v>135</v>
      </c>
      <c r="C146">
        <v>6</v>
      </c>
      <c r="D146">
        <v>1.3</v>
      </c>
      <c r="E146">
        <v>1.5</v>
      </c>
      <c r="F146">
        <v>18</v>
      </c>
      <c r="G146">
        <v>0</v>
      </c>
      <c r="H146">
        <v>155</v>
      </c>
    </row>
    <row r="147" spans="1:8" x14ac:dyDescent="0.3">
      <c r="A147" s="16" t="s">
        <v>398</v>
      </c>
      <c r="B147">
        <v>300</v>
      </c>
      <c r="C147">
        <v>14</v>
      </c>
      <c r="D147">
        <v>2</v>
      </c>
      <c r="E147">
        <v>4</v>
      </c>
      <c r="F147">
        <v>36</v>
      </c>
      <c r="G147">
        <v>2</v>
      </c>
      <c r="H147">
        <v>260</v>
      </c>
    </row>
    <row r="148" spans="1:8" x14ac:dyDescent="0.3">
      <c r="A148" s="16" t="s">
        <v>399</v>
      </c>
      <c r="B148">
        <v>400</v>
      </c>
      <c r="C148">
        <v>36</v>
      </c>
      <c r="D148">
        <v>4</v>
      </c>
      <c r="E148">
        <v>16</v>
      </c>
      <c r="F148">
        <v>16</v>
      </c>
      <c r="G148">
        <v>8</v>
      </c>
      <c r="H148">
        <v>1840</v>
      </c>
    </row>
    <row r="149" spans="1:8" x14ac:dyDescent="0.3">
      <c r="A149" s="16" t="s">
        <v>400</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3">
      <c r="A150" s="16" t="s">
        <v>401</v>
      </c>
      <c r="B150">
        <v>2</v>
      </c>
      <c r="C150">
        <v>0.1</v>
      </c>
      <c r="D150">
        <v>0.1</v>
      </c>
      <c r="E150">
        <v>0.3</v>
      </c>
      <c r="F150">
        <v>0.2</v>
      </c>
      <c r="G150">
        <v>0.1</v>
      </c>
      <c r="H150">
        <v>1</v>
      </c>
    </row>
    <row r="151" spans="1:8" x14ac:dyDescent="0.3">
      <c r="A151" s="16" t="s">
        <v>402</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3">
      <c r="A152" s="16" t="s">
        <v>403</v>
      </c>
      <c r="B152">
        <v>100</v>
      </c>
      <c r="C152">
        <v>6</v>
      </c>
      <c r="D152">
        <v>4</v>
      </c>
      <c r="E152">
        <v>8</v>
      </c>
      <c r="F152">
        <v>2</v>
      </c>
      <c r="G152">
        <v>0</v>
      </c>
      <c r="H152">
        <v>280</v>
      </c>
    </row>
    <row r="153" spans="1:8" x14ac:dyDescent="0.3">
      <c r="A153" s="16" t="s">
        <v>410</v>
      </c>
      <c r="B153" s="17">
        <v>70</v>
      </c>
      <c r="C153" s="17">
        <v>5</v>
      </c>
      <c r="D153" s="17">
        <v>3.5</v>
      </c>
      <c r="E153" s="17">
        <v>1</v>
      </c>
      <c r="F153" s="17">
        <v>4</v>
      </c>
      <c r="G153" s="17">
        <v>0</v>
      </c>
      <c r="H153" s="17">
        <v>15</v>
      </c>
    </row>
    <row r="154" spans="1:8" x14ac:dyDescent="0.3">
      <c r="A154" s="16" t="s">
        <v>411</v>
      </c>
      <c r="B154">
        <v>120</v>
      </c>
      <c r="C154">
        <v>2</v>
      </c>
      <c r="D154">
        <v>0</v>
      </c>
      <c r="E154">
        <v>18</v>
      </c>
      <c r="F154">
        <v>6</v>
      </c>
      <c r="G154">
        <v>1</v>
      </c>
      <c r="H154">
        <v>360</v>
      </c>
    </row>
    <row r="155" spans="1:8" x14ac:dyDescent="0.3">
      <c r="A155" s="16" t="s">
        <v>413</v>
      </c>
      <c r="B155">
        <v>140</v>
      </c>
      <c r="C155">
        <v>7</v>
      </c>
      <c r="D155">
        <v>1</v>
      </c>
      <c r="E155">
        <v>2</v>
      </c>
      <c r="F155">
        <v>18</v>
      </c>
      <c r="G155">
        <v>2</v>
      </c>
      <c r="H155">
        <v>90</v>
      </c>
    </row>
    <row r="156" spans="1:8" x14ac:dyDescent="0.3">
      <c r="A156" s="16" t="s">
        <v>418</v>
      </c>
      <c r="B156">
        <v>400</v>
      </c>
      <c r="C156">
        <v>10</v>
      </c>
      <c r="D156">
        <v>5</v>
      </c>
      <c r="E156">
        <v>4</v>
      </c>
      <c r="F156">
        <v>74</v>
      </c>
      <c r="G156">
        <v>1</v>
      </c>
      <c r="H156">
        <v>240</v>
      </c>
    </row>
    <row r="157" spans="1:8" x14ac:dyDescent="0.3">
      <c r="A157" s="16" t="s">
        <v>421</v>
      </c>
      <c r="B157">
        <v>164</v>
      </c>
      <c r="C157">
        <v>5.4</v>
      </c>
      <c r="D157">
        <v>1.2</v>
      </c>
      <c r="E157">
        <v>1.7</v>
      </c>
      <c r="F157">
        <v>29.2</v>
      </c>
      <c r="G157">
        <v>0.7</v>
      </c>
      <c r="H157">
        <v>176</v>
      </c>
    </row>
    <row r="158" spans="1:8" x14ac:dyDescent="0.3">
      <c r="A158" s="16" t="s">
        <v>426</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3">
      <c r="A159" s="16" t="s">
        <v>425</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3">
      <c r="A160" s="16" t="s">
        <v>428</v>
      </c>
      <c r="B160" s="17">
        <v>70</v>
      </c>
      <c r="C160" s="17">
        <v>5</v>
      </c>
      <c r="D160" s="17">
        <v>3.5</v>
      </c>
      <c r="E160" s="17">
        <v>1</v>
      </c>
      <c r="F160" s="17">
        <v>4</v>
      </c>
      <c r="G160" s="17">
        <v>0</v>
      </c>
      <c r="H160" s="17">
        <v>20</v>
      </c>
    </row>
    <row r="161" spans="1:8" x14ac:dyDescent="0.3">
      <c r="A161" s="16" t="s">
        <v>432</v>
      </c>
      <c r="B161">
        <v>134</v>
      </c>
      <c r="C161">
        <v>3.9</v>
      </c>
      <c r="D161">
        <v>0.9</v>
      </c>
      <c r="E161">
        <v>7.1</v>
      </c>
      <c r="F161">
        <v>16.7</v>
      </c>
      <c r="G161">
        <v>0.6</v>
      </c>
      <c r="H161">
        <v>193</v>
      </c>
    </row>
    <row r="162" spans="1:8" x14ac:dyDescent="0.3">
      <c r="A162" s="16" t="s">
        <v>431</v>
      </c>
      <c r="B162">
        <v>106</v>
      </c>
      <c r="C162">
        <v>0.4</v>
      </c>
      <c r="D162">
        <v>0.1</v>
      </c>
      <c r="E162">
        <v>8</v>
      </c>
      <c r="F162">
        <v>16.7</v>
      </c>
      <c r="G162">
        <v>0.6</v>
      </c>
      <c r="H162">
        <v>186</v>
      </c>
    </row>
    <row r="163" spans="1:8" x14ac:dyDescent="0.3">
      <c r="A163" s="16" t="s">
        <v>433</v>
      </c>
      <c r="B163">
        <v>40</v>
      </c>
      <c r="C163">
        <v>4.5</v>
      </c>
      <c r="D163">
        <v>1</v>
      </c>
      <c r="E163">
        <v>0</v>
      </c>
      <c r="F163">
        <v>0</v>
      </c>
      <c r="G163">
        <v>0</v>
      </c>
      <c r="H163">
        <v>40</v>
      </c>
    </row>
    <row r="164" spans="1:8" x14ac:dyDescent="0.3">
      <c r="A164" s="16" t="s">
        <v>434</v>
      </c>
      <c r="B164">
        <v>16</v>
      </c>
      <c r="C164">
        <v>0.1</v>
      </c>
      <c r="D164">
        <v>0</v>
      </c>
      <c r="E164">
        <v>1.1000000000000001</v>
      </c>
      <c r="F164">
        <v>2.8</v>
      </c>
      <c r="G164">
        <v>0.1</v>
      </c>
      <c r="H164">
        <v>690</v>
      </c>
    </row>
    <row r="165" spans="1:8" x14ac:dyDescent="0.3">
      <c r="A165" s="16" t="s">
        <v>435</v>
      </c>
      <c r="B165">
        <v>82</v>
      </c>
      <c r="C165">
        <v>0.2</v>
      </c>
      <c r="D165">
        <v>0.1</v>
      </c>
      <c r="E165">
        <v>0.9</v>
      </c>
      <c r="F165">
        <v>21.6</v>
      </c>
      <c r="G165">
        <v>2.2999999999999998</v>
      </c>
      <c r="H165">
        <v>2</v>
      </c>
    </row>
    <row r="166" spans="1:8" x14ac:dyDescent="0.3">
      <c r="A166" s="16" t="s">
        <v>436</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3">
      <c r="A167" s="16" t="s">
        <v>437</v>
      </c>
      <c r="B167">
        <v>216</v>
      </c>
      <c r="C167">
        <v>1.8</v>
      </c>
      <c r="D167">
        <v>0.4</v>
      </c>
      <c r="E167">
        <v>5</v>
      </c>
      <c r="F167">
        <v>44.8</v>
      </c>
      <c r="G167">
        <v>3.5</v>
      </c>
      <c r="H167">
        <v>10</v>
      </c>
    </row>
    <row r="168" spans="1:8" x14ac:dyDescent="0.3">
      <c r="A168" s="16" t="s">
        <v>438</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3">
      <c r="A169" s="16" t="s">
        <v>439</v>
      </c>
      <c r="B169">
        <v>16</v>
      </c>
      <c r="C169">
        <v>0.1</v>
      </c>
      <c r="D169">
        <v>0.1</v>
      </c>
      <c r="E169">
        <v>0.7</v>
      </c>
      <c r="F169">
        <v>3.8</v>
      </c>
      <c r="G169">
        <v>0.5</v>
      </c>
      <c r="H169">
        <v>2</v>
      </c>
    </row>
    <row r="170" spans="1:8" x14ac:dyDescent="0.3">
      <c r="A170" s="16" t="s">
        <v>440</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3">
      <c r="A171" s="16" t="s">
        <v>441</v>
      </c>
      <c r="B171">
        <v>51</v>
      </c>
      <c r="C171">
        <v>4.3</v>
      </c>
      <c r="D171">
        <v>0.6</v>
      </c>
      <c r="E171">
        <v>1.5</v>
      </c>
      <c r="F171">
        <v>2.2999999999999998</v>
      </c>
      <c r="G171">
        <v>1.3</v>
      </c>
      <c r="H171">
        <v>1</v>
      </c>
    </row>
    <row r="172" spans="1:8" x14ac:dyDescent="0.3">
      <c r="A172" s="16" t="s">
        <v>442</v>
      </c>
      <c r="B172">
        <v>2</v>
      </c>
      <c r="C172">
        <v>0.1</v>
      </c>
      <c r="D172">
        <v>0.1</v>
      </c>
      <c r="E172">
        <v>0.1</v>
      </c>
      <c r="F172">
        <v>0.4</v>
      </c>
      <c r="G172">
        <v>0.1</v>
      </c>
      <c r="H172">
        <v>1</v>
      </c>
    </row>
    <row r="173" spans="1:8" x14ac:dyDescent="0.3">
      <c r="A173" s="16" t="s">
        <v>443</v>
      </c>
      <c r="B173">
        <v>5</v>
      </c>
      <c r="C173">
        <v>0.1</v>
      </c>
      <c r="D173">
        <v>0</v>
      </c>
      <c r="E173">
        <v>0.2</v>
      </c>
      <c r="F173">
        <v>1.2</v>
      </c>
      <c r="G173">
        <v>0.4</v>
      </c>
      <c r="H173">
        <v>1</v>
      </c>
    </row>
    <row r="174" spans="1:8" x14ac:dyDescent="0.3">
      <c r="A174" s="16" t="s">
        <v>446</v>
      </c>
      <c r="B174">
        <v>130</v>
      </c>
      <c r="C174">
        <v>5</v>
      </c>
      <c r="D174">
        <v>2.5</v>
      </c>
      <c r="E174">
        <v>1</v>
      </c>
      <c r="F174">
        <v>24</v>
      </c>
      <c r="G174">
        <v>1</v>
      </c>
      <c r="H174">
        <v>75</v>
      </c>
    </row>
    <row r="175" spans="1:8" x14ac:dyDescent="0.3">
      <c r="A175" s="16" t="s">
        <v>447</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3">
      <c r="A176" s="16" t="s">
        <v>448</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3">
      <c r="A177" s="16" t="s">
        <v>452</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3">
      <c r="A178" s="16" t="s">
        <v>455</v>
      </c>
      <c r="B178" s="17">
        <v>115</v>
      </c>
      <c r="C178" s="17">
        <f t="shared" ref="C178:D178" si="32">C23/3</f>
        <v>0</v>
      </c>
      <c r="D178" s="17">
        <f t="shared" si="32"/>
        <v>0</v>
      </c>
      <c r="E178" s="17">
        <v>0.5</v>
      </c>
      <c r="F178" s="17">
        <v>3.7</v>
      </c>
      <c r="G178" s="17">
        <v>0</v>
      </c>
      <c r="H178" s="17">
        <v>12</v>
      </c>
    </row>
    <row r="179" spans="1:8" x14ac:dyDescent="0.3">
      <c r="A179" s="16" t="s">
        <v>461</v>
      </c>
      <c r="B179" s="17">
        <f>SUM(B37*4,B39,B40,B50,B79*4.5,B115*5)</f>
        <v>3072</v>
      </c>
      <c r="C179" s="17">
        <f t="shared" ref="C179:H179" si="33">SUM(C37*4,C39,C40,C50,C79*4.5,C115*5)</f>
        <v>104.75</v>
      </c>
      <c r="D179" s="17">
        <f t="shared" si="33"/>
        <v>26.75</v>
      </c>
      <c r="E179" s="17">
        <f t="shared" si="33"/>
        <v>195.5</v>
      </c>
      <c r="F179" s="17">
        <f t="shared" si="33"/>
        <v>366.5</v>
      </c>
      <c r="G179" s="17">
        <f t="shared" si="33"/>
        <v>67.5</v>
      </c>
      <c r="H179" s="17">
        <f t="shared" si="33"/>
        <v>3805</v>
      </c>
    </row>
    <row r="180" spans="1:8" x14ac:dyDescent="0.3">
      <c r="A180" s="16" t="s">
        <v>462</v>
      </c>
      <c r="B180" s="17">
        <f>B179/4</f>
        <v>768</v>
      </c>
      <c r="C180" s="17">
        <f t="shared" ref="C180:H180" si="34">C179/4</f>
        <v>26.1875</v>
      </c>
      <c r="D180" s="17">
        <f t="shared" si="34"/>
        <v>6.6875</v>
      </c>
      <c r="E180" s="17">
        <f t="shared" si="34"/>
        <v>48.875</v>
      </c>
      <c r="F180" s="17">
        <f t="shared" si="34"/>
        <v>91.625</v>
      </c>
      <c r="G180" s="17">
        <f t="shared" si="34"/>
        <v>16.875</v>
      </c>
      <c r="H180" s="17">
        <f t="shared" si="34"/>
        <v>951.25</v>
      </c>
    </row>
    <row r="181" spans="1:8" x14ac:dyDescent="0.3">
      <c r="A181" s="16" t="s">
        <v>458</v>
      </c>
      <c r="B181">
        <f>370*2</f>
        <v>740</v>
      </c>
      <c r="C181">
        <f>15*2</f>
        <v>30</v>
      </c>
      <c r="D181">
        <f>15*2</f>
        <v>30</v>
      </c>
      <c r="E181">
        <v>0</v>
      </c>
      <c r="F181">
        <f>60*2</f>
        <v>120</v>
      </c>
      <c r="G181">
        <v>0</v>
      </c>
      <c r="H181">
        <f>25*2</f>
        <v>50</v>
      </c>
    </row>
    <row r="182" spans="1:8" x14ac:dyDescent="0.3">
      <c r="A182" s="16" t="s">
        <v>459</v>
      </c>
      <c r="B182">
        <v>480</v>
      </c>
      <c r="C182">
        <v>26</v>
      </c>
      <c r="D182">
        <v>5</v>
      </c>
      <c r="E182">
        <v>6</v>
      </c>
      <c r="F182">
        <v>59</v>
      </c>
      <c r="G182">
        <v>0</v>
      </c>
      <c r="H182">
        <v>590</v>
      </c>
    </row>
    <row r="183" spans="1:8" x14ac:dyDescent="0.3">
      <c r="A183" s="16" t="s">
        <v>460</v>
      </c>
      <c r="B183">
        <v>330</v>
      </c>
      <c r="C183">
        <v>14</v>
      </c>
      <c r="D183">
        <v>11</v>
      </c>
      <c r="E183">
        <v>5</v>
      </c>
      <c r="F183">
        <v>44</v>
      </c>
      <c r="G183">
        <v>0</v>
      </c>
      <c r="H183">
        <v>60</v>
      </c>
    </row>
    <row r="184" spans="1:8" x14ac:dyDescent="0.3">
      <c r="A184" s="16" t="s">
        <v>465</v>
      </c>
      <c r="B184">
        <f>SUM(B41,B40,B37*4.5,B36*6,B50)</f>
        <v>2557</v>
      </c>
      <c r="C184">
        <f t="shared" ref="C184:H184" si="35">SUM(C41,C40,C37*4.5,C36*6,C50)</f>
        <v>101</v>
      </c>
      <c r="D184">
        <f t="shared" si="35"/>
        <v>24.5</v>
      </c>
      <c r="E184">
        <f t="shared" si="35"/>
        <v>116</v>
      </c>
      <c r="F184">
        <f t="shared" si="35"/>
        <v>302.5</v>
      </c>
      <c r="G184">
        <f t="shared" si="35"/>
        <v>19</v>
      </c>
      <c r="H184">
        <f t="shared" si="35"/>
        <v>1577</v>
      </c>
    </row>
    <row r="185" spans="1:8" x14ac:dyDescent="0.3">
      <c r="A185" s="16" t="s">
        <v>466</v>
      </c>
      <c r="B185">
        <v>15</v>
      </c>
      <c r="C185">
        <v>0</v>
      </c>
      <c r="D185">
        <v>0</v>
      </c>
      <c r="E185">
        <v>0</v>
      </c>
      <c r="F185">
        <v>4</v>
      </c>
      <c r="G185">
        <v>0</v>
      </c>
      <c r="H185">
        <v>0</v>
      </c>
    </row>
    <row r="186" spans="1:8" x14ac:dyDescent="0.3">
      <c r="A186" s="16" t="s">
        <v>467</v>
      </c>
      <c r="B186">
        <f>B185*3</f>
        <v>45</v>
      </c>
      <c r="C186">
        <f t="shared" ref="C186:H186" si="36">C185*3</f>
        <v>0</v>
      </c>
      <c r="D186">
        <f t="shared" si="36"/>
        <v>0</v>
      </c>
      <c r="E186">
        <f t="shared" si="36"/>
        <v>0</v>
      </c>
      <c r="F186">
        <f t="shared" si="36"/>
        <v>12</v>
      </c>
      <c r="G186">
        <f t="shared" si="36"/>
        <v>0</v>
      </c>
      <c r="H186">
        <f t="shared" si="36"/>
        <v>0</v>
      </c>
    </row>
    <row r="187" spans="1:8" x14ac:dyDescent="0.3">
      <c r="A187" s="16" t="s">
        <v>470</v>
      </c>
      <c r="B187" s="17">
        <v>220</v>
      </c>
      <c r="C187" s="17">
        <v>14</v>
      </c>
      <c r="D187" s="17">
        <v>9</v>
      </c>
      <c r="E187" s="17">
        <v>1</v>
      </c>
      <c r="F187" s="17">
        <v>22</v>
      </c>
      <c r="G187" s="17">
        <v>0</v>
      </c>
      <c r="H187" s="17">
        <v>200</v>
      </c>
    </row>
    <row r="188" spans="1:8" x14ac:dyDescent="0.3">
      <c r="A188" s="16" t="s">
        <v>471</v>
      </c>
      <c r="B188">
        <v>230</v>
      </c>
      <c r="C188">
        <v>18</v>
      </c>
      <c r="D188">
        <v>10</v>
      </c>
      <c r="E188">
        <v>5</v>
      </c>
      <c r="F188">
        <v>20</v>
      </c>
      <c r="G188">
        <v>0</v>
      </c>
      <c r="H188">
        <v>140</v>
      </c>
    </row>
    <row r="189" spans="1:8" x14ac:dyDescent="0.3">
      <c r="A189" s="16" t="s">
        <v>472</v>
      </c>
      <c r="B189">
        <v>700</v>
      </c>
      <c r="C189">
        <v>41</v>
      </c>
      <c r="D189">
        <v>8</v>
      </c>
      <c r="E189">
        <v>8</v>
      </c>
      <c r="F189">
        <v>78</v>
      </c>
      <c r="G189">
        <f t="shared" ref="G189" si="37">G187/2</f>
        <v>0</v>
      </c>
      <c r="H189">
        <v>630</v>
      </c>
    </row>
    <row r="190" spans="1:8" x14ac:dyDescent="0.3">
      <c r="A190" s="16" t="s">
        <v>475</v>
      </c>
      <c r="B190">
        <f>SUM(B95*4.5,B50*2,B115*5,B91*4.5)</f>
        <v>3245</v>
      </c>
      <c r="C190">
        <f t="shared" ref="C190:H190" si="38">SUM(C95*4.5,C50*2,C115*5,C91*4.5)</f>
        <v>127.75</v>
      </c>
      <c r="D190">
        <f t="shared" si="38"/>
        <v>31.25</v>
      </c>
      <c r="E190">
        <f t="shared" si="38"/>
        <v>203.5</v>
      </c>
      <c r="F190">
        <f t="shared" si="38"/>
        <v>352</v>
      </c>
      <c r="G190">
        <f t="shared" si="38"/>
        <v>63.5</v>
      </c>
      <c r="H190">
        <f t="shared" si="38"/>
        <v>3975</v>
      </c>
    </row>
    <row r="191" spans="1:8" x14ac:dyDescent="0.3">
      <c r="A191" s="16" t="s">
        <v>476</v>
      </c>
      <c r="B191">
        <f>B190/4</f>
        <v>811.25</v>
      </c>
      <c r="C191">
        <f t="shared" ref="C191:H191" si="39">C190/4</f>
        <v>31.9375</v>
      </c>
      <c r="D191">
        <f t="shared" si="39"/>
        <v>7.8125</v>
      </c>
      <c r="E191">
        <f t="shared" si="39"/>
        <v>50.875</v>
      </c>
      <c r="F191">
        <f t="shared" si="39"/>
        <v>88</v>
      </c>
      <c r="G191">
        <f t="shared" si="39"/>
        <v>15.875</v>
      </c>
      <c r="H191">
        <f t="shared" si="39"/>
        <v>993.75</v>
      </c>
    </row>
    <row r="192" spans="1:8" x14ac:dyDescent="0.3">
      <c r="A192" s="16" t="s">
        <v>510</v>
      </c>
      <c r="B192">
        <v>80</v>
      </c>
      <c r="C192">
        <v>6</v>
      </c>
      <c r="D192">
        <v>3</v>
      </c>
      <c r="E192">
        <v>6</v>
      </c>
      <c r="F192">
        <v>2</v>
      </c>
      <c r="G192">
        <v>0</v>
      </c>
      <c r="H192">
        <v>180</v>
      </c>
    </row>
    <row r="193" spans="1:8" x14ac:dyDescent="0.3">
      <c r="A193" s="16" t="s">
        <v>481</v>
      </c>
      <c r="B193">
        <v>51</v>
      </c>
      <c r="C193">
        <v>5.0999999999999996</v>
      </c>
      <c r="D193">
        <v>3.2</v>
      </c>
      <c r="E193">
        <v>1.1000000000000001</v>
      </c>
      <c r="F193">
        <v>0.4</v>
      </c>
      <c r="G193">
        <v>0</v>
      </c>
      <c r="H193">
        <v>43</v>
      </c>
    </row>
    <row r="194" spans="1:8" x14ac:dyDescent="0.3">
      <c r="A194" s="16" t="s">
        <v>479</v>
      </c>
      <c r="B194">
        <v>100</v>
      </c>
      <c r="C194">
        <v>10</v>
      </c>
      <c r="D194">
        <v>8</v>
      </c>
      <c r="E194">
        <v>5</v>
      </c>
      <c r="F194">
        <v>0</v>
      </c>
      <c r="G194">
        <v>0</v>
      </c>
      <c r="H194">
        <v>210</v>
      </c>
    </row>
    <row r="195" spans="1:8" x14ac:dyDescent="0.3">
      <c r="A195" s="16" t="s">
        <v>480</v>
      </c>
      <c r="B195">
        <v>120</v>
      </c>
      <c r="C195">
        <v>13.6</v>
      </c>
      <c r="D195">
        <v>1.9</v>
      </c>
      <c r="E195">
        <v>0</v>
      </c>
      <c r="F195">
        <v>0</v>
      </c>
      <c r="G195">
        <v>0</v>
      </c>
      <c r="H195">
        <v>0</v>
      </c>
    </row>
    <row r="196" spans="1:8" x14ac:dyDescent="0.3">
      <c r="A196" s="16" t="s">
        <v>482</v>
      </c>
      <c r="B196">
        <f>B177+B194*2+193*2</f>
        <v>1140.5</v>
      </c>
      <c r="C196">
        <f t="shared" ref="C196:H196" si="40">C177+C194*2+193*2</f>
        <v>417.17500000000001</v>
      </c>
      <c r="D196">
        <f t="shared" si="40"/>
        <v>404.15</v>
      </c>
      <c r="E196">
        <f t="shared" si="40"/>
        <v>413.8</v>
      </c>
      <c r="F196">
        <f t="shared" si="40"/>
        <v>482.55</v>
      </c>
      <c r="G196">
        <f t="shared" si="40"/>
        <v>394.35</v>
      </c>
      <c r="H196">
        <f t="shared" si="40"/>
        <v>1707</v>
      </c>
    </row>
    <row r="197" spans="1:8" x14ac:dyDescent="0.3">
      <c r="A197" s="16" t="s">
        <v>483</v>
      </c>
      <c r="B197">
        <v>460</v>
      </c>
      <c r="C197">
        <v>33</v>
      </c>
      <c r="D197">
        <v>20</v>
      </c>
      <c r="E197">
        <v>6</v>
      </c>
      <c r="F197">
        <v>39</v>
      </c>
      <c r="G197">
        <v>2</v>
      </c>
      <c r="H197">
        <v>210</v>
      </c>
    </row>
    <row r="198" spans="1:8" x14ac:dyDescent="0.3">
      <c r="A198" s="16" t="s">
        <v>485</v>
      </c>
      <c r="B198">
        <f>B184</f>
        <v>2557</v>
      </c>
      <c r="C198">
        <f t="shared" ref="C198:H198" si="41">C184</f>
        <v>101</v>
      </c>
      <c r="D198">
        <f t="shared" si="41"/>
        <v>24.5</v>
      </c>
      <c r="E198">
        <f t="shared" si="41"/>
        <v>116</v>
      </c>
      <c r="F198">
        <f t="shared" si="41"/>
        <v>302.5</v>
      </c>
      <c r="G198">
        <f t="shared" si="41"/>
        <v>19</v>
      </c>
      <c r="H198">
        <f t="shared" si="41"/>
        <v>1577</v>
      </c>
    </row>
    <row r="199" spans="1:8" x14ac:dyDescent="0.3">
      <c r="A199" s="16" t="s">
        <v>486</v>
      </c>
      <c r="B199">
        <f>B198/4</f>
        <v>639.25</v>
      </c>
      <c r="C199">
        <f t="shared" ref="C199:H199" si="42">C198/4</f>
        <v>25.25</v>
      </c>
      <c r="D199">
        <f t="shared" si="42"/>
        <v>6.125</v>
      </c>
      <c r="E199">
        <f t="shared" si="42"/>
        <v>29</v>
      </c>
      <c r="F199">
        <f t="shared" si="42"/>
        <v>75.625</v>
      </c>
      <c r="G199">
        <f t="shared" si="42"/>
        <v>4.75</v>
      </c>
      <c r="H199">
        <f t="shared" si="42"/>
        <v>394.25</v>
      </c>
    </row>
    <row r="200" spans="1:8" x14ac:dyDescent="0.3">
      <c r="A200" s="16" t="s">
        <v>488</v>
      </c>
      <c r="B200">
        <v>35</v>
      </c>
      <c r="C200">
        <v>1.5</v>
      </c>
      <c r="D200">
        <v>0</v>
      </c>
      <c r="E200">
        <v>0</v>
      </c>
      <c r="F200">
        <v>5</v>
      </c>
      <c r="G200">
        <v>0</v>
      </c>
      <c r="H200">
        <v>15</v>
      </c>
    </row>
    <row r="201" spans="1:8" x14ac:dyDescent="0.3">
      <c r="A201" s="16" t="s">
        <v>491</v>
      </c>
      <c r="B201">
        <v>190</v>
      </c>
      <c r="C201">
        <v>7</v>
      </c>
      <c r="D201">
        <v>1.5</v>
      </c>
      <c r="E201">
        <v>4</v>
      </c>
      <c r="F201">
        <v>29</v>
      </c>
      <c r="G201">
        <v>2</v>
      </c>
      <c r="H201">
        <v>340</v>
      </c>
    </row>
    <row r="202" spans="1:8" x14ac:dyDescent="0.3">
      <c r="A202" s="16" t="s">
        <v>492</v>
      </c>
      <c r="B202">
        <f>240*3</f>
        <v>720</v>
      </c>
      <c r="C202">
        <f>14*3</f>
        <v>42</v>
      </c>
      <c r="D202">
        <f>8*3</f>
        <v>24</v>
      </c>
      <c r="E202">
        <f>19*3</f>
        <v>57</v>
      </c>
      <c r="F202">
        <f>9*3</f>
        <v>27</v>
      </c>
      <c r="G202">
        <f>3*3</f>
        <v>9</v>
      </c>
      <c r="H202">
        <f>370</f>
        <v>370</v>
      </c>
    </row>
    <row r="203" spans="1:8" x14ac:dyDescent="0.3">
      <c r="A203" s="16" t="s">
        <v>493</v>
      </c>
      <c r="B203">
        <f>200*6</f>
        <v>1200</v>
      </c>
      <c r="C203">
        <f>1*6</f>
        <v>6</v>
      </c>
      <c r="D203">
        <f>0*6</f>
        <v>0</v>
      </c>
      <c r="E203">
        <f>3*6</f>
        <v>18</v>
      </c>
      <c r="F203">
        <f>45*3</f>
        <v>135</v>
      </c>
      <c r="G203">
        <f>1*3</f>
        <v>3</v>
      </c>
      <c r="H203">
        <f>0*6</f>
        <v>0</v>
      </c>
    </row>
    <row r="204" spans="1:8" x14ac:dyDescent="0.3">
      <c r="A204" s="16" t="s">
        <v>495</v>
      </c>
      <c r="B204">
        <f>90*5</f>
        <v>450</v>
      </c>
      <c r="C204">
        <f>2.5*5</f>
        <v>12.5</v>
      </c>
      <c r="D204">
        <f>1*5</f>
        <v>5</v>
      </c>
      <c r="E204">
        <f>3*5</f>
        <v>15</v>
      </c>
      <c r="F204">
        <f>12*5</f>
        <v>60</v>
      </c>
      <c r="G204">
        <f>3*5</f>
        <v>15</v>
      </c>
      <c r="H204">
        <f>590*5</f>
        <v>2950</v>
      </c>
    </row>
    <row r="205" spans="1:8" x14ac:dyDescent="0.3">
      <c r="A205" s="16" t="s">
        <v>496</v>
      </c>
      <c r="B205">
        <v>100</v>
      </c>
      <c r="C205">
        <v>6</v>
      </c>
      <c r="D205">
        <v>4</v>
      </c>
      <c r="E205">
        <v>8</v>
      </c>
      <c r="F205">
        <v>2</v>
      </c>
      <c r="G205">
        <v>0</v>
      </c>
      <c r="H205">
        <v>280</v>
      </c>
    </row>
    <row r="206" spans="1:8" x14ac:dyDescent="0.3">
      <c r="A206" s="16" t="s">
        <v>494</v>
      </c>
      <c r="B206">
        <f>SUM(B204,B203,B202,B50*2,B93)</f>
        <v>2647</v>
      </c>
      <c r="C206">
        <f t="shared" ref="C206:H206" si="43">SUM(C204,C203,C202,C50*2,C93)</f>
        <v>88.5</v>
      </c>
      <c r="D206">
        <f t="shared" si="43"/>
        <v>33</v>
      </c>
      <c r="E206">
        <f t="shared" si="43"/>
        <v>91</v>
      </c>
      <c r="F206">
        <f t="shared" si="43"/>
        <v>229</v>
      </c>
      <c r="G206">
        <f t="shared" si="43"/>
        <v>29</v>
      </c>
      <c r="H206">
        <f t="shared" si="43"/>
        <v>3325</v>
      </c>
    </row>
    <row r="207" spans="1:8" x14ac:dyDescent="0.3">
      <c r="A207" s="16" t="s">
        <v>497</v>
      </c>
      <c r="B207">
        <f>B206/4</f>
        <v>661.75</v>
      </c>
      <c r="C207">
        <f t="shared" ref="C207:H207" si="44">C206/4</f>
        <v>22.125</v>
      </c>
      <c r="D207">
        <f t="shared" si="44"/>
        <v>8.25</v>
      </c>
      <c r="E207">
        <f t="shared" si="44"/>
        <v>22.75</v>
      </c>
      <c r="F207">
        <f t="shared" si="44"/>
        <v>57.25</v>
      </c>
      <c r="G207">
        <f t="shared" si="44"/>
        <v>7.25</v>
      </c>
      <c r="H207">
        <f t="shared" si="44"/>
        <v>831.25</v>
      </c>
    </row>
    <row r="208" spans="1:8" x14ac:dyDescent="0.3">
      <c r="A208" s="16" t="s">
        <v>502</v>
      </c>
      <c r="B208">
        <f>30*3.5</f>
        <v>105</v>
      </c>
      <c r="C208">
        <f>0</f>
        <v>0</v>
      </c>
      <c r="D208">
        <v>0</v>
      </c>
      <c r="E208">
        <f>1*3.5</f>
        <v>3.5</v>
      </c>
      <c r="F208">
        <f>4*3.5</f>
        <v>14</v>
      </c>
      <c r="G208">
        <f>2*3.5</f>
        <v>7</v>
      </c>
      <c r="H208">
        <f>20*3.5</f>
        <v>70</v>
      </c>
    </row>
    <row r="209" spans="1:8" x14ac:dyDescent="0.3">
      <c r="A209" s="16" t="s">
        <v>504</v>
      </c>
      <c r="B209">
        <f>SUM(B208,B204,B6*2,B61*5,B37*4.5,B50*2)</f>
        <v>3735</v>
      </c>
      <c r="C209">
        <f t="shared" ref="C209:H209" si="45">SUM(C208,C204,C6*2,C61*5,C37*4.5,C50*2)</f>
        <v>144</v>
      </c>
      <c r="D209">
        <f t="shared" si="45"/>
        <v>41</v>
      </c>
      <c r="E209">
        <f t="shared" si="45"/>
        <v>225.5</v>
      </c>
      <c r="F209">
        <f t="shared" si="45"/>
        <v>405.5</v>
      </c>
      <c r="G209">
        <f t="shared" si="45"/>
        <v>86</v>
      </c>
      <c r="H209">
        <f t="shared" si="45"/>
        <v>4625</v>
      </c>
    </row>
    <row r="210" spans="1:8" x14ac:dyDescent="0.3">
      <c r="A210" s="16" t="s">
        <v>503</v>
      </c>
      <c r="B210">
        <f>B209/5</f>
        <v>747</v>
      </c>
      <c r="C210">
        <f t="shared" ref="C210:H210" si="46">C209/5</f>
        <v>28.8</v>
      </c>
      <c r="D210">
        <f t="shared" si="46"/>
        <v>8.1999999999999993</v>
      </c>
      <c r="E210">
        <f t="shared" si="46"/>
        <v>45.1</v>
      </c>
      <c r="F210">
        <f t="shared" si="46"/>
        <v>81.099999999999994</v>
      </c>
      <c r="G210">
        <f t="shared" si="46"/>
        <v>17.2</v>
      </c>
      <c r="H210">
        <f t="shared" si="46"/>
        <v>925</v>
      </c>
    </row>
    <row r="211" spans="1:8" x14ac:dyDescent="0.3">
      <c r="A211" s="16" t="s">
        <v>505</v>
      </c>
      <c r="B211">
        <v>70</v>
      </c>
      <c r="C211">
        <v>5</v>
      </c>
      <c r="D211">
        <v>3.5</v>
      </c>
      <c r="E211">
        <v>1</v>
      </c>
      <c r="F211">
        <v>4</v>
      </c>
      <c r="G211">
        <v>0</v>
      </c>
      <c r="H211">
        <v>20</v>
      </c>
    </row>
    <row r="212" spans="1:8" x14ac:dyDescent="0.3">
      <c r="A212" s="16" t="s">
        <v>513</v>
      </c>
      <c r="B212">
        <v>80</v>
      </c>
      <c r="C212">
        <v>5</v>
      </c>
      <c r="D212">
        <v>1</v>
      </c>
      <c r="E212">
        <v>1</v>
      </c>
      <c r="F212">
        <v>20</v>
      </c>
      <c r="G212">
        <v>9</v>
      </c>
      <c r="H212">
        <v>0</v>
      </c>
    </row>
    <row r="213" spans="1:8" x14ac:dyDescent="0.3">
      <c r="A213" s="16" t="s">
        <v>514</v>
      </c>
      <c r="B213">
        <v>110</v>
      </c>
      <c r="C213">
        <v>11</v>
      </c>
      <c r="D213">
        <v>6</v>
      </c>
      <c r="E213">
        <v>2</v>
      </c>
      <c r="F213">
        <v>2</v>
      </c>
      <c r="G213">
        <v>0</v>
      </c>
      <c r="H213">
        <v>390</v>
      </c>
    </row>
    <row r="214" spans="1:8" x14ac:dyDescent="0.3">
      <c r="A214" s="16" t="s">
        <v>515</v>
      </c>
      <c r="B214">
        <f>SUM(B213*7,B202*3,B50*2,B39,B61*4.5)</f>
        <v>4692</v>
      </c>
      <c r="C214">
        <f t="shared" ref="C214:H214" si="47">SUM(C213*7,C202*3,C50*2,C39)</f>
        <v>231</v>
      </c>
      <c r="D214">
        <f t="shared" si="47"/>
        <v>118</v>
      </c>
      <c r="E214">
        <f t="shared" si="47"/>
        <v>186</v>
      </c>
      <c r="F214">
        <f t="shared" si="47"/>
        <v>102</v>
      </c>
      <c r="G214">
        <f t="shared" si="47"/>
        <v>29</v>
      </c>
      <c r="H214">
        <f t="shared" si="47"/>
        <v>3845</v>
      </c>
    </row>
    <row r="215" spans="1:8" x14ac:dyDescent="0.3">
      <c r="A215" s="16" t="s">
        <v>516</v>
      </c>
      <c r="B215">
        <f>B214/4</f>
        <v>1173</v>
      </c>
      <c r="C215">
        <f t="shared" ref="C215:H215" si="48">C214/4</f>
        <v>57.75</v>
      </c>
      <c r="D215">
        <f t="shared" si="48"/>
        <v>29.5</v>
      </c>
      <c r="E215">
        <f t="shared" si="48"/>
        <v>46.5</v>
      </c>
      <c r="F215">
        <f t="shared" si="48"/>
        <v>25.5</v>
      </c>
      <c r="G215">
        <f t="shared" si="48"/>
        <v>7.25</v>
      </c>
      <c r="H215">
        <f t="shared" si="48"/>
        <v>961.25</v>
      </c>
    </row>
    <row r="216" spans="1:8" x14ac:dyDescent="0.3">
      <c r="A216" s="16" t="s">
        <v>519</v>
      </c>
      <c r="B216" s="17">
        <v>120</v>
      </c>
      <c r="C216" s="17">
        <v>5</v>
      </c>
      <c r="D216" s="17">
        <v>3</v>
      </c>
      <c r="E216" s="17">
        <v>1</v>
      </c>
      <c r="F216" s="17">
        <v>17</v>
      </c>
      <c r="G216" s="17">
        <v>1</v>
      </c>
      <c r="H216" s="17">
        <v>100</v>
      </c>
    </row>
    <row r="217" spans="1:8" x14ac:dyDescent="0.3">
      <c r="A217" s="16" t="s">
        <v>522</v>
      </c>
      <c r="B217">
        <v>140</v>
      </c>
      <c r="C217">
        <v>7</v>
      </c>
      <c r="D217">
        <v>1</v>
      </c>
      <c r="E217">
        <v>2</v>
      </c>
      <c r="F217">
        <v>18</v>
      </c>
      <c r="G217">
        <v>2</v>
      </c>
      <c r="H217">
        <v>90</v>
      </c>
    </row>
    <row r="218" spans="1:8" x14ac:dyDescent="0.3">
      <c r="A218" s="16" t="s">
        <v>523</v>
      </c>
      <c r="B218">
        <f>SUM(B39,B41,B50*2,B95*4)</f>
        <v>1344</v>
      </c>
      <c r="C218">
        <f t="shared" ref="C218:H218" si="49">SUM(C39,C41,C50*2,C95*4)</f>
        <v>100</v>
      </c>
      <c r="D218">
        <f t="shared" si="49"/>
        <v>24</v>
      </c>
      <c r="E218">
        <f t="shared" si="49"/>
        <v>82</v>
      </c>
      <c r="F218">
        <f t="shared" si="49"/>
        <v>33</v>
      </c>
      <c r="G218">
        <f t="shared" si="49"/>
        <v>11</v>
      </c>
      <c r="H218">
        <f t="shared" si="49"/>
        <v>1407</v>
      </c>
    </row>
    <row r="219" spans="1:8" x14ac:dyDescent="0.3">
      <c r="A219" s="16" t="s">
        <v>524</v>
      </c>
      <c r="B219" s="17">
        <f>B218/3</f>
        <v>448</v>
      </c>
      <c r="C219" s="17">
        <f t="shared" ref="C219:H219" si="50">C218/3</f>
        <v>33.333333333333336</v>
      </c>
      <c r="D219" s="17">
        <f t="shared" si="50"/>
        <v>8</v>
      </c>
      <c r="E219" s="17">
        <f t="shared" si="50"/>
        <v>27.333333333333332</v>
      </c>
      <c r="F219" s="17">
        <f t="shared" si="50"/>
        <v>11</v>
      </c>
      <c r="G219" s="17">
        <f t="shared" si="50"/>
        <v>3.6666666666666665</v>
      </c>
      <c r="H219" s="17">
        <f t="shared" si="50"/>
        <v>469</v>
      </c>
    </row>
    <row r="220" spans="1:8" x14ac:dyDescent="0.3">
      <c r="A220" s="16" t="s">
        <v>527</v>
      </c>
      <c r="B220">
        <v>30</v>
      </c>
      <c r="C220">
        <v>2.5</v>
      </c>
      <c r="D220">
        <v>0</v>
      </c>
      <c r="E220">
        <v>1</v>
      </c>
      <c r="F220">
        <v>1</v>
      </c>
      <c r="G220">
        <v>1</v>
      </c>
      <c r="H220">
        <v>170</v>
      </c>
    </row>
    <row r="221" spans="1:8" x14ac:dyDescent="0.3">
      <c r="A221" s="16" t="s">
        <v>528</v>
      </c>
      <c r="B221">
        <v>266</v>
      </c>
      <c r="C221">
        <v>0.1</v>
      </c>
      <c r="D221">
        <v>0</v>
      </c>
      <c r="E221">
        <v>1.7</v>
      </c>
      <c r="F221">
        <v>72</v>
      </c>
      <c r="G221">
        <v>6.4</v>
      </c>
      <c r="H221">
        <v>0</v>
      </c>
    </row>
    <row r="222" spans="1:8" x14ac:dyDescent="0.3">
      <c r="A222" s="16" t="s">
        <v>529</v>
      </c>
      <c r="B222">
        <v>180</v>
      </c>
      <c r="C222">
        <v>0</v>
      </c>
      <c r="D222">
        <v>0</v>
      </c>
      <c r="E222">
        <v>0</v>
      </c>
      <c r="F222">
        <v>48</v>
      </c>
      <c r="G222">
        <v>4</v>
      </c>
      <c r="H222">
        <v>20</v>
      </c>
    </row>
    <row r="223" spans="1:8" x14ac:dyDescent="0.3">
      <c r="A223" s="16" t="s">
        <v>530</v>
      </c>
      <c r="B223">
        <v>179</v>
      </c>
      <c r="C223">
        <v>14.5</v>
      </c>
      <c r="D223">
        <v>10.199999999999999</v>
      </c>
      <c r="E223">
        <v>9.6999999999999993</v>
      </c>
      <c r="F223">
        <v>10.8</v>
      </c>
      <c r="G223">
        <v>0</v>
      </c>
      <c r="H223">
        <v>759</v>
      </c>
    </row>
    <row r="224" spans="1:8" x14ac:dyDescent="0.3">
      <c r="A224" s="16" t="s">
        <v>533</v>
      </c>
      <c r="B224">
        <v>300</v>
      </c>
      <c r="C224">
        <v>10</v>
      </c>
      <c r="D224">
        <v>6</v>
      </c>
      <c r="E224">
        <v>4</v>
      </c>
      <c r="F224">
        <v>38</v>
      </c>
      <c r="G224">
        <v>2</v>
      </c>
      <c r="H224">
        <v>240</v>
      </c>
    </row>
    <row r="225" spans="1:8" x14ac:dyDescent="0.3">
      <c r="A225" s="16" t="s">
        <v>534</v>
      </c>
      <c r="B225">
        <v>500</v>
      </c>
      <c r="C225">
        <v>24</v>
      </c>
      <c r="D225">
        <v>9</v>
      </c>
      <c r="E225">
        <v>8</v>
      </c>
      <c r="F225">
        <v>66</v>
      </c>
      <c r="G225">
        <v>2</v>
      </c>
      <c r="H225">
        <v>240</v>
      </c>
    </row>
    <row r="226" spans="1:8" x14ac:dyDescent="0.3">
      <c r="A226" s="16" t="s">
        <v>537</v>
      </c>
      <c r="B226" s="17">
        <v>110</v>
      </c>
      <c r="C226" s="17">
        <v>9</v>
      </c>
      <c r="D226" s="17">
        <v>5</v>
      </c>
      <c r="E226" s="17">
        <v>6</v>
      </c>
      <c r="F226" s="17">
        <v>1</v>
      </c>
      <c r="G226" s="17">
        <v>0</v>
      </c>
      <c r="H226" s="17">
        <v>260</v>
      </c>
    </row>
    <row r="227" spans="1:8" x14ac:dyDescent="0.3">
      <c r="A227" s="16" t="s">
        <v>542</v>
      </c>
      <c r="B227">
        <v>90</v>
      </c>
      <c r="C227">
        <v>6</v>
      </c>
      <c r="D227">
        <v>3.5</v>
      </c>
      <c r="E227">
        <v>7</v>
      </c>
      <c r="F227">
        <v>2</v>
      </c>
      <c r="G227">
        <v>0</v>
      </c>
      <c r="H227">
        <v>200</v>
      </c>
    </row>
    <row r="228" spans="1:8" x14ac:dyDescent="0.3">
      <c r="A228" s="16" t="s">
        <v>543</v>
      </c>
      <c r="B228">
        <v>120</v>
      </c>
      <c r="C228">
        <v>14</v>
      </c>
      <c r="D228">
        <v>2</v>
      </c>
      <c r="E228">
        <v>0</v>
      </c>
      <c r="F228">
        <v>0</v>
      </c>
      <c r="G228">
        <v>0</v>
      </c>
      <c r="H228">
        <v>0</v>
      </c>
    </row>
    <row r="229" spans="1:8" x14ac:dyDescent="0.3">
      <c r="A229" s="16" t="s">
        <v>545</v>
      </c>
      <c r="B229">
        <f>SUM(B111*12,B115*5,B95*4.5,B93,B94,B228*2)</f>
        <v>4117</v>
      </c>
      <c r="C229">
        <f t="shared" ref="C229:H229" si="51">SUM(C111*12,C115*5,C95*4.5,C93,C94,C228*2)</f>
        <v>128.5</v>
      </c>
      <c r="D229">
        <f t="shared" si="51"/>
        <v>29</v>
      </c>
      <c r="E229">
        <f t="shared" si="51"/>
        <v>150</v>
      </c>
      <c r="F229">
        <f t="shared" si="51"/>
        <v>622.5</v>
      </c>
      <c r="G229">
        <f t="shared" si="51"/>
        <v>43</v>
      </c>
      <c r="H229">
        <f t="shared" si="51"/>
        <v>3980</v>
      </c>
    </row>
    <row r="230" spans="1:8" x14ac:dyDescent="0.3">
      <c r="A230" s="16" t="s">
        <v>544</v>
      </c>
      <c r="B230" s="17">
        <f>B229/6</f>
        <v>686.16666666666663</v>
      </c>
      <c r="C230" s="17">
        <f t="shared" ref="C230:H230" si="52">C229/6</f>
        <v>21.416666666666668</v>
      </c>
      <c r="D230" s="17">
        <f t="shared" si="52"/>
        <v>4.833333333333333</v>
      </c>
      <c r="E230" s="17">
        <f t="shared" si="52"/>
        <v>25</v>
      </c>
      <c r="F230" s="17">
        <f t="shared" si="52"/>
        <v>103.75</v>
      </c>
      <c r="G230" s="17">
        <f t="shared" si="52"/>
        <v>7.166666666666667</v>
      </c>
      <c r="H230" s="17">
        <f t="shared" si="52"/>
        <v>663.33333333333337</v>
      </c>
    </row>
    <row r="231" spans="1:8" x14ac:dyDescent="0.3">
      <c r="A231" s="16" t="s">
        <v>548</v>
      </c>
      <c r="B231">
        <v>110</v>
      </c>
      <c r="C231">
        <v>7</v>
      </c>
      <c r="D231">
        <v>4</v>
      </c>
      <c r="E231">
        <v>10</v>
      </c>
      <c r="F231">
        <v>2</v>
      </c>
      <c r="G231">
        <v>0</v>
      </c>
      <c r="H231">
        <v>330</v>
      </c>
    </row>
    <row r="232" spans="1:8" x14ac:dyDescent="0.3">
      <c r="A232" s="16" t="s">
        <v>549</v>
      </c>
      <c r="B232">
        <v>480</v>
      </c>
      <c r="C232">
        <v>23</v>
      </c>
      <c r="D232">
        <v>4</v>
      </c>
      <c r="E232">
        <v>7</v>
      </c>
      <c r="F232">
        <v>63</v>
      </c>
      <c r="G232">
        <v>6</v>
      </c>
      <c r="H232">
        <v>370</v>
      </c>
    </row>
    <row r="233" spans="1:8" x14ac:dyDescent="0.3">
      <c r="A233" s="16" t="s">
        <v>550</v>
      </c>
      <c r="B233">
        <v>330</v>
      </c>
      <c r="C233">
        <v>14</v>
      </c>
      <c r="D233">
        <v>11</v>
      </c>
      <c r="E233">
        <v>5</v>
      </c>
      <c r="F233">
        <v>44</v>
      </c>
      <c r="G233">
        <v>0</v>
      </c>
      <c r="H233">
        <v>60</v>
      </c>
    </row>
    <row r="234" spans="1:8" x14ac:dyDescent="0.3">
      <c r="A234" s="16" t="s">
        <v>551</v>
      </c>
      <c r="B234">
        <v>76</v>
      </c>
      <c r="C234">
        <v>5.8</v>
      </c>
      <c r="D234">
        <v>2.6</v>
      </c>
      <c r="E234">
        <v>2.9</v>
      </c>
      <c r="F234">
        <v>3</v>
      </c>
      <c r="G234">
        <v>0.2</v>
      </c>
      <c r="H234">
        <v>361</v>
      </c>
    </row>
    <row r="235" spans="1:8" x14ac:dyDescent="0.3">
      <c r="A235" s="16" t="s">
        <v>554</v>
      </c>
      <c r="B235">
        <v>220</v>
      </c>
      <c r="C235">
        <v>17</v>
      </c>
      <c r="D235">
        <v>12</v>
      </c>
      <c r="E235">
        <v>2</v>
      </c>
      <c r="F235">
        <v>16</v>
      </c>
      <c r="G235">
        <v>1</v>
      </c>
      <c r="H235">
        <v>35</v>
      </c>
    </row>
    <row r="236" spans="1:8" x14ac:dyDescent="0.3">
      <c r="A236" s="16" t="s">
        <v>555</v>
      </c>
      <c r="B236">
        <v>519</v>
      </c>
      <c r="C236">
        <v>0</v>
      </c>
      <c r="D236">
        <v>0</v>
      </c>
      <c r="E236">
        <v>4</v>
      </c>
      <c r="F236">
        <v>124</v>
      </c>
      <c r="G236">
        <v>0</v>
      </c>
      <c r="H236">
        <v>60</v>
      </c>
    </row>
    <row r="237" spans="1:8" x14ac:dyDescent="0.3">
      <c r="A237" t="s">
        <v>567</v>
      </c>
      <c r="B237">
        <f t="shared" ref="B237:G237" si="53">SUM(B40*2,B39,B37*4.5,B331*5,B115*5)</f>
        <v>8387</v>
      </c>
      <c r="C237">
        <f t="shared" si="53"/>
        <v>3938.5</v>
      </c>
      <c r="D237">
        <f t="shared" si="53"/>
        <v>685</v>
      </c>
      <c r="E237">
        <f t="shared" si="53"/>
        <v>258</v>
      </c>
      <c r="F237">
        <f t="shared" si="53"/>
        <v>169.5</v>
      </c>
      <c r="G237">
        <f t="shared" si="53"/>
        <v>207</v>
      </c>
      <c r="H237">
        <f t="shared" ref="H237" si="54">SUM(H40*2,H39,H37*4.5,H330*5,H115*5)</f>
        <v>4055</v>
      </c>
    </row>
    <row r="238" spans="1:8" x14ac:dyDescent="0.3">
      <c r="A238" s="16" t="s">
        <v>568</v>
      </c>
      <c r="B238">
        <f>B237/4</f>
        <v>2096.75</v>
      </c>
      <c r="C238">
        <f t="shared" ref="C238:H238" si="55">C237/4</f>
        <v>984.625</v>
      </c>
      <c r="D238">
        <f t="shared" si="55"/>
        <v>171.25</v>
      </c>
      <c r="E238">
        <f t="shared" si="55"/>
        <v>64.5</v>
      </c>
      <c r="F238">
        <f t="shared" si="55"/>
        <v>42.375</v>
      </c>
      <c r="G238">
        <f t="shared" si="55"/>
        <v>51.75</v>
      </c>
      <c r="H238">
        <f t="shared" si="55"/>
        <v>1013.75</v>
      </c>
    </row>
    <row r="239" spans="1:8" x14ac:dyDescent="0.3">
      <c r="A239" s="16" t="s">
        <v>561</v>
      </c>
      <c r="B239">
        <f>120*4.5</f>
        <v>540</v>
      </c>
      <c r="C239">
        <f>2*4.5</f>
        <v>9</v>
      </c>
      <c r="D239">
        <f>0*4.5</f>
        <v>0</v>
      </c>
      <c r="E239">
        <f>18*4.5</f>
        <v>81</v>
      </c>
      <c r="F239">
        <f>7*4.5</f>
        <v>31.5</v>
      </c>
      <c r="G239">
        <f>5*4.5</f>
        <v>22.5</v>
      </c>
      <c r="H239">
        <f>360*4.5</f>
        <v>1620</v>
      </c>
    </row>
    <row r="240" spans="1:8" x14ac:dyDescent="0.3">
      <c r="A240" s="16" t="s">
        <v>563</v>
      </c>
      <c r="B240">
        <v>30</v>
      </c>
      <c r="C240">
        <v>0</v>
      </c>
      <c r="D240">
        <v>0</v>
      </c>
      <c r="E240">
        <v>1</v>
      </c>
      <c r="F240">
        <v>4</v>
      </c>
      <c r="G240">
        <v>2</v>
      </c>
      <c r="H240">
        <v>20</v>
      </c>
    </row>
    <row r="241" spans="1:8" x14ac:dyDescent="0.3">
      <c r="A241" s="16" t="s">
        <v>564</v>
      </c>
      <c r="B241" s="17">
        <f>SUM(B240*3.5,B239*4.5,B41*2, B36*7,B115*5)</f>
        <v>4339</v>
      </c>
      <c r="C241" s="17">
        <f t="shared" ref="C241:H241" si="56">SUM(C240*3.5,C239*4.5,C41*2, C36*7,C115*5)</f>
        <v>55</v>
      </c>
      <c r="D241" s="17">
        <f t="shared" si="56"/>
        <v>2.5</v>
      </c>
      <c r="E241" s="17">
        <f t="shared" si="56"/>
        <v>408</v>
      </c>
      <c r="F241" s="17">
        <f t="shared" si="56"/>
        <v>530.75</v>
      </c>
      <c r="G241" s="17">
        <f t="shared" si="56"/>
        <v>122.25</v>
      </c>
      <c r="H241" s="17">
        <f t="shared" si="56"/>
        <v>9764</v>
      </c>
    </row>
    <row r="242" spans="1:8" x14ac:dyDescent="0.3">
      <c r="A242" s="16" t="s">
        <v>565</v>
      </c>
      <c r="B242" s="17">
        <f>B241/6</f>
        <v>723.16666666666663</v>
      </c>
      <c r="C242" s="17">
        <f t="shared" ref="C242:H242" si="57">C241/6</f>
        <v>9.1666666666666661</v>
      </c>
      <c r="D242" s="17">
        <f t="shared" si="57"/>
        <v>0.41666666666666669</v>
      </c>
      <c r="E242" s="17">
        <f t="shared" si="57"/>
        <v>68</v>
      </c>
      <c r="F242" s="17">
        <f t="shared" si="57"/>
        <v>88.458333333333329</v>
      </c>
      <c r="G242" s="17">
        <f t="shared" si="57"/>
        <v>20.375</v>
      </c>
      <c r="H242" s="17">
        <f t="shared" si="57"/>
        <v>1627.3333333333333</v>
      </c>
    </row>
    <row r="243" spans="1:8" x14ac:dyDescent="0.3">
      <c r="A243" s="16" t="s">
        <v>570</v>
      </c>
      <c r="B243">
        <v>320</v>
      </c>
      <c r="C243">
        <v>17</v>
      </c>
      <c r="D243">
        <v>10</v>
      </c>
      <c r="E243">
        <v>7</v>
      </c>
      <c r="F243">
        <v>35</v>
      </c>
      <c r="G243">
        <v>1</v>
      </c>
      <c r="H243">
        <v>250</v>
      </c>
    </row>
    <row r="244" spans="1:8" x14ac:dyDescent="0.3">
      <c r="A244" s="16" t="s">
        <v>571</v>
      </c>
      <c r="B244">
        <v>300</v>
      </c>
      <c r="C244">
        <v>15</v>
      </c>
      <c r="D244">
        <v>2.5</v>
      </c>
      <c r="E244">
        <v>3</v>
      </c>
      <c r="F244">
        <v>39</v>
      </c>
      <c r="G244">
        <v>4</v>
      </c>
      <c r="H244">
        <v>600</v>
      </c>
    </row>
    <row r="245" spans="1:8" x14ac:dyDescent="0.3">
      <c r="A245" s="16" t="s">
        <v>572</v>
      </c>
      <c r="B245" s="17">
        <f>180*16</f>
        <v>2880</v>
      </c>
      <c r="C245" s="17">
        <f>2.5*16</f>
        <v>40</v>
      </c>
      <c r="D245" s="17">
        <f>1.5*16</f>
        <v>24</v>
      </c>
      <c r="E245" s="17">
        <f>1*16</f>
        <v>16</v>
      </c>
      <c r="F245" s="17">
        <f>26*16</f>
        <v>416</v>
      </c>
      <c r="G245" s="17">
        <f>1*16</f>
        <v>16</v>
      </c>
      <c r="H245" s="17">
        <f>85*16</f>
        <v>1360</v>
      </c>
    </row>
    <row r="246" spans="1:8" x14ac:dyDescent="0.3">
      <c r="A246" s="16" t="s">
        <v>573</v>
      </c>
      <c r="B246" s="17">
        <f>(B245/12)*2</f>
        <v>480</v>
      </c>
      <c r="C246" s="17">
        <f t="shared" ref="C246:H246" si="58">(C245/12)*2</f>
        <v>6.666666666666667</v>
      </c>
      <c r="D246" s="17">
        <f t="shared" si="58"/>
        <v>4</v>
      </c>
      <c r="E246" s="17">
        <f t="shared" si="58"/>
        <v>2.6666666666666665</v>
      </c>
      <c r="F246" s="17">
        <f t="shared" si="58"/>
        <v>69.333333333333329</v>
      </c>
      <c r="G246" s="17">
        <f t="shared" si="58"/>
        <v>2.6666666666666665</v>
      </c>
      <c r="H246" s="17">
        <f t="shared" si="58"/>
        <v>226.66666666666666</v>
      </c>
    </row>
    <row r="247" spans="1:8" x14ac:dyDescent="0.3">
      <c r="A247" s="16" t="s">
        <v>577</v>
      </c>
      <c r="B247">
        <f>100*9</f>
        <v>900</v>
      </c>
      <c r="C247">
        <f>0*9</f>
        <v>0</v>
      </c>
      <c r="D247">
        <f>0*9</f>
        <v>0</v>
      </c>
      <c r="E247">
        <f>2*9</f>
        <v>18</v>
      </c>
      <c r="F247">
        <f>23*9</f>
        <v>207</v>
      </c>
      <c r="G247">
        <f>14*9</f>
        <v>126</v>
      </c>
      <c r="H247">
        <f>5*9</f>
        <v>45</v>
      </c>
    </row>
    <row r="248" spans="1:8" x14ac:dyDescent="0.3">
      <c r="A248" s="16" t="s">
        <v>578</v>
      </c>
      <c r="B248">
        <f>150*4</f>
        <v>600</v>
      </c>
      <c r="C248">
        <f>9*4</f>
        <v>36</v>
      </c>
      <c r="D248">
        <f>5*4</f>
        <v>20</v>
      </c>
      <c r="E248">
        <f>3*4</f>
        <v>12</v>
      </c>
      <c r="F248">
        <f>17*4</f>
        <v>68</v>
      </c>
      <c r="G248">
        <f>1*4</f>
        <v>4</v>
      </c>
      <c r="H248">
        <f>50*4</f>
        <v>200</v>
      </c>
    </row>
    <row r="249" spans="1:8" x14ac:dyDescent="0.3">
      <c r="A249" s="16" t="s">
        <v>579</v>
      </c>
      <c r="B249" s="17">
        <v>377</v>
      </c>
      <c r="C249" s="17">
        <v>0</v>
      </c>
      <c r="D249" s="17">
        <v>0</v>
      </c>
      <c r="E249" s="17">
        <v>0.3</v>
      </c>
      <c r="F249" s="17">
        <v>10.9</v>
      </c>
      <c r="G249" s="17">
        <f t="shared" ref="G249" si="59">G49*2</f>
        <v>0</v>
      </c>
      <c r="H249" s="17">
        <v>0</v>
      </c>
    </row>
    <row r="250" spans="1:8" x14ac:dyDescent="0.3">
      <c r="A250" s="16" t="s">
        <v>580</v>
      </c>
      <c r="B250">
        <v>165</v>
      </c>
      <c r="C250">
        <v>0.7</v>
      </c>
      <c r="D250">
        <v>0.1</v>
      </c>
      <c r="E250">
        <v>5.5</v>
      </c>
      <c r="F250">
        <v>33.4</v>
      </c>
      <c r="G250">
        <v>1.3</v>
      </c>
      <c r="H250">
        <v>322</v>
      </c>
    </row>
    <row r="251" spans="1:8" x14ac:dyDescent="0.3">
      <c r="A251" s="16" t="s">
        <v>585</v>
      </c>
      <c r="B251">
        <v>40</v>
      </c>
      <c r="C251">
        <v>0</v>
      </c>
      <c r="D251">
        <v>0</v>
      </c>
      <c r="E251">
        <v>1</v>
      </c>
      <c r="F251">
        <v>8</v>
      </c>
      <c r="G251">
        <v>0</v>
      </c>
      <c r="H251">
        <v>1520</v>
      </c>
    </row>
    <row r="252" spans="1:8" x14ac:dyDescent="0.3">
      <c r="A252" s="16" t="s">
        <v>584</v>
      </c>
      <c r="B252">
        <v>578.5</v>
      </c>
      <c r="C252">
        <v>11.074999999999999</v>
      </c>
      <c r="D252">
        <v>2.15</v>
      </c>
      <c r="E252">
        <v>17.699999999999996</v>
      </c>
      <c r="F252">
        <v>101.75</v>
      </c>
      <c r="G252">
        <v>8.25</v>
      </c>
      <c r="H252">
        <v>1731</v>
      </c>
    </row>
    <row r="253" spans="1:8" x14ac:dyDescent="0.3">
      <c r="A253" s="16" t="s">
        <v>587</v>
      </c>
      <c r="B253" s="17">
        <v>380</v>
      </c>
      <c r="C253" s="17">
        <v>14</v>
      </c>
      <c r="D253" s="17">
        <v>2</v>
      </c>
      <c r="E253" s="17">
        <v>6</v>
      </c>
      <c r="F253" s="17">
        <v>60</v>
      </c>
      <c r="G253" s="17">
        <v>3</v>
      </c>
      <c r="H253" s="17">
        <v>950</v>
      </c>
    </row>
    <row r="254" spans="1:8" x14ac:dyDescent="0.3">
      <c r="A254" s="16" t="s">
        <v>588</v>
      </c>
      <c r="B254">
        <v>380</v>
      </c>
      <c r="C254">
        <v>14</v>
      </c>
      <c r="D254">
        <v>1.5</v>
      </c>
      <c r="E254">
        <v>6</v>
      </c>
      <c r="F254">
        <v>61</v>
      </c>
      <c r="G254">
        <v>3</v>
      </c>
      <c r="H254">
        <v>960</v>
      </c>
    </row>
    <row r="255" spans="1:8" x14ac:dyDescent="0.3">
      <c r="A255" s="16" t="s">
        <v>589</v>
      </c>
      <c r="B255">
        <v>60</v>
      </c>
      <c r="C255">
        <v>0.5</v>
      </c>
      <c r="D255">
        <v>0</v>
      </c>
      <c r="E255">
        <v>0</v>
      </c>
      <c r="F255">
        <v>15</v>
      </c>
      <c r="G255">
        <v>5</v>
      </c>
      <c r="H255">
        <v>0</v>
      </c>
    </row>
    <row r="256" spans="1:8" x14ac:dyDescent="0.3">
      <c r="A256" s="16" t="s">
        <v>590</v>
      </c>
      <c r="B256">
        <v>70</v>
      </c>
      <c r="C256">
        <v>1</v>
      </c>
      <c r="D256">
        <v>0</v>
      </c>
      <c r="E256">
        <v>0</v>
      </c>
      <c r="F256">
        <v>19</v>
      </c>
      <c r="G256">
        <v>4</v>
      </c>
      <c r="H256">
        <v>0</v>
      </c>
    </row>
    <row r="257" spans="1:8" x14ac:dyDescent="0.3">
      <c r="A257" s="16" t="s">
        <v>591</v>
      </c>
      <c r="B257">
        <v>90</v>
      </c>
      <c r="C257">
        <v>0.5</v>
      </c>
      <c r="D257">
        <v>0</v>
      </c>
      <c r="E257">
        <v>1</v>
      </c>
      <c r="F257">
        <v>20</v>
      </c>
      <c r="G257">
        <v>2</v>
      </c>
      <c r="H257">
        <v>0</v>
      </c>
    </row>
    <row r="258" spans="1:8" x14ac:dyDescent="0.3">
      <c r="A258" s="16" t="s">
        <v>592</v>
      </c>
      <c r="B258">
        <v>30</v>
      </c>
      <c r="C258">
        <v>2.5</v>
      </c>
      <c r="D258">
        <v>0</v>
      </c>
      <c r="E258">
        <v>1</v>
      </c>
      <c r="F258">
        <v>1</v>
      </c>
      <c r="G258">
        <v>1</v>
      </c>
      <c r="H258">
        <v>170</v>
      </c>
    </row>
    <row r="259" spans="1:8" x14ac:dyDescent="0.3">
      <c r="A259" s="16" t="s">
        <v>593</v>
      </c>
      <c r="B259">
        <v>680</v>
      </c>
      <c r="C259">
        <v>25</v>
      </c>
      <c r="D259">
        <v>7</v>
      </c>
      <c r="E259">
        <v>18</v>
      </c>
      <c r="F259">
        <v>98</v>
      </c>
      <c r="G259">
        <v>5</v>
      </c>
      <c r="H259">
        <v>1040</v>
      </c>
    </row>
    <row r="260" spans="1:8" x14ac:dyDescent="0.3">
      <c r="A260" s="16" t="s">
        <v>598</v>
      </c>
      <c r="B260">
        <v>130</v>
      </c>
      <c r="C260">
        <v>14</v>
      </c>
      <c r="D260">
        <v>2</v>
      </c>
      <c r="E260">
        <v>0</v>
      </c>
      <c r="F260">
        <v>0</v>
      </c>
      <c r="G260">
        <v>0</v>
      </c>
      <c r="H260">
        <v>0</v>
      </c>
    </row>
    <row r="261" spans="1:8" x14ac:dyDescent="0.3">
      <c r="A261" s="16" t="s">
        <v>597</v>
      </c>
      <c r="B261" s="17">
        <v>38</v>
      </c>
      <c r="C261" s="17">
        <v>0.7</v>
      </c>
      <c r="D261" s="17">
        <v>0.2</v>
      </c>
      <c r="E261" s="17">
        <v>2.7</v>
      </c>
      <c r="F261" s="17">
        <v>7.9</v>
      </c>
      <c r="G261" s="17">
        <v>2.2999999999999998</v>
      </c>
      <c r="H261" s="17">
        <v>18</v>
      </c>
    </row>
    <row r="262" spans="1:8" x14ac:dyDescent="0.3">
      <c r="A262" s="16" t="s">
        <v>599</v>
      </c>
      <c r="B262">
        <f>SUM(B37, B41*2, B39, B260*4)</f>
        <v>871</v>
      </c>
      <c r="C262">
        <f t="shared" ref="C262:H262" si="60">SUM(C37, C41*2, C39, C260*4)</f>
        <v>74</v>
      </c>
      <c r="D262">
        <f t="shared" si="60"/>
        <v>13</v>
      </c>
      <c r="E262">
        <f t="shared" si="60"/>
        <v>23</v>
      </c>
      <c r="F262">
        <f t="shared" si="60"/>
        <v>24</v>
      </c>
      <c r="G262">
        <f t="shared" si="60"/>
        <v>6</v>
      </c>
      <c r="H262">
        <f t="shared" si="60"/>
        <v>359</v>
      </c>
    </row>
    <row r="263" spans="1:8" x14ac:dyDescent="0.3">
      <c r="A263" s="16" t="s">
        <v>600</v>
      </c>
      <c r="B263" s="17">
        <f>B262/3</f>
        <v>290.33333333333331</v>
      </c>
      <c r="C263" s="17">
        <f t="shared" ref="C263:H263" si="61">C262/3</f>
        <v>24.666666666666668</v>
      </c>
      <c r="D263" s="17">
        <f t="shared" si="61"/>
        <v>4.333333333333333</v>
      </c>
      <c r="E263" s="17">
        <f t="shared" si="61"/>
        <v>7.666666666666667</v>
      </c>
      <c r="F263" s="17">
        <f t="shared" si="61"/>
        <v>8</v>
      </c>
      <c r="G263" s="17">
        <f t="shared" si="61"/>
        <v>2</v>
      </c>
      <c r="H263" s="17">
        <f t="shared" si="61"/>
        <v>119.66666666666667</v>
      </c>
    </row>
    <row r="264" spans="1:8" x14ac:dyDescent="0.3">
      <c r="A264" s="17" t="s">
        <v>603</v>
      </c>
      <c r="B264" s="17">
        <v>52</v>
      </c>
      <c r="C264" s="17">
        <v>1</v>
      </c>
      <c r="D264" s="17">
        <v>0</v>
      </c>
      <c r="E264" s="17">
        <v>1</v>
      </c>
      <c r="F264" s="17">
        <v>10</v>
      </c>
      <c r="G264" s="17">
        <v>1</v>
      </c>
      <c r="H264" s="17">
        <v>26</v>
      </c>
    </row>
    <row r="265" spans="1:8" x14ac:dyDescent="0.3">
      <c r="A265" s="16" t="s">
        <v>605</v>
      </c>
      <c r="B265" s="17">
        <v>70</v>
      </c>
      <c r="C265" s="17">
        <v>1</v>
      </c>
      <c r="D265" s="17">
        <v>0.2</v>
      </c>
      <c r="E265" s="17">
        <v>14.3</v>
      </c>
      <c r="F265" s="17">
        <v>0</v>
      </c>
      <c r="G265" s="17">
        <v>0</v>
      </c>
      <c r="H265" s="17">
        <v>80</v>
      </c>
    </row>
    <row r="266" spans="1:8" x14ac:dyDescent="0.3">
      <c r="A266" s="16" t="s">
        <v>606</v>
      </c>
      <c r="B266" s="17">
        <v>370</v>
      </c>
      <c r="C266" s="17">
        <v>15</v>
      </c>
      <c r="D266" s="17">
        <v>15</v>
      </c>
      <c r="E266" s="17">
        <v>0</v>
      </c>
      <c r="F266" s="17">
        <v>60</v>
      </c>
      <c r="G266" s="17">
        <v>0</v>
      </c>
      <c r="H266" s="17">
        <v>25</v>
      </c>
    </row>
    <row r="267" spans="1:8" x14ac:dyDescent="0.3">
      <c r="A267" s="16" t="s">
        <v>607</v>
      </c>
      <c r="B267" s="17">
        <v>140</v>
      </c>
      <c r="C267" s="17">
        <v>7</v>
      </c>
      <c r="D267" s="17">
        <v>0.5</v>
      </c>
      <c r="E267" s="17">
        <v>2</v>
      </c>
      <c r="F267" s="17">
        <v>16</v>
      </c>
      <c r="G267" s="17">
        <v>1</v>
      </c>
      <c r="H267" s="17">
        <v>120</v>
      </c>
    </row>
    <row r="268" spans="1:8" x14ac:dyDescent="0.3">
      <c r="A268" s="16" t="s">
        <v>608</v>
      </c>
      <c r="B268" s="17">
        <v>140</v>
      </c>
      <c r="C268" s="17">
        <v>7</v>
      </c>
      <c r="D268" s="17">
        <v>0.5</v>
      </c>
      <c r="E268" s="17">
        <v>2</v>
      </c>
      <c r="F268" s="17">
        <v>16</v>
      </c>
      <c r="G268" s="17">
        <v>1</v>
      </c>
      <c r="H268" s="17">
        <v>80</v>
      </c>
    </row>
    <row r="269" spans="1:8" x14ac:dyDescent="0.3">
      <c r="A269" s="16" t="s">
        <v>609</v>
      </c>
      <c r="B269">
        <f>B252+B256</f>
        <v>648.5</v>
      </c>
      <c r="C269">
        <f t="shared" ref="C269:H269" si="62">C252+C256</f>
        <v>12.074999999999999</v>
      </c>
      <c r="D269">
        <f t="shared" si="62"/>
        <v>2.15</v>
      </c>
      <c r="E269">
        <f t="shared" si="62"/>
        <v>17.699999999999996</v>
      </c>
      <c r="F269">
        <f t="shared" si="62"/>
        <v>120.75</v>
      </c>
      <c r="G269">
        <f t="shared" si="62"/>
        <v>12.25</v>
      </c>
      <c r="H269">
        <f t="shared" si="62"/>
        <v>1731</v>
      </c>
    </row>
    <row r="270" spans="1:8" x14ac:dyDescent="0.3">
      <c r="A270" s="16" t="s">
        <v>610</v>
      </c>
      <c r="B270" s="17">
        <v>96</v>
      </c>
      <c r="C270" s="17">
        <v>4.5</v>
      </c>
      <c r="D270" s="17">
        <v>1.5</v>
      </c>
      <c r="E270" s="17">
        <v>1.1000000000000001</v>
      </c>
      <c r="F270" s="17">
        <v>13.4</v>
      </c>
      <c r="G270" s="17">
        <v>0.5</v>
      </c>
      <c r="H270" s="17">
        <v>63</v>
      </c>
    </row>
    <row r="271" spans="1:8" x14ac:dyDescent="0.3">
      <c r="A271" s="16" t="s">
        <v>613</v>
      </c>
      <c r="B271" s="17">
        <v>20</v>
      </c>
      <c r="C271" s="17">
        <v>0.2</v>
      </c>
      <c r="D271" s="17">
        <v>0.1</v>
      </c>
      <c r="E271" s="17">
        <v>0.8</v>
      </c>
      <c r="F271" s="17">
        <v>4.7</v>
      </c>
      <c r="G271" s="17">
        <v>2.8</v>
      </c>
      <c r="H271" s="17">
        <v>2</v>
      </c>
    </row>
    <row r="272" spans="1:8" x14ac:dyDescent="0.3">
      <c r="A272" s="16" t="s">
        <v>614</v>
      </c>
      <c r="B272">
        <f>SUM(B101*4,B266*3,B271,B46*2,B45)</f>
        <v>2250.8000000000002</v>
      </c>
      <c r="C272">
        <f t="shared" ref="C272:H272" si="63">SUM(C101*4,C266*3,C271,C46*2,C45)</f>
        <v>60.2</v>
      </c>
      <c r="D272">
        <f t="shared" si="63"/>
        <v>52.1</v>
      </c>
      <c r="E272">
        <f t="shared" si="63"/>
        <v>21.8</v>
      </c>
      <c r="F272">
        <f t="shared" si="63"/>
        <v>246.29999999999998</v>
      </c>
      <c r="G272">
        <f t="shared" si="63"/>
        <v>9.8000000000000007</v>
      </c>
      <c r="H272">
        <f t="shared" si="63"/>
        <v>1487</v>
      </c>
    </row>
    <row r="273" spans="1:8" x14ac:dyDescent="0.3">
      <c r="A273" s="16" t="s">
        <v>615</v>
      </c>
      <c r="B273" s="17">
        <f>B272/3</f>
        <v>750.26666666666677</v>
      </c>
      <c r="C273" s="17">
        <f t="shared" ref="C273:H273" si="64">C272/3</f>
        <v>20.066666666666666</v>
      </c>
      <c r="D273" s="17">
        <f t="shared" si="64"/>
        <v>17.366666666666667</v>
      </c>
      <c r="E273" s="17">
        <f t="shared" si="64"/>
        <v>7.2666666666666666</v>
      </c>
      <c r="F273" s="17">
        <f t="shared" si="64"/>
        <v>82.1</v>
      </c>
      <c r="G273" s="17">
        <f t="shared" si="64"/>
        <v>3.2666666666666671</v>
      </c>
      <c r="H273" s="17">
        <f t="shared" si="64"/>
        <v>495.66666666666669</v>
      </c>
    </row>
    <row r="274" spans="1:8" x14ac:dyDescent="0.3">
      <c r="A274" s="16" t="s">
        <v>616</v>
      </c>
      <c r="B274">
        <v>254</v>
      </c>
      <c r="C274">
        <v>0</v>
      </c>
      <c r="D274">
        <v>0</v>
      </c>
      <c r="E274">
        <v>1</v>
      </c>
      <c r="F274">
        <v>22.8</v>
      </c>
      <c r="G274">
        <v>0</v>
      </c>
      <c r="H274">
        <v>0</v>
      </c>
    </row>
    <row r="275" spans="1:8" x14ac:dyDescent="0.3">
      <c r="A275" s="16" t="s">
        <v>620</v>
      </c>
      <c r="B275" s="17">
        <v>113</v>
      </c>
      <c r="C275" s="17">
        <v>6.1</v>
      </c>
      <c r="D275" s="17">
        <v>0.8</v>
      </c>
      <c r="E275" s="17">
        <v>4.5</v>
      </c>
      <c r="F275" s="17">
        <v>10.8</v>
      </c>
      <c r="G275" s="17">
        <v>1.2</v>
      </c>
      <c r="H275" s="17">
        <v>100</v>
      </c>
    </row>
    <row r="276" spans="1:8" x14ac:dyDescent="0.3">
      <c r="A276" s="16" t="s">
        <v>621</v>
      </c>
      <c r="B276">
        <v>435</v>
      </c>
      <c r="C276">
        <v>21.1</v>
      </c>
      <c r="D276">
        <v>2.8</v>
      </c>
      <c r="E276">
        <v>12</v>
      </c>
      <c r="F276">
        <v>49.5</v>
      </c>
      <c r="G276">
        <v>9.8000000000000007</v>
      </c>
      <c r="H276">
        <v>595</v>
      </c>
    </row>
    <row r="277" spans="1:8" x14ac:dyDescent="0.3">
      <c r="A277" s="16" t="s">
        <v>624</v>
      </c>
      <c r="B277">
        <v>80</v>
      </c>
      <c r="C277">
        <v>6</v>
      </c>
      <c r="D277">
        <v>3</v>
      </c>
      <c r="E277">
        <v>6</v>
      </c>
      <c r="F277">
        <v>2</v>
      </c>
      <c r="G277">
        <v>0</v>
      </c>
      <c r="H277">
        <v>180</v>
      </c>
    </row>
    <row r="278" spans="1:8" x14ac:dyDescent="0.3">
      <c r="A278" s="16" t="s">
        <v>625</v>
      </c>
      <c r="B278">
        <v>120</v>
      </c>
      <c r="C278">
        <v>8.5</v>
      </c>
      <c r="D278">
        <v>0</v>
      </c>
      <c r="E278">
        <v>2</v>
      </c>
      <c r="F278">
        <v>22</v>
      </c>
      <c r="G278">
        <v>1</v>
      </c>
      <c r="H278">
        <v>160</v>
      </c>
    </row>
    <row r="279" spans="1:8" x14ac:dyDescent="0.3">
      <c r="A279" s="16" t="s">
        <v>626</v>
      </c>
      <c r="B279">
        <v>180</v>
      </c>
      <c r="C279">
        <v>12</v>
      </c>
      <c r="D279">
        <v>5</v>
      </c>
      <c r="E279">
        <v>4</v>
      </c>
      <c r="F279">
        <v>14</v>
      </c>
      <c r="G279">
        <v>2</v>
      </c>
      <c r="H279">
        <v>20</v>
      </c>
    </row>
    <row r="280" spans="1:8" x14ac:dyDescent="0.3">
      <c r="A280" s="16" t="s">
        <v>629</v>
      </c>
      <c r="B280">
        <v>70</v>
      </c>
      <c r="C280">
        <v>2.8</v>
      </c>
      <c r="D280">
        <v>0</v>
      </c>
      <c r="E280">
        <v>6</v>
      </c>
      <c r="F280">
        <v>5.3</v>
      </c>
      <c r="G280">
        <v>5.5</v>
      </c>
      <c r="H280">
        <v>4</v>
      </c>
    </row>
    <row r="281" spans="1:8" x14ac:dyDescent="0.3">
      <c r="A281" s="16" t="s">
        <v>627</v>
      </c>
      <c r="B281">
        <f>SUM(B163*3,B167,B170:B173,B161*2,B280)</f>
        <v>736</v>
      </c>
      <c r="C281">
        <f t="shared" ref="C281:H281" si="65">SUM(C163*3,C167,C170:C173,C161*2,C280)</f>
        <v>30.425000000000004</v>
      </c>
      <c r="D281">
        <f t="shared" si="65"/>
        <v>5.9249999999999989</v>
      </c>
      <c r="E281">
        <f t="shared" si="65"/>
        <v>27.174999999999997</v>
      </c>
      <c r="F281">
        <f t="shared" si="65"/>
        <v>88.35</v>
      </c>
      <c r="G281">
        <f t="shared" si="65"/>
        <v>12.125</v>
      </c>
      <c r="H281">
        <f t="shared" si="65"/>
        <v>523.5</v>
      </c>
    </row>
    <row r="282" spans="1:8" x14ac:dyDescent="0.3">
      <c r="A282" s="16" t="s">
        <v>628</v>
      </c>
      <c r="B282">
        <f>SUM(B37*4,B260*3,B283*3,B40*3)</f>
        <v>1616</v>
      </c>
      <c r="C282">
        <f t="shared" ref="C282:G282" si="66">SUM(C37*4,C260*3,C283*3,C40*3)</f>
        <v>114</v>
      </c>
      <c r="D282">
        <f t="shared" si="66"/>
        <v>26</v>
      </c>
      <c r="E282">
        <f t="shared" si="66"/>
        <v>87.5</v>
      </c>
      <c r="F282">
        <f t="shared" si="66"/>
        <v>63.5</v>
      </c>
      <c r="G282">
        <f t="shared" si="66"/>
        <v>21.5</v>
      </c>
      <c r="H282">
        <f>SUM(H37*4,H260*3,H283*3,H40*3)</f>
        <v>1421</v>
      </c>
    </row>
    <row r="283" spans="1:8" x14ac:dyDescent="0.3">
      <c r="A283" s="16" t="s">
        <v>630</v>
      </c>
      <c r="B283">
        <v>22</v>
      </c>
      <c r="C283">
        <v>0</v>
      </c>
      <c r="D283">
        <v>0</v>
      </c>
      <c r="E283">
        <v>1.5</v>
      </c>
      <c r="F283">
        <v>4.5</v>
      </c>
      <c r="G283">
        <v>1.5</v>
      </c>
      <c r="H283">
        <v>7</v>
      </c>
    </row>
    <row r="284" spans="1:8" x14ac:dyDescent="0.3">
      <c r="A284" s="16" t="s">
        <v>631</v>
      </c>
      <c r="B284" s="17">
        <f>B282/3</f>
        <v>538.66666666666663</v>
      </c>
      <c r="C284" s="17">
        <f t="shared" ref="C284:H284" si="67">C282/3</f>
        <v>38</v>
      </c>
      <c r="D284" s="17">
        <f t="shared" si="67"/>
        <v>8.6666666666666661</v>
      </c>
      <c r="E284" s="17">
        <f t="shared" si="67"/>
        <v>29.166666666666668</v>
      </c>
      <c r="F284" s="17">
        <f t="shared" si="67"/>
        <v>21.166666666666668</v>
      </c>
      <c r="G284" s="17">
        <f t="shared" si="67"/>
        <v>7.166666666666667</v>
      </c>
      <c r="H284" s="17">
        <f t="shared" si="67"/>
        <v>473.66666666666669</v>
      </c>
    </row>
    <row r="285" spans="1:8" x14ac:dyDescent="0.3">
      <c r="A285" s="16" t="s">
        <v>633</v>
      </c>
      <c r="B285" s="17">
        <f>SUM(B37*4, B260*3,B41*3)</f>
        <v>1511</v>
      </c>
      <c r="C285" s="17">
        <f t="shared" ref="C285:G285" si="68">SUM(C37*4, C260*3,C41*3)</f>
        <v>114</v>
      </c>
      <c r="D285" s="17">
        <f t="shared" si="68"/>
        <v>26</v>
      </c>
      <c r="E285" s="17">
        <f t="shared" si="68"/>
        <v>83</v>
      </c>
      <c r="F285" s="17">
        <f t="shared" si="68"/>
        <v>38</v>
      </c>
      <c r="G285" s="17">
        <f t="shared" si="68"/>
        <v>11</v>
      </c>
      <c r="H285" s="17">
        <f>SUM(H37*4, H260*3,H41*3)</f>
        <v>1406</v>
      </c>
    </row>
    <row r="286" spans="1:8" x14ac:dyDescent="0.3">
      <c r="A286" s="16" t="s">
        <v>634</v>
      </c>
      <c r="B286" s="17">
        <f>B285/3</f>
        <v>503.66666666666669</v>
      </c>
      <c r="C286" s="17">
        <f t="shared" ref="C286:H286" si="69">C285/3</f>
        <v>38</v>
      </c>
      <c r="D286" s="17">
        <f t="shared" si="69"/>
        <v>8.6666666666666661</v>
      </c>
      <c r="E286" s="17">
        <f t="shared" si="69"/>
        <v>27.666666666666668</v>
      </c>
      <c r="F286" s="17">
        <f t="shared" si="69"/>
        <v>12.666666666666666</v>
      </c>
      <c r="G286" s="17">
        <f t="shared" si="69"/>
        <v>3.6666666666666665</v>
      </c>
      <c r="H286" s="17">
        <f t="shared" si="69"/>
        <v>468.66666666666669</v>
      </c>
    </row>
    <row r="287" spans="1:8" x14ac:dyDescent="0.3">
      <c r="A287" s="16" t="s">
        <v>635</v>
      </c>
      <c r="B287" s="17">
        <v>120</v>
      </c>
      <c r="C287" s="17">
        <v>3.5</v>
      </c>
      <c r="D287" s="17">
        <v>3.5</v>
      </c>
      <c r="E287" s="17">
        <v>0</v>
      </c>
      <c r="F287" s="17">
        <v>22</v>
      </c>
      <c r="G287" s="17">
        <v>0</v>
      </c>
      <c r="H287" s="17">
        <v>210</v>
      </c>
    </row>
    <row r="288" spans="1:8" x14ac:dyDescent="0.3">
      <c r="A288" s="16" t="s">
        <v>638</v>
      </c>
      <c r="B288">
        <f>8*15</f>
        <v>120</v>
      </c>
      <c r="C288">
        <f>8*0</f>
        <v>0</v>
      </c>
      <c r="D288">
        <f>8*0</f>
        <v>0</v>
      </c>
      <c r="E288">
        <f>8*1</f>
        <v>8</v>
      </c>
      <c r="F288">
        <f>8*22</f>
        <v>176</v>
      </c>
      <c r="G288">
        <f>8*0</f>
        <v>0</v>
      </c>
      <c r="H288">
        <f>8*25</f>
        <v>200</v>
      </c>
    </row>
    <row r="289" spans="1:8" x14ac:dyDescent="0.3">
      <c r="A289" s="16" t="s">
        <v>639</v>
      </c>
      <c r="B289">
        <v>440</v>
      </c>
      <c r="C289">
        <v>28</v>
      </c>
      <c r="D289">
        <v>10</v>
      </c>
      <c r="E289">
        <v>6</v>
      </c>
      <c r="F289">
        <v>48</v>
      </c>
      <c r="G289">
        <v>2</v>
      </c>
      <c r="H289">
        <v>230</v>
      </c>
    </row>
    <row r="290" spans="1:8" x14ac:dyDescent="0.3">
      <c r="A290" s="16" t="s">
        <v>643</v>
      </c>
      <c r="B290">
        <f>SUM(B115*5,B111*6,B37*4,B260*3)</f>
        <v>2920</v>
      </c>
      <c r="C290">
        <f t="shared" ref="C290:H290" si="70">SUM(C115*5,C111*6,C37*4,C260*3)</f>
        <v>127.5</v>
      </c>
      <c r="D290">
        <f t="shared" si="70"/>
        <v>28.5</v>
      </c>
      <c r="E290">
        <f t="shared" si="70"/>
        <v>114</v>
      </c>
      <c r="F290">
        <f t="shared" si="70"/>
        <v>339</v>
      </c>
      <c r="G290">
        <f t="shared" si="70"/>
        <v>25</v>
      </c>
      <c r="H290">
        <f t="shared" si="70"/>
        <v>3800</v>
      </c>
    </row>
    <row r="291" spans="1:8" x14ac:dyDescent="0.3">
      <c r="A291" s="16" t="s">
        <v>644</v>
      </c>
      <c r="B291">
        <f>B290/4</f>
        <v>730</v>
      </c>
      <c r="C291">
        <f t="shared" ref="C291:H291" si="71">C290/4</f>
        <v>31.875</v>
      </c>
      <c r="D291">
        <f t="shared" si="71"/>
        <v>7.125</v>
      </c>
      <c r="E291">
        <f t="shared" si="71"/>
        <v>28.5</v>
      </c>
      <c r="F291">
        <f t="shared" si="71"/>
        <v>84.75</v>
      </c>
      <c r="G291">
        <f t="shared" si="71"/>
        <v>6.25</v>
      </c>
      <c r="H291">
        <f t="shared" si="71"/>
        <v>950</v>
      </c>
    </row>
    <row r="292" spans="1:8" x14ac:dyDescent="0.3">
      <c r="A292" s="16" t="s">
        <v>649</v>
      </c>
      <c r="B292">
        <v>120</v>
      </c>
      <c r="C292">
        <v>2.5</v>
      </c>
      <c r="D292">
        <v>0</v>
      </c>
      <c r="E292">
        <v>20</v>
      </c>
      <c r="F292">
        <v>5</v>
      </c>
      <c r="G292">
        <v>2</v>
      </c>
      <c r="H292">
        <v>340</v>
      </c>
    </row>
    <row r="293" spans="1:8" x14ac:dyDescent="0.3">
      <c r="A293" s="16" t="s">
        <v>650</v>
      </c>
      <c r="B293">
        <v>157</v>
      </c>
      <c r="C293">
        <v>4.3</v>
      </c>
      <c r="D293">
        <v>2.7</v>
      </c>
      <c r="E293">
        <v>4</v>
      </c>
      <c r="F293">
        <v>26</v>
      </c>
      <c r="G293">
        <v>0</v>
      </c>
      <c r="H293">
        <v>65</v>
      </c>
    </row>
    <row r="294" spans="1:8" x14ac:dyDescent="0.3">
      <c r="A294" s="16" t="s">
        <v>651</v>
      </c>
      <c r="B294">
        <v>310</v>
      </c>
      <c r="C294">
        <v>19</v>
      </c>
      <c r="D294">
        <v>11</v>
      </c>
      <c r="E294">
        <v>5</v>
      </c>
      <c r="F294">
        <v>31</v>
      </c>
      <c r="G294">
        <v>0</v>
      </c>
      <c r="H294">
        <v>95</v>
      </c>
    </row>
    <row r="295" spans="1:8" hidden="1" x14ac:dyDescent="0.3"/>
    <row r="296" spans="1:8" hidden="1" x14ac:dyDescent="0.3"/>
    <row r="297" spans="1:8" x14ac:dyDescent="0.3">
      <c r="A297" s="16" t="s">
        <v>653</v>
      </c>
      <c r="B297">
        <v>200</v>
      </c>
      <c r="C297">
        <v>12</v>
      </c>
      <c r="D297">
        <v>7</v>
      </c>
      <c r="E297">
        <v>3</v>
      </c>
      <c r="F297">
        <v>20</v>
      </c>
      <c r="G297">
        <v>0</v>
      </c>
      <c r="H297">
        <v>50</v>
      </c>
    </row>
    <row r="298" spans="1:8" x14ac:dyDescent="0.3">
      <c r="A298" s="16" t="s">
        <v>654</v>
      </c>
      <c r="B298">
        <v>300</v>
      </c>
      <c r="C298">
        <v>16</v>
      </c>
      <c r="D298">
        <v>3</v>
      </c>
      <c r="E298">
        <v>3</v>
      </c>
      <c r="F298">
        <v>37</v>
      </c>
      <c r="G298">
        <v>2</v>
      </c>
      <c r="H298">
        <v>320</v>
      </c>
    </row>
    <row r="299" spans="1:8" x14ac:dyDescent="0.3">
      <c r="A299" s="16" t="s">
        <v>658</v>
      </c>
      <c r="B299">
        <f>SUM(B271,B41*2,B37*4,B115*5,B61*4.5)</f>
        <v>2949</v>
      </c>
      <c r="C299">
        <f t="shared" ref="C299:H299" si="72">SUM(C271,C41*2,C37*4,C115*5,C61*4.5)</f>
        <v>90.95</v>
      </c>
      <c r="D299">
        <f t="shared" si="72"/>
        <v>24.85</v>
      </c>
      <c r="E299">
        <f t="shared" si="72"/>
        <v>196.3</v>
      </c>
      <c r="F299">
        <f t="shared" si="72"/>
        <v>366.2</v>
      </c>
      <c r="G299">
        <f t="shared" si="72"/>
        <v>67.3</v>
      </c>
      <c r="H299">
        <f t="shared" si="72"/>
        <v>3806</v>
      </c>
    </row>
    <row r="300" spans="1:8" x14ac:dyDescent="0.3">
      <c r="A300" s="16" t="s">
        <v>660</v>
      </c>
      <c r="B300">
        <v>80</v>
      </c>
      <c r="C300">
        <v>2.5</v>
      </c>
      <c r="D300">
        <v>0</v>
      </c>
      <c r="E300">
        <v>10</v>
      </c>
      <c r="F300">
        <v>5</v>
      </c>
      <c r="G300">
        <v>3</v>
      </c>
      <c r="H300">
        <v>230</v>
      </c>
    </row>
    <row r="301" spans="1:8" x14ac:dyDescent="0.3">
      <c r="A301" s="16" t="s">
        <v>661</v>
      </c>
      <c r="B301">
        <f>SUM(B276*2,B223, B300, B139,B169)</f>
        <v>1185</v>
      </c>
      <c r="C301">
        <f t="shared" ref="C301:H301" si="73">SUM(C276*2,C223, C300, C139,C169)</f>
        <v>59.300000000000004</v>
      </c>
      <c r="D301">
        <f t="shared" si="73"/>
        <v>15.899999999999999</v>
      </c>
      <c r="E301">
        <f t="shared" si="73"/>
        <v>45.400000000000006</v>
      </c>
      <c r="F301">
        <f t="shared" si="73"/>
        <v>126.6</v>
      </c>
      <c r="G301">
        <f t="shared" si="73"/>
        <v>24.1</v>
      </c>
      <c r="H301">
        <f t="shared" si="73"/>
        <v>2321</v>
      </c>
    </row>
    <row r="302" spans="1:8" x14ac:dyDescent="0.3">
      <c r="A302" s="16" t="s">
        <v>662</v>
      </c>
      <c r="B302">
        <v>170</v>
      </c>
      <c r="C302">
        <v>1.7</v>
      </c>
      <c r="D302">
        <v>0.3</v>
      </c>
      <c r="E302">
        <v>6.3</v>
      </c>
      <c r="F302">
        <v>35.200000000000003</v>
      </c>
      <c r="G302">
        <v>4.7</v>
      </c>
      <c r="H302">
        <v>340</v>
      </c>
    </row>
    <row r="303" spans="1:8" x14ac:dyDescent="0.3">
      <c r="A303" s="16" t="s">
        <v>665</v>
      </c>
      <c r="B303">
        <f>260*3</f>
        <v>780</v>
      </c>
      <c r="C303">
        <f>17*3</f>
        <v>51</v>
      </c>
      <c r="D303">
        <f>11*3</f>
        <v>33</v>
      </c>
      <c r="E303">
        <f>2*3</f>
        <v>6</v>
      </c>
      <c r="F303">
        <f>26*3</f>
        <v>78</v>
      </c>
      <c r="G303">
        <f>1*3</f>
        <v>3</v>
      </c>
      <c r="H303">
        <f>200*3</f>
        <v>600</v>
      </c>
    </row>
    <row r="304" spans="1:8" x14ac:dyDescent="0.3">
      <c r="A304" s="16" t="s">
        <v>666</v>
      </c>
      <c r="B304">
        <f>2*240</f>
        <v>480</v>
      </c>
      <c r="C304">
        <f>2*12</f>
        <v>24</v>
      </c>
      <c r="D304">
        <f>2*6</f>
        <v>12</v>
      </c>
      <c r="E304">
        <f>2*2</f>
        <v>4</v>
      </c>
      <c r="F304">
        <f>2*31</f>
        <v>62</v>
      </c>
      <c r="G304">
        <f>2*0</f>
        <v>0</v>
      </c>
      <c r="H304">
        <f>2*220</f>
        <v>440</v>
      </c>
    </row>
    <row r="305" spans="1:8" x14ac:dyDescent="0.3">
      <c r="A305" s="16" t="s">
        <v>667</v>
      </c>
      <c r="B305">
        <f>4.5*180</f>
        <v>810</v>
      </c>
      <c r="C305">
        <f>4.5*1.5</f>
        <v>6.75</v>
      </c>
      <c r="D305">
        <f>4.5*0</f>
        <v>0</v>
      </c>
      <c r="E305">
        <f>4.5*13</f>
        <v>58.5</v>
      </c>
      <c r="F305">
        <f>4.5*34</f>
        <v>153</v>
      </c>
      <c r="G305">
        <f>4.5*6</f>
        <v>27</v>
      </c>
      <c r="H305">
        <f>4.5*0</f>
        <v>0</v>
      </c>
    </row>
    <row r="306" spans="1:8" x14ac:dyDescent="0.3">
      <c r="A306" s="16" t="s">
        <v>668</v>
      </c>
      <c r="B306">
        <f>SUM(B305,B115*5,B41*1.5,B271)</f>
        <v>1220.5</v>
      </c>
      <c r="C306">
        <f t="shared" ref="C306:H306" si="74">SUM(C305,C115*5,C41*1.5,C271)</f>
        <v>14.45</v>
      </c>
      <c r="D306">
        <f t="shared" si="74"/>
        <v>2.6</v>
      </c>
      <c r="E306">
        <f t="shared" si="74"/>
        <v>70.8</v>
      </c>
      <c r="F306">
        <f t="shared" si="74"/>
        <v>221.7</v>
      </c>
      <c r="G306">
        <f t="shared" si="74"/>
        <v>36.299999999999997</v>
      </c>
      <c r="H306">
        <f t="shared" si="74"/>
        <v>2405</v>
      </c>
    </row>
    <row r="307" spans="1:8" x14ac:dyDescent="0.3">
      <c r="A307" s="16" t="s">
        <v>671</v>
      </c>
      <c r="B307" s="17">
        <f>150*3</f>
        <v>450</v>
      </c>
      <c r="C307" s="17">
        <f>10*3</f>
        <v>30</v>
      </c>
      <c r="D307" s="17">
        <f>1*3</f>
        <v>3</v>
      </c>
      <c r="E307" s="17">
        <f>2*3</f>
        <v>6</v>
      </c>
      <c r="F307" s="17">
        <f>15*3</f>
        <v>45</v>
      </c>
      <c r="G307" s="17">
        <f>1*3</f>
        <v>3</v>
      </c>
      <c r="H307" s="17">
        <f>135*3</f>
        <v>405</v>
      </c>
    </row>
    <row r="308" spans="1:8" x14ac:dyDescent="0.3">
      <c r="A308" s="16" t="s">
        <v>675</v>
      </c>
      <c r="B308">
        <f>SUM(B95*4.5, B117,B39,B40)</f>
        <v>1274</v>
      </c>
      <c r="C308">
        <f t="shared" ref="C308:H308" si="75">SUM(C95*4.5, C117,C39,C40)</f>
        <v>81.599999999999994</v>
      </c>
      <c r="D308">
        <f t="shared" si="75"/>
        <v>22.6</v>
      </c>
      <c r="E308">
        <f t="shared" si="75"/>
        <v>94.1</v>
      </c>
      <c r="F308">
        <f t="shared" si="75"/>
        <v>44.3</v>
      </c>
      <c r="G308">
        <f t="shared" si="75"/>
        <v>15.8</v>
      </c>
      <c r="H308">
        <f t="shared" si="75"/>
        <v>1585.4</v>
      </c>
    </row>
    <row r="309" spans="1:8" x14ac:dyDescent="0.3">
      <c r="A309" s="16" t="s">
        <v>678</v>
      </c>
      <c r="B309" s="17">
        <f>2.5*150</f>
        <v>375</v>
      </c>
      <c r="C309" s="17">
        <f>9*2.5</f>
        <v>22.5</v>
      </c>
      <c r="D309" s="17">
        <f>4*2.5</f>
        <v>10</v>
      </c>
      <c r="E309" s="17">
        <f>2*2.5</f>
        <v>5</v>
      </c>
      <c r="F309" s="17">
        <f>19*2.5</f>
        <v>47.5</v>
      </c>
      <c r="G309" s="17">
        <f>3*2.5</f>
        <v>7.5</v>
      </c>
      <c r="H309" s="17">
        <f>170*2.5</f>
        <v>425</v>
      </c>
    </row>
    <row r="310" spans="1:8" x14ac:dyDescent="0.3">
      <c r="A310" s="16" t="s">
        <v>681</v>
      </c>
      <c r="B310" s="17">
        <f>SUM(B39,B40,B37*4,B117*2)</f>
        <v>1171</v>
      </c>
      <c r="C310" s="17">
        <f t="shared" ref="C310:H310" si="76">C6*3</f>
        <v>15</v>
      </c>
      <c r="D310" s="17">
        <f t="shared" si="76"/>
        <v>10.5</v>
      </c>
      <c r="E310" s="17">
        <f t="shared" si="76"/>
        <v>3</v>
      </c>
      <c r="F310" s="17">
        <f t="shared" si="76"/>
        <v>6</v>
      </c>
      <c r="G310" s="17">
        <f t="shared" si="76"/>
        <v>0</v>
      </c>
      <c r="H310" s="17">
        <f t="shared" si="76"/>
        <v>45</v>
      </c>
    </row>
    <row r="311" spans="1:8" x14ac:dyDescent="0.3">
      <c r="A311" s="16" t="s">
        <v>680</v>
      </c>
      <c r="B311" s="17">
        <f>B310/3</f>
        <v>390.33333333333331</v>
      </c>
      <c r="C311" s="17">
        <f t="shared" ref="C311:H311" si="77">C310/3</f>
        <v>5</v>
      </c>
      <c r="D311" s="17">
        <f t="shared" si="77"/>
        <v>3.5</v>
      </c>
      <c r="E311" s="17">
        <f t="shared" si="77"/>
        <v>1</v>
      </c>
      <c r="F311" s="17">
        <f t="shared" si="77"/>
        <v>2</v>
      </c>
      <c r="G311" s="17">
        <f t="shared" si="77"/>
        <v>0</v>
      </c>
      <c r="H311" s="17">
        <f t="shared" si="77"/>
        <v>15</v>
      </c>
    </row>
    <row r="312" spans="1:8" x14ac:dyDescent="0.3">
      <c r="A312" s="16" t="s">
        <v>684</v>
      </c>
      <c r="B312">
        <v>440</v>
      </c>
      <c r="C312">
        <v>13</v>
      </c>
      <c r="D312">
        <v>3</v>
      </c>
      <c r="E312">
        <v>18</v>
      </c>
      <c r="F312">
        <v>65</v>
      </c>
      <c r="G312">
        <v>6</v>
      </c>
      <c r="H312">
        <v>1230</v>
      </c>
    </row>
    <row r="313" spans="1:8" x14ac:dyDescent="0.3">
      <c r="A313" s="16" t="s">
        <v>685</v>
      </c>
      <c r="B313">
        <v>150</v>
      </c>
      <c r="C313">
        <v>8</v>
      </c>
      <c r="D313">
        <v>0.5</v>
      </c>
      <c r="E313">
        <v>2</v>
      </c>
      <c r="F313">
        <v>17</v>
      </c>
      <c r="G313">
        <v>1</v>
      </c>
      <c r="H313">
        <v>170</v>
      </c>
    </row>
    <row r="314" spans="1:8" x14ac:dyDescent="0.3">
      <c r="A314" s="16" t="s">
        <v>686</v>
      </c>
      <c r="B314">
        <v>57</v>
      </c>
      <c r="C314">
        <v>2</v>
      </c>
      <c r="D314">
        <v>0.1</v>
      </c>
      <c r="E314">
        <v>1</v>
      </c>
      <c r="F314">
        <v>9</v>
      </c>
      <c r="G314">
        <v>0.8</v>
      </c>
      <c r="H314">
        <v>55</v>
      </c>
    </row>
    <row r="315" spans="1:8" x14ac:dyDescent="0.3">
      <c r="A315" s="16" t="s">
        <v>687</v>
      </c>
      <c r="B315">
        <f>4.5*100</f>
        <v>450</v>
      </c>
      <c r="C315">
        <f>4.5*0</f>
        <v>0</v>
      </c>
      <c r="D315">
        <f>4.5*0</f>
        <v>0</v>
      </c>
      <c r="E315">
        <f>4.5*2</f>
        <v>9</v>
      </c>
      <c r="F315">
        <f>4.5*23</f>
        <v>103.5</v>
      </c>
      <c r="G315">
        <f>4.5*0</f>
        <v>0</v>
      </c>
      <c r="H315">
        <f>4.5*5</f>
        <v>22.5</v>
      </c>
    </row>
    <row r="316" spans="1:8" x14ac:dyDescent="0.3">
      <c r="A316" s="16" t="s">
        <v>690</v>
      </c>
      <c r="B316" s="17">
        <v>42</v>
      </c>
      <c r="C316" s="17">
        <v>0.7</v>
      </c>
      <c r="D316" s="17">
        <v>0.1</v>
      </c>
      <c r="E316" s="17">
        <v>8.1</v>
      </c>
      <c r="F316" s="17">
        <v>0.4</v>
      </c>
      <c r="G316" s="17">
        <v>0</v>
      </c>
      <c r="H316" s="17">
        <v>59</v>
      </c>
    </row>
    <row r="317" spans="1:8" x14ac:dyDescent="0.3">
      <c r="A317" s="16" t="s">
        <v>691</v>
      </c>
      <c r="B317">
        <v>33</v>
      </c>
      <c r="C317">
        <v>0.6</v>
      </c>
      <c r="D317">
        <v>0.1</v>
      </c>
      <c r="E317">
        <v>1.5</v>
      </c>
      <c r="F317">
        <v>7.2</v>
      </c>
      <c r="G317">
        <v>2.8</v>
      </c>
      <c r="H317">
        <v>12</v>
      </c>
    </row>
    <row r="318" spans="1:8" x14ac:dyDescent="0.3">
      <c r="A318" s="16" t="s">
        <v>692</v>
      </c>
      <c r="B318">
        <v>27</v>
      </c>
      <c r="C318">
        <v>0.2</v>
      </c>
      <c r="D318">
        <v>0.1</v>
      </c>
      <c r="E318">
        <v>1.5</v>
      </c>
      <c r="F318">
        <v>6.2</v>
      </c>
      <c r="G318">
        <v>1.6</v>
      </c>
      <c r="H318">
        <v>594</v>
      </c>
    </row>
    <row r="319" spans="1:8" x14ac:dyDescent="0.3">
      <c r="A319" s="16" t="s">
        <v>693</v>
      </c>
      <c r="B319">
        <v>227</v>
      </c>
      <c r="C319">
        <v>0.9</v>
      </c>
      <c r="D319">
        <v>0.2</v>
      </c>
      <c r="E319">
        <v>15.2</v>
      </c>
      <c r="F319">
        <v>40.799999999999997</v>
      </c>
      <c r="G319">
        <v>15</v>
      </c>
      <c r="H319">
        <v>2</v>
      </c>
    </row>
    <row r="320" spans="1:8" x14ac:dyDescent="0.3">
      <c r="A320" s="16" t="s">
        <v>696</v>
      </c>
      <c r="B320" s="17">
        <f>(B37*4+B40*2)/3</f>
        <v>373.33333333333331</v>
      </c>
      <c r="C320" s="17">
        <f t="shared" ref="C320:H320" si="78">(C37*4+C40*2)/3</f>
        <v>24</v>
      </c>
      <c r="D320" s="17">
        <f t="shared" si="78"/>
        <v>6.666666666666667</v>
      </c>
      <c r="E320" s="17">
        <f t="shared" si="78"/>
        <v>27.333333333333332</v>
      </c>
      <c r="F320" s="17">
        <f t="shared" si="78"/>
        <v>13.333333333333334</v>
      </c>
      <c r="G320" s="17">
        <f t="shared" si="78"/>
        <v>4.666666666666667</v>
      </c>
      <c r="H320" s="17">
        <f t="shared" si="78"/>
        <v>466.66666666666669</v>
      </c>
    </row>
    <row r="321" spans="1:8" x14ac:dyDescent="0.3">
      <c r="A321" s="16" t="s">
        <v>700</v>
      </c>
      <c r="B321" s="17">
        <v>450</v>
      </c>
      <c r="C321" s="17">
        <v>23</v>
      </c>
      <c r="D321" s="17">
        <v>14</v>
      </c>
      <c r="E321" s="17">
        <v>7</v>
      </c>
      <c r="F321" s="17">
        <v>54</v>
      </c>
      <c r="G321" s="17">
        <v>0</v>
      </c>
      <c r="H321" s="17">
        <v>320</v>
      </c>
    </row>
    <row r="322" spans="1:8" x14ac:dyDescent="0.3">
      <c r="A322" s="16" t="s">
        <v>702</v>
      </c>
      <c r="B322">
        <v>69</v>
      </c>
      <c r="C322">
        <v>24</v>
      </c>
      <c r="D322">
        <v>14</v>
      </c>
      <c r="E322">
        <v>4</v>
      </c>
      <c r="F322">
        <v>25</v>
      </c>
      <c r="G322">
        <v>2</v>
      </c>
      <c r="H322">
        <v>320</v>
      </c>
    </row>
    <row r="323" spans="1:8" x14ac:dyDescent="0.3">
      <c r="A323" s="16" t="s">
        <v>703</v>
      </c>
      <c r="B323">
        <v>130</v>
      </c>
      <c r="C323">
        <v>4</v>
      </c>
      <c r="D323">
        <v>2</v>
      </c>
      <c r="E323">
        <v>3</v>
      </c>
      <c r="F323">
        <v>22</v>
      </c>
      <c r="G323">
        <v>1</v>
      </c>
      <c r="H323">
        <v>55</v>
      </c>
    </row>
    <row r="324" spans="1:8" x14ac:dyDescent="0.3">
      <c r="A324" s="16" t="s">
        <v>705</v>
      </c>
      <c r="B324">
        <f>B37*4+B117+B39+B40+B115*5+B111*6</f>
        <v>2634</v>
      </c>
      <c r="C324">
        <f t="shared" ref="C324:H324" si="79">C37*4+C117+C39+C40+C115*5+C111*6</f>
        <v>86.1</v>
      </c>
      <c r="D324">
        <f t="shared" si="79"/>
        <v>22.6</v>
      </c>
      <c r="E324">
        <f t="shared" si="79"/>
        <v>118.1</v>
      </c>
      <c r="F324">
        <f t="shared" si="79"/>
        <v>360.8</v>
      </c>
      <c r="G324">
        <f t="shared" si="79"/>
        <v>31.8</v>
      </c>
      <c r="H324">
        <f t="shared" si="79"/>
        <v>3810.4</v>
      </c>
    </row>
    <row r="325" spans="1:8" x14ac:dyDescent="0.3">
      <c r="A325" s="16" t="s">
        <v>704</v>
      </c>
      <c r="B325">
        <f>B324/4</f>
        <v>658.5</v>
      </c>
      <c r="C325">
        <f t="shared" ref="C325:G325" si="80">C324/4</f>
        <v>21.524999999999999</v>
      </c>
      <c r="D325">
        <f t="shared" si="80"/>
        <v>5.65</v>
      </c>
      <c r="E325">
        <f t="shared" si="80"/>
        <v>29.524999999999999</v>
      </c>
      <c r="F325">
        <f t="shared" si="80"/>
        <v>90.2</v>
      </c>
      <c r="G325">
        <f t="shared" si="80"/>
        <v>7.95</v>
      </c>
      <c r="H325">
        <f>H324/4</f>
        <v>952.6</v>
      </c>
    </row>
    <row r="326" spans="1:8" x14ac:dyDescent="0.3">
      <c r="A326" s="16" t="s">
        <v>708</v>
      </c>
      <c r="B326">
        <v>45</v>
      </c>
      <c r="C326">
        <v>1</v>
      </c>
      <c r="D326">
        <v>0</v>
      </c>
      <c r="E326">
        <v>1</v>
      </c>
      <c r="F326">
        <v>8</v>
      </c>
      <c r="G326">
        <v>0</v>
      </c>
      <c r="H326">
        <v>100</v>
      </c>
    </row>
    <row r="327" spans="1:8" x14ac:dyDescent="0.3">
      <c r="A327" s="16" t="s">
        <v>713</v>
      </c>
      <c r="B327">
        <f>B61*5+B39+B40+B260*3+B261/2+B115*5+B37*4+B6*3</f>
        <v>3706</v>
      </c>
      <c r="C327">
        <f t="shared" ref="C327:H327" si="81">C61*5+C39+C40+C260*3+C261/2+C115*5+C37*4+C6*3</f>
        <v>149.35</v>
      </c>
      <c r="D327">
        <f t="shared" si="81"/>
        <v>41.6</v>
      </c>
      <c r="E327">
        <f t="shared" si="81"/>
        <v>211.35</v>
      </c>
      <c r="F327">
        <f t="shared" si="81"/>
        <v>406.95</v>
      </c>
      <c r="G327">
        <f t="shared" si="81"/>
        <v>74.150000000000006</v>
      </c>
      <c r="H327">
        <f t="shared" si="81"/>
        <v>3859</v>
      </c>
    </row>
    <row r="328" spans="1:8" x14ac:dyDescent="0.3">
      <c r="A328" s="16" t="s">
        <v>714</v>
      </c>
      <c r="B328" s="17">
        <f>B327/4</f>
        <v>926.5</v>
      </c>
      <c r="C328" s="17">
        <f t="shared" ref="C328:H328" si="82">C327/4</f>
        <v>37.337499999999999</v>
      </c>
      <c r="D328" s="17">
        <f t="shared" si="82"/>
        <v>10.4</v>
      </c>
      <c r="E328" s="17">
        <f t="shared" si="82"/>
        <v>52.837499999999999</v>
      </c>
      <c r="F328" s="17">
        <f t="shared" si="82"/>
        <v>101.7375</v>
      </c>
      <c r="G328" s="17">
        <f t="shared" si="82"/>
        <v>18.537500000000001</v>
      </c>
      <c r="H328" s="17">
        <f t="shared" si="82"/>
        <v>964.75</v>
      </c>
    </row>
    <row r="329" spans="1:8" x14ac:dyDescent="0.3">
      <c r="A329" s="16" t="s">
        <v>716</v>
      </c>
      <c r="B329">
        <v>220</v>
      </c>
      <c r="C329">
        <v>13</v>
      </c>
      <c r="D329">
        <v>8</v>
      </c>
      <c r="E329">
        <v>2</v>
      </c>
      <c r="F329">
        <v>24</v>
      </c>
      <c r="G329">
        <v>2</v>
      </c>
      <c r="H329">
        <v>0</v>
      </c>
    </row>
    <row r="330" spans="1:8" x14ac:dyDescent="0.3">
      <c r="A330" s="16" t="s">
        <v>717</v>
      </c>
      <c r="B330" s="17">
        <v>40</v>
      </c>
      <c r="C330" s="17">
        <v>0</v>
      </c>
      <c r="D330" s="17">
        <v>0</v>
      </c>
      <c r="E330" s="17">
        <v>1</v>
      </c>
      <c r="F330" s="17">
        <v>8</v>
      </c>
      <c r="G330" s="17">
        <v>0</v>
      </c>
      <c r="H330" s="17">
        <v>15</v>
      </c>
    </row>
    <row r="331" spans="1:8" x14ac:dyDescent="0.3">
      <c r="A331" s="16" t="s">
        <v>718</v>
      </c>
      <c r="B331">
        <v>1350</v>
      </c>
      <c r="C331">
        <v>770</v>
      </c>
      <c r="D331">
        <v>132</v>
      </c>
      <c r="E331">
        <v>31</v>
      </c>
      <c r="F331">
        <v>13</v>
      </c>
      <c r="G331">
        <v>37</v>
      </c>
      <c r="H331">
        <v>215</v>
      </c>
    </row>
    <row r="332" spans="1:8" x14ac:dyDescent="0.3">
      <c r="A332" s="16" t="s">
        <v>722</v>
      </c>
      <c r="B332" s="17">
        <f>SUM(B37*4,B33*2,B40*2,B117)</f>
        <v>1197</v>
      </c>
      <c r="C332" s="17">
        <f t="shared" ref="C332:H332" si="83">SUM(C37*4,C33*2,C40*2,C117)</f>
        <v>72.599999999999994</v>
      </c>
      <c r="D332" s="17">
        <f t="shared" si="83"/>
        <v>20.100000000000001</v>
      </c>
      <c r="E332" s="17">
        <f t="shared" si="83"/>
        <v>84.1</v>
      </c>
      <c r="F332" s="17">
        <f t="shared" si="83"/>
        <v>56.8</v>
      </c>
      <c r="G332" s="17">
        <f t="shared" si="83"/>
        <v>17.8</v>
      </c>
      <c r="H332" s="17">
        <f t="shared" si="83"/>
        <v>1405.4</v>
      </c>
    </row>
    <row r="333" spans="1:8" x14ac:dyDescent="0.3">
      <c r="A333" s="16" t="s">
        <v>723</v>
      </c>
      <c r="B333">
        <v>239</v>
      </c>
      <c r="C333">
        <v>13.5</v>
      </c>
      <c r="D333">
        <v>9</v>
      </c>
      <c r="E333">
        <v>3</v>
      </c>
      <c r="F333">
        <v>30</v>
      </c>
      <c r="G333">
        <v>3</v>
      </c>
      <c r="H333">
        <v>60</v>
      </c>
    </row>
    <row r="334" spans="1:8" x14ac:dyDescent="0.3">
      <c r="A334" s="16" t="s">
        <v>726</v>
      </c>
      <c r="B334" s="17">
        <v>150</v>
      </c>
      <c r="C334" s="17">
        <v>8</v>
      </c>
      <c r="D334" s="17">
        <v>2.5</v>
      </c>
      <c r="E334" s="17">
        <v>1</v>
      </c>
      <c r="F334" s="17">
        <v>20</v>
      </c>
      <c r="G334" s="17">
        <v>1</v>
      </c>
      <c r="H334" s="17">
        <v>75</v>
      </c>
    </row>
    <row r="335" spans="1:8" x14ac:dyDescent="0.3">
      <c r="A335" s="16" t="s">
        <v>727</v>
      </c>
      <c r="B335">
        <v>110</v>
      </c>
      <c r="C335">
        <v>2</v>
      </c>
      <c r="D335">
        <v>2</v>
      </c>
      <c r="E335">
        <v>2</v>
      </c>
      <c r="F335">
        <v>20</v>
      </c>
      <c r="G335">
        <v>1</v>
      </c>
      <c r="H335">
        <v>570</v>
      </c>
    </row>
    <row r="336" spans="1:8" x14ac:dyDescent="0.3">
      <c r="A336" s="16" t="s">
        <v>733</v>
      </c>
      <c r="B336">
        <f>120*4</f>
        <v>480</v>
      </c>
      <c r="C336">
        <f>3*4</f>
        <v>12</v>
      </c>
      <c r="D336">
        <f>2*4</f>
        <v>8</v>
      </c>
      <c r="E336">
        <f>2*4</f>
        <v>8</v>
      </c>
      <c r="F336">
        <f>20*4</f>
        <v>80</v>
      </c>
      <c r="G336">
        <f>1*4</f>
        <v>4</v>
      </c>
      <c r="H336">
        <f>410*4</f>
        <v>1640</v>
      </c>
    </row>
    <row r="337" spans="1:8" x14ac:dyDescent="0.3">
      <c r="A337" s="16" t="s">
        <v>734</v>
      </c>
      <c r="B337">
        <f>240*3</f>
        <v>720</v>
      </c>
      <c r="C337">
        <f>14*3</f>
        <v>42</v>
      </c>
      <c r="D337">
        <f>8*3</f>
        <v>24</v>
      </c>
      <c r="E337">
        <f>19*3</f>
        <v>57</v>
      </c>
      <c r="F337">
        <f>9*3</f>
        <v>27</v>
      </c>
      <c r="G337">
        <f>3*3</f>
        <v>9</v>
      </c>
      <c r="H337">
        <f>370*3</f>
        <v>1110</v>
      </c>
    </row>
    <row r="338" spans="1:8" x14ac:dyDescent="0.3">
      <c r="A338" s="16" t="s">
        <v>735</v>
      </c>
      <c r="B338">
        <f>260*3</f>
        <v>780</v>
      </c>
      <c r="C338">
        <f>2.5*3</f>
        <v>7.5</v>
      </c>
      <c r="D338">
        <f>1.5*3</f>
        <v>4.5</v>
      </c>
      <c r="E338">
        <f>9*3</f>
        <v>27</v>
      </c>
      <c r="F338">
        <f>48*3</f>
        <v>144</v>
      </c>
      <c r="G338">
        <f>2*3</f>
        <v>6</v>
      </c>
      <c r="H338">
        <f>560*3</f>
        <v>1680</v>
      </c>
    </row>
    <row r="339" spans="1:8" x14ac:dyDescent="0.3">
      <c r="A339" s="16" t="s">
        <v>737</v>
      </c>
      <c r="B339">
        <v>480</v>
      </c>
      <c r="C339">
        <v>22</v>
      </c>
      <c r="D339">
        <v>11</v>
      </c>
      <c r="E339">
        <v>8</v>
      </c>
      <c r="F339">
        <v>56</v>
      </c>
      <c r="G339">
        <v>2</v>
      </c>
      <c r="H339">
        <v>390</v>
      </c>
    </row>
    <row r="340" spans="1:8" x14ac:dyDescent="0.3">
      <c r="A340" s="16" t="s">
        <v>739</v>
      </c>
      <c r="B340">
        <v>320</v>
      </c>
      <c r="C340">
        <v>17</v>
      </c>
      <c r="D340">
        <v>10</v>
      </c>
      <c r="E340">
        <v>6</v>
      </c>
      <c r="F340">
        <v>35</v>
      </c>
      <c r="G340">
        <v>0</v>
      </c>
      <c r="H340">
        <v>430</v>
      </c>
    </row>
    <row r="341" spans="1:8" x14ac:dyDescent="0.3">
      <c r="A341" s="16" t="s">
        <v>738</v>
      </c>
      <c r="B341">
        <v>600</v>
      </c>
      <c r="C341">
        <v>8</v>
      </c>
      <c r="D341">
        <v>3</v>
      </c>
      <c r="E341">
        <v>15</v>
      </c>
      <c r="F341">
        <v>120</v>
      </c>
      <c r="G341">
        <v>0</v>
      </c>
      <c r="H341">
        <v>600</v>
      </c>
    </row>
    <row r="342" spans="1:8" x14ac:dyDescent="0.3">
      <c r="A342" s="16" t="s">
        <v>740</v>
      </c>
      <c r="B342" s="17">
        <f>SUM(B337/12,B283/12,B39/12,B40/12,B260/4)</f>
        <v>100.75</v>
      </c>
      <c r="C342" s="17">
        <f t="shared" ref="C342:H342" si="84">SUM(C337/12,C283/12,C39/12,C40/12,C260/4)</f>
        <v>7</v>
      </c>
      <c r="D342" s="17">
        <f t="shared" si="84"/>
        <v>2.5</v>
      </c>
      <c r="E342" s="17">
        <f t="shared" si="84"/>
        <v>5.0416666666666661</v>
      </c>
      <c r="F342" s="17">
        <f t="shared" si="84"/>
        <v>4.041666666666667</v>
      </c>
      <c r="G342" s="17">
        <f t="shared" si="84"/>
        <v>1.2916666666666667</v>
      </c>
      <c r="H342" s="17">
        <f t="shared" si="84"/>
        <v>93.5</v>
      </c>
    </row>
    <row r="343" spans="1:8" x14ac:dyDescent="0.3">
      <c r="A343" s="16" t="s">
        <v>741</v>
      </c>
      <c r="B343">
        <v>90</v>
      </c>
      <c r="C343">
        <f t="shared" ref="C343:H343" si="85">C330*2</f>
        <v>0</v>
      </c>
      <c r="D343">
        <f t="shared" si="85"/>
        <v>0</v>
      </c>
      <c r="E343">
        <v>0</v>
      </c>
      <c r="F343">
        <v>25</v>
      </c>
      <c r="G343">
        <f t="shared" si="85"/>
        <v>0</v>
      </c>
      <c r="H343">
        <f t="shared" si="85"/>
        <v>30</v>
      </c>
    </row>
    <row r="344" spans="1:8" x14ac:dyDescent="0.3">
      <c r="A344" s="16" t="s">
        <v>742</v>
      </c>
      <c r="B344">
        <f>37.6/4</f>
        <v>9.4</v>
      </c>
      <c r="C344">
        <f>17.4/4</f>
        <v>4.3499999999999996</v>
      </c>
      <c r="D344">
        <f>2/4</f>
        <v>0.5</v>
      </c>
      <c r="E344">
        <f>33/4</f>
        <v>8.25</v>
      </c>
      <c r="F344">
        <f>28/4</f>
        <v>7</v>
      </c>
      <c r="G344">
        <f>11/4</f>
        <v>2.75</v>
      </c>
      <c r="H344">
        <f>38/4</f>
        <v>9.5</v>
      </c>
    </row>
    <row r="345" spans="1:8" x14ac:dyDescent="0.3">
      <c r="A345" s="16" t="s">
        <v>743</v>
      </c>
      <c r="B345">
        <f>SUM(B161*2,B167,B170,B171,B251,B344,B17*4)</f>
        <v>988.4</v>
      </c>
      <c r="C345">
        <f t="shared" ref="C345:H345" si="86">SUM(C161*2,C167,C170,C171,C251,C344,C17*4)</f>
        <v>18.274999999999999</v>
      </c>
      <c r="D345">
        <f t="shared" si="86"/>
        <v>3.3250000000000002</v>
      </c>
      <c r="E345">
        <f t="shared" si="86"/>
        <v>38.125</v>
      </c>
      <c r="F345">
        <f t="shared" si="86"/>
        <v>132.44999999999999</v>
      </c>
      <c r="G345">
        <f t="shared" si="86"/>
        <v>16.875</v>
      </c>
      <c r="H345">
        <f t="shared" si="86"/>
        <v>2007</v>
      </c>
    </row>
    <row r="346" spans="1:8" x14ac:dyDescent="0.3">
      <c r="A346" s="16" t="s">
        <v>745</v>
      </c>
      <c r="B346">
        <v>670</v>
      </c>
      <c r="C346">
        <v>26</v>
      </c>
      <c r="D346">
        <v>8</v>
      </c>
      <c r="E346">
        <v>21</v>
      </c>
      <c r="F346">
        <v>88</v>
      </c>
      <c r="G346">
        <v>5</v>
      </c>
      <c r="H346">
        <v>1330</v>
      </c>
    </row>
    <row r="347" spans="1:8" x14ac:dyDescent="0.3">
      <c r="A347" s="16" t="s">
        <v>749</v>
      </c>
      <c r="B347" s="17">
        <v>160</v>
      </c>
      <c r="C347" s="17">
        <v>2</v>
      </c>
      <c r="D347" s="17">
        <v>0</v>
      </c>
      <c r="E347" s="17">
        <v>2</v>
      </c>
      <c r="F347" s="17">
        <v>32</v>
      </c>
      <c r="G347" s="17">
        <v>5</v>
      </c>
      <c r="H347" s="17">
        <v>200</v>
      </c>
    </row>
    <row r="348" spans="1:8" x14ac:dyDescent="0.3">
      <c r="A348" s="16" t="s">
        <v>750</v>
      </c>
      <c r="B348">
        <v>160</v>
      </c>
      <c r="C348">
        <v>10</v>
      </c>
      <c r="D348">
        <v>1.5</v>
      </c>
      <c r="E348">
        <v>1</v>
      </c>
      <c r="F348">
        <v>15</v>
      </c>
      <c r="G348">
        <v>1</v>
      </c>
      <c r="H348">
        <v>115</v>
      </c>
    </row>
    <row r="349" spans="1:8" x14ac:dyDescent="0.3">
      <c r="A349" s="16" t="s">
        <v>753</v>
      </c>
      <c r="B349" s="17">
        <v>25</v>
      </c>
      <c r="C349" s="17">
        <v>1.5</v>
      </c>
      <c r="D349" s="17">
        <v>1.5</v>
      </c>
      <c r="E349" s="17">
        <v>0</v>
      </c>
      <c r="F349" s="17">
        <v>3</v>
      </c>
      <c r="G349" s="17">
        <v>0</v>
      </c>
      <c r="H349" s="17">
        <v>0</v>
      </c>
    </row>
    <row r="350" spans="1:8" x14ac:dyDescent="0.3">
      <c r="A350" s="16" t="s">
        <v>756</v>
      </c>
      <c r="B350">
        <v>70</v>
      </c>
      <c r="C350">
        <v>1</v>
      </c>
      <c r="D350">
        <v>0</v>
      </c>
      <c r="E350">
        <v>3</v>
      </c>
      <c r="F350">
        <v>13</v>
      </c>
      <c r="G350">
        <v>2</v>
      </c>
      <c r="H350">
        <v>105</v>
      </c>
    </row>
    <row r="351" spans="1:8" x14ac:dyDescent="0.3">
      <c r="A351" s="16" t="s">
        <v>757</v>
      </c>
      <c r="B351" s="17">
        <v>220</v>
      </c>
      <c r="C351" s="17">
        <v>11</v>
      </c>
      <c r="D351" s="17">
        <v>7</v>
      </c>
      <c r="E351" s="17">
        <v>3</v>
      </c>
      <c r="F351" s="17">
        <v>29</v>
      </c>
      <c r="G351" s="17">
        <v>0</v>
      </c>
      <c r="H351" s="17">
        <v>75</v>
      </c>
    </row>
    <row r="352" spans="1:8" x14ac:dyDescent="0.3">
      <c r="A352" s="16" t="s">
        <v>758</v>
      </c>
      <c r="B352">
        <v>220</v>
      </c>
      <c r="C352">
        <v>13</v>
      </c>
      <c r="D352">
        <v>8</v>
      </c>
      <c r="E352">
        <v>3</v>
      </c>
      <c r="F352">
        <v>26</v>
      </c>
      <c r="G352">
        <v>1</v>
      </c>
      <c r="H352">
        <v>35</v>
      </c>
    </row>
    <row r="353" spans="1:8" x14ac:dyDescent="0.3">
      <c r="A353" s="16" t="s">
        <v>759</v>
      </c>
      <c r="B353" s="17">
        <v>230</v>
      </c>
      <c r="C353" s="17">
        <v>9</v>
      </c>
      <c r="D353" s="17">
        <v>2</v>
      </c>
      <c r="E353" s="17">
        <v>9</v>
      </c>
      <c r="F353" s="17">
        <v>40</v>
      </c>
      <c r="G353" s="17">
        <v>5</v>
      </c>
      <c r="H353" s="17">
        <v>580</v>
      </c>
    </row>
    <row r="354" spans="1:8" x14ac:dyDescent="0.3">
      <c r="A354" s="16" t="s">
        <v>760</v>
      </c>
      <c r="B354">
        <v>220</v>
      </c>
      <c r="C354">
        <v>14</v>
      </c>
      <c r="D354">
        <v>8</v>
      </c>
      <c r="E354">
        <v>1</v>
      </c>
      <c r="F354">
        <v>34</v>
      </c>
      <c r="G354">
        <v>0</v>
      </c>
      <c r="H354">
        <v>180</v>
      </c>
    </row>
    <row r="355" spans="1:8" x14ac:dyDescent="0.3">
      <c r="A355" s="16" t="s">
        <v>761</v>
      </c>
      <c r="B355" s="17">
        <v>330</v>
      </c>
      <c r="C355" s="17">
        <v>17</v>
      </c>
      <c r="D355" s="17">
        <v>10</v>
      </c>
      <c r="E355" s="17">
        <v>10</v>
      </c>
      <c r="F355" s="17">
        <v>34</v>
      </c>
      <c r="G355" s="17">
        <v>1</v>
      </c>
      <c r="H355" s="17">
        <v>270</v>
      </c>
    </row>
    <row r="356" spans="1:8" x14ac:dyDescent="0.3">
      <c r="A356" s="16" t="s">
        <v>762</v>
      </c>
      <c r="B356">
        <f>B347/2</f>
        <v>80</v>
      </c>
      <c r="C356">
        <f t="shared" ref="C356:H356" si="87">C347/2</f>
        <v>1</v>
      </c>
      <c r="D356">
        <f t="shared" si="87"/>
        <v>0</v>
      </c>
      <c r="E356">
        <f t="shared" si="87"/>
        <v>1</v>
      </c>
      <c r="F356">
        <f t="shared" si="87"/>
        <v>16</v>
      </c>
      <c r="G356">
        <f t="shared" si="87"/>
        <v>2.5</v>
      </c>
      <c r="H356">
        <f t="shared" si="87"/>
        <v>100</v>
      </c>
    </row>
    <row r="357" spans="1:8" x14ac:dyDescent="0.3">
      <c r="A357" s="16" t="s">
        <v>765</v>
      </c>
      <c r="B357">
        <f>B30*2.5</f>
        <v>75</v>
      </c>
      <c r="C357">
        <f t="shared" ref="C357:H357" si="88">C30*2.5</f>
        <v>0</v>
      </c>
      <c r="D357">
        <f t="shared" si="88"/>
        <v>0</v>
      </c>
      <c r="E357">
        <f t="shared" si="88"/>
        <v>0</v>
      </c>
      <c r="F357">
        <f t="shared" si="88"/>
        <v>20</v>
      </c>
      <c r="G357">
        <f t="shared" si="88"/>
        <v>2.5</v>
      </c>
      <c r="H357">
        <f t="shared" si="88"/>
        <v>375</v>
      </c>
    </row>
    <row r="358" spans="1:8" x14ac:dyDescent="0.3">
      <c r="A358" s="16" t="s">
        <v>769</v>
      </c>
      <c r="B358">
        <v>410</v>
      </c>
      <c r="C358">
        <v>28</v>
      </c>
      <c r="D358">
        <v>13.5</v>
      </c>
      <c r="E358">
        <v>19</v>
      </c>
      <c r="F358">
        <v>19</v>
      </c>
      <c r="G358">
        <v>6</v>
      </c>
      <c r="H358">
        <v>990</v>
      </c>
    </row>
    <row r="359" spans="1:8" x14ac:dyDescent="0.3">
      <c r="A359" s="16" t="s">
        <v>770</v>
      </c>
      <c r="B359">
        <v>290</v>
      </c>
      <c r="C359">
        <v>3.5</v>
      </c>
      <c r="D359">
        <v>0</v>
      </c>
      <c r="E359">
        <v>4</v>
      </c>
      <c r="F359">
        <v>60</v>
      </c>
      <c r="G359">
        <v>7</v>
      </c>
      <c r="H359">
        <v>710</v>
      </c>
    </row>
    <row r="360" spans="1:8" x14ac:dyDescent="0.3">
      <c r="A360" s="16" t="s">
        <v>771</v>
      </c>
      <c r="B360">
        <v>670</v>
      </c>
      <c r="C360">
        <v>26</v>
      </c>
      <c r="D360">
        <v>8</v>
      </c>
      <c r="E360">
        <v>21</v>
      </c>
      <c r="F360">
        <v>88</v>
      </c>
      <c r="G360">
        <v>5</v>
      </c>
      <c r="H360">
        <v>1330</v>
      </c>
    </row>
    <row r="361" spans="1:8" x14ac:dyDescent="0.3">
      <c r="A361" s="16" t="s">
        <v>772</v>
      </c>
      <c r="B361">
        <v>160</v>
      </c>
      <c r="C361">
        <v>6</v>
      </c>
      <c r="D361">
        <v>1</v>
      </c>
      <c r="E361">
        <v>9</v>
      </c>
      <c r="F361">
        <v>19</v>
      </c>
      <c r="G361">
        <v>3</v>
      </c>
      <c r="H361">
        <v>320</v>
      </c>
    </row>
    <row r="362" spans="1:8" x14ac:dyDescent="0.3">
      <c r="A362" s="16" t="s">
        <v>773</v>
      </c>
      <c r="B362">
        <v>150</v>
      </c>
      <c r="C362">
        <v>8</v>
      </c>
      <c r="D362">
        <v>1</v>
      </c>
      <c r="E362">
        <v>16</v>
      </c>
      <c r="F362">
        <v>6</v>
      </c>
      <c r="G362">
        <v>3</v>
      </c>
      <c r="H362">
        <v>400</v>
      </c>
    </row>
    <row r="363" spans="1:8" x14ac:dyDescent="0.3">
      <c r="A363" s="16" t="s">
        <v>775</v>
      </c>
      <c r="B363">
        <v>330</v>
      </c>
      <c r="C363">
        <v>21</v>
      </c>
      <c r="D363">
        <v>12</v>
      </c>
      <c r="E363">
        <v>5</v>
      </c>
      <c r="F363">
        <v>30</v>
      </c>
      <c r="G363">
        <v>2</v>
      </c>
      <c r="H363">
        <v>280</v>
      </c>
    </row>
    <row r="364" spans="1:8" x14ac:dyDescent="0.3">
      <c r="A364" s="16" t="s">
        <v>776</v>
      </c>
      <c r="B364">
        <f>B335+B6+B19/2</f>
        <v>210</v>
      </c>
      <c r="C364">
        <f t="shared" ref="C364:H364" si="89">C335+C6+C19/2</f>
        <v>9.5</v>
      </c>
      <c r="D364">
        <f t="shared" si="89"/>
        <v>7.25</v>
      </c>
      <c r="E364">
        <f t="shared" si="89"/>
        <v>6</v>
      </c>
      <c r="F364">
        <f t="shared" si="89"/>
        <v>22.5</v>
      </c>
      <c r="G364">
        <f t="shared" si="89"/>
        <v>1</v>
      </c>
      <c r="H364">
        <f t="shared" si="89"/>
        <v>680</v>
      </c>
    </row>
    <row r="365" spans="1:8" x14ac:dyDescent="0.3">
      <c r="A365" s="16" t="s">
        <v>779</v>
      </c>
      <c r="B365">
        <v>210</v>
      </c>
      <c r="C365">
        <v>6</v>
      </c>
      <c r="D365">
        <v>1</v>
      </c>
      <c r="E365">
        <v>5</v>
      </c>
      <c r="F365">
        <v>32</v>
      </c>
      <c r="G365">
        <v>2</v>
      </c>
      <c r="H365">
        <v>540</v>
      </c>
    </row>
    <row r="366" spans="1:8" x14ac:dyDescent="0.3">
      <c r="A366" s="16" t="s">
        <v>780</v>
      </c>
      <c r="B366">
        <v>180</v>
      </c>
      <c r="C366">
        <v>12</v>
      </c>
      <c r="D366">
        <v>5</v>
      </c>
      <c r="E366">
        <v>4</v>
      </c>
      <c r="F366">
        <v>14</v>
      </c>
      <c r="G366">
        <v>2</v>
      </c>
      <c r="H366">
        <v>20</v>
      </c>
    </row>
    <row r="367" spans="1:8" x14ac:dyDescent="0.3">
      <c r="A367" s="16" t="s">
        <v>781</v>
      </c>
      <c r="B367">
        <v>170</v>
      </c>
      <c r="C367">
        <v>2</v>
      </c>
      <c r="D367">
        <v>0</v>
      </c>
      <c r="E367">
        <v>2</v>
      </c>
      <c r="F367">
        <v>37</v>
      </c>
      <c r="G367">
        <v>4</v>
      </c>
      <c r="H367">
        <v>340</v>
      </c>
    </row>
    <row r="368" spans="1:8" x14ac:dyDescent="0.3">
      <c r="A368" s="16" t="s">
        <v>782</v>
      </c>
      <c r="B368">
        <v>20</v>
      </c>
      <c r="C368">
        <v>0</v>
      </c>
      <c r="D368">
        <v>0</v>
      </c>
      <c r="E368">
        <v>0</v>
      </c>
      <c r="F368">
        <v>0</v>
      </c>
      <c r="G368">
        <v>0</v>
      </c>
      <c r="H368">
        <v>200</v>
      </c>
    </row>
    <row r="369" spans="1:9" x14ac:dyDescent="0.3">
      <c r="A369" s="16" t="s">
        <v>785</v>
      </c>
      <c r="B369">
        <v>105</v>
      </c>
      <c r="C369">
        <v>0</v>
      </c>
      <c r="D369">
        <v>0</v>
      </c>
      <c r="E369">
        <v>0</v>
      </c>
      <c r="F369">
        <v>27</v>
      </c>
      <c r="G369">
        <v>0</v>
      </c>
      <c r="H369">
        <v>260</v>
      </c>
    </row>
    <row r="370" spans="1:9" x14ac:dyDescent="0.3">
      <c r="A370" s="16" t="s">
        <v>787</v>
      </c>
      <c r="B370" s="17">
        <v>70</v>
      </c>
      <c r="C370" s="17">
        <v>2.5</v>
      </c>
      <c r="D370" s="17">
        <v>0</v>
      </c>
      <c r="E370" s="17">
        <v>10</v>
      </c>
      <c r="F370" s="17">
        <v>4</v>
      </c>
      <c r="G370" s="17">
        <v>3</v>
      </c>
      <c r="H370" s="17">
        <v>210</v>
      </c>
      <c r="I370" s="17"/>
    </row>
    <row r="371" spans="1:9" x14ac:dyDescent="0.3">
      <c r="A371" s="16" t="s">
        <v>788</v>
      </c>
      <c r="B371">
        <v>110</v>
      </c>
      <c r="C371">
        <v>4.5</v>
      </c>
      <c r="D371">
        <v>0.5</v>
      </c>
      <c r="E371">
        <v>11</v>
      </c>
      <c r="F371">
        <v>9</v>
      </c>
      <c r="G371">
        <v>4</v>
      </c>
      <c r="H371">
        <v>390</v>
      </c>
    </row>
    <row r="372" spans="1:9" x14ac:dyDescent="0.3">
      <c r="A372" s="16" t="s">
        <v>793</v>
      </c>
      <c r="B372" s="17">
        <v>90</v>
      </c>
      <c r="C372" s="17">
        <v>2.5</v>
      </c>
      <c r="D372" s="17">
        <v>0.5</v>
      </c>
      <c r="E372" s="17">
        <v>2</v>
      </c>
      <c r="F372" s="17">
        <v>10</v>
      </c>
      <c r="G372" s="17">
        <v>2</v>
      </c>
      <c r="H372" s="17">
        <v>510</v>
      </c>
    </row>
    <row r="373" spans="1:9" x14ac:dyDescent="0.3">
      <c r="A373" s="16" t="s">
        <v>794</v>
      </c>
      <c r="B373">
        <f>B6*10+B19*2+B36*7</f>
        <v>2160</v>
      </c>
      <c r="C373">
        <f t="shared" ref="C373:H373" si="90">C6*10+C19*2+C36*7</f>
        <v>67</v>
      </c>
      <c r="D373">
        <f t="shared" si="90"/>
        <v>42</v>
      </c>
      <c r="E373">
        <f t="shared" si="90"/>
        <v>50</v>
      </c>
      <c r="F373">
        <f t="shared" si="90"/>
        <v>330</v>
      </c>
      <c r="G373">
        <f t="shared" si="90"/>
        <v>7</v>
      </c>
      <c r="H373">
        <f t="shared" si="90"/>
        <v>530</v>
      </c>
    </row>
    <row r="374" spans="1:9" x14ac:dyDescent="0.3">
      <c r="A374" s="16" t="s">
        <v>795</v>
      </c>
      <c r="B374">
        <f>B373/4</f>
        <v>540</v>
      </c>
      <c r="C374">
        <f t="shared" ref="C374:H374" si="91">C373/4</f>
        <v>16.75</v>
      </c>
      <c r="D374">
        <f t="shared" si="91"/>
        <v>10.5</v>
      </c>
      <c r="E374">
        <f t="shared" si="91"/>
        <v>12.5</v>
      </c>
      <c r="F374">
        <f t="shared" si="91"/>
        <v>82.5</v>
      </c>
      <c r="G374">
        <f t="shared" si="91"/>
        <v>1.75</v>
      </c>
      <c r="H374">
        <f t="shared" si="91"/>
        <v>132.5</v>
      </c>
    </row>
    <row r="375" spans="1:9" x14ac:dyDescent="0.3">
      <c r="A375" s="16" t="s">
        <v>797</v>
      </c>
      <c r="B375">
        <v>630</v>
      </c>
      <c r="C375">
        <v>22</v>
      </c>
      <c r="D375">
        <v>7</v>
      </c>
      <c r="E375">
        <v>20</v>
      </c>
      <c r="F375">
        <v>86</v>
      </c>
      <c r="G375">
        <v>6</v>
      </c>
      <c r="H375">
        <v>1390</v>
      </c>
    </row>
    <row r="376" spans="1:9" x14ac:dyDescent="0.3">
      <c r="A376" s="16" t="s">
        <v>802</v>
      </c>
      <c r="B376">
        <v>218</v>
      </c>
      <c r="C376">
        <v>23.1</v>
      </c>
      <c r="D376">
        <v>3.6</v>
      </c>
      <c r="E376">
        <v>0.5</v>
      </c>
      <c r="F376">
        <v>3</v>
      </c>
      <c r="G376">
        <v>0.3</v>
      </c>
      <c r="H376">
        <v>367</v>
      </c>
    </row>
    <row r="377" spans="1:9" x14ac:dyDescent="0.3">
      <c r="A377" s="16" t="s">
        <v>798</v>
      </c>
      <c r="B377">
        <v>50</v>
      </c>
      <c r="C377">
        <v>0.5</v>
      </c>
      <c r="D377">
        <v>0</v>
      </c>
      <c r="E377">
        <v>0</v>
      </c>
      <c r="F377">
        <v>11</v>
      </c>
      <c r="G377">
        <v>0</v>
      </c>
      <c r="H377">
        <v>25</v>
      </c>
    </row>
    <row r="378" spans="1:9" x14ac:dyDescent="0.3">
      <c r="A378" s="16" t="s">
        <v>801</v>
      </c>
      <c r="B378">
        <v>300</v>
      </c>
      <c r="C378">
        <v>10</v>
      </c>
      <c r="D378">
        <v>5</v>
      </c>
      <c r="E378">
        <v>16</v>
      </c>
      <c r="F378">
        <v>37</v>
      </c>
      <c r="G378">
        <v>1</v>
      </c>
      <c r="H378">
        <v>700</v>
      </c>
    </row>
    <row r="379" spans="1:9" x14ac:dyDescent="0.3">
      <c r="A379" s="16" t="s">
        <v>803</v>
      </c>
      <c r="B379">
        <v>180</v>
      </c>
      <c r="C379">
        <v>5</v>
      </c>
      <c r="D379">
        <v>2.5</v>
      </c>
      <c r="E379">
        <v>8</v>
      </c>
      <c r="F379">
        <v>25</v>
      </c>
      <c r="G379">
        <v>4</v>
      </c>
      <c r="H379">
        <v>310</v>
      </c>
    </row>
    <row r="380" spans="1:9" x14ac:dyDescent="0.3">
      <c r="A380" s="16" t="s">
        <v>804</v>
      </c>
      <c r="B380">
        <v>80</v>
      </c>
      <c r="C380">
        <v>4</v>
      </c>
      <c r="D380">
        <v>0</v>
      </c>
      <c r="E380">
        <v>0</v>
      </c>
      <c r="F380">
        <v>8</v>
      </c>
      <c r="G380">
        <v>0</v>
      </c>
      <c r="H380">
        <v>0</v>
      </c>
    </row>
    <row r="381" spans="1:9" x14ac:dyDescent="0.3">
      <c r="A381" s="16" t="s">
        <v>806</v>
      </c>
      <c r="B381">
        <v>150</v>
      </c>
      <c r="C381">
        <v>9</v>
      </c>
      <c r="D381">
        <v>5</v>
      </c>
      <c r="E381">
        <v>2</v>
      </c>
      <c r="F381">
        <v>17</v>
      </c>
      <c r="G381">
        <v>1</v>
      </c>
      <c r="H381">
        <v>50</v>
      </c>
    </row>
    <row r="382" spans="1:9" x14ac:dyDescent="0.3">
      <c r="A382" s="16" t="s">
        <v>808</v>
      </c>
      <c r="B382" s="17">
        <v>110</v>
      </c>
      <c r="C382" s="17">
        <v>0</v>
      </c>
      <c r="D382" s="17">
        <v>0</v>
      </c>
      <c r="E382" s="17">
        <v>0</v>
      </c>
      <c r="F382" s="17">
        <v>28</v>
      </c>
      <c r="G382" s="17">
        <v>0</v>
      </c>
      <c r="H382" s="17">
        <v>175</v>
      </c>
    </row>
    <row r="383" spans="1:9" x14ac:dyDescent="0.3">
      <c r="A383" s="16" t="s">
        <v>809</v>
      </c>
      <c r="B383">
        <v>100</v>
      </c>
      <c r="C383">
        <v>0</v>
      </c>
      <c r="D383">
        <v>0</v>
      </c>
      <c r="E383">
        <v>25</v>
      </c>
      <c r="F383">
        <v>0</v>
      </c>
      <c r="G383">
        <v>0</v>
      </c>
      <c r="H383">
        <v>150</v>
      </c>
    </row>
    <row r="384" spans="1:9" x14ac:dyDescent="0.3">
      <c r="A384" s="16" t="s">
        <v>810</v>
      </c>
      <c r="B384">
        <v>574</v>
      </c>
      <c r="C384">
        <v>29.6</v>
      </c>
      <c r="D384">
        <v>13.1</v>
      </c>
      <c r="E384">
        <v>26.8</v>
      </c>
      <c r="F384">
        <v>50.2</v>
      </c>
      <c r="G384">
        <v>3.8</v>
      </c>
      <c r="H384">
        <v>1098</v>
      </c>
    </row>
    <row r="385" spans="1:8" x14ac:dyDescent="0.3">
      <c r="A385" s="16" t="s">
        <v>811</v>
      </c>
      <c r="B385">
        <v>20</v>
      </c>
      <c r="C385">
        <v>0</v>
      </c>
      <c r="D385">
        <v>0</v>
      </c>
      <c r="E385">
        <v>2</v>
      </c>
      <c r="F385">
        <v>4</v>
      </c>
      <c r="G385">
        <v>3</v>
      </c>
      <c r="H385">
        <v>20</v>
      </c>
    </row>
    <row r="386" spans="1:8" x14ac:dyDescent="0.3">
      <c r="A386" s="16" t="s">
        <v>815</v>
      </c>
      <c r="B386">
        <v>70</v>
      </c>
      <c r="C386">
        <v>1.5</v>
      </c>
      <c r="D386">
        <v>1</v>
      </c>
      <c r="E386">
        <v>3</v>
      </c>
      <c r="F386">
        <v>13</v>
      </c>
      <c r="G386">
        <v>0</v>
      </c>
      <c r="H386">
        <v>45</v>
      </c>
    </row>
    <row r="387" spans="1:8" x14ac:dyDescent="0.3">
      <c r="A387" s="16" t="s">
        <v>816</v>
      </c>
      <c r="B387">
        <v>310</v>
      </c>
      <c r="C387">
        <v>9</v>
      </c>
      <c r="D387">
        <v>4.5</v>
      </c>
      <c r="E387">
        <v>14</v>
      </c>
      <c r="F387">
        <v>42</v>
      </c>
      <c r="G387">
        <v>2</v>
      </c>
      <c r="H387">
        <v>680</v>
      </c>
    </row>
    <row r="388" spans="1:8" x14ac:dyDescent="0.3">
      <c r="A388" s="16" t="s">
        <v>817</v>
      </c>
      <c r="B388">
        <v>250</v>
      </c>
      <c r="C388">
        <v>5</v>
      </c>
      <c r="D388">
        <v>2.5</v>
      </c>
      <c r="E388">
        <v>10</v>
      </c>
      <c r="F388">
        <v>42</v>
      </c>
      <c r="G388">
        <v>1</v>
      </c>
      <c r="H388">
        <v>340</v>
      </c>
    </row>
    <row r="389" spans="1:8" x14ac:dyDescent="0.3">
      <c r="A389" s="16" t="s">
        <v>818</v>
      </c>
      <c r="B389">
        <v>140</v>
      </c>
      <c r="C389">
        <v>4</v>
      </c>
      <c r="D389">
        <v>1</v>
      </c>
      <c r="E389">
        <v>3</v>
      </c>
      <c r="F389">
        <v>22</v>
      </c>
      <c r="G389">
        <v>1</v>
      </c>
      <c r="H389">
        <v>240</v>
      </c>
    </row>
    <row r="390" spans="1:8" x14ac:dyDescent="0.3">
      <c r="A390" s="16" t="s">
        <v>819</v>
      </c>
      <c r="B390" s="17">
        <f>(B338+B6*10+B19*2)/3</f>
        <v>513.33333333333337</v>
      </c>
      <c r="C390" s="17">
        <f t="shared" ref="C390:H390" si="92">(C338+C6*10+C19*2)/3</f>
        <v>22.5</v>
      </c>
      <c r="D390" s="17">
        <f t="shared" si="92"/>
        <v>15.5</v>
      </c>
      <c r="E390" s="17">
        <f t="shared" si="92"/>
        <v>16.333333333333332</v>
      </c>
      <c r="F390" s="17">
        <f t="shared" si="92"/>
        <v>55.333333333333336</v>
      </c>
      <c r="G390" s="17">
        <f t="shared" si="92"/>
        <v>2</v>
      </c>
      <c r="H390" s="17">
        <f t="shared" si="92"/>
        <v>736.66666666666663</v>
      </c>
    </row>
    <row r="391" spans="1:8" x14ac:dyDescent="0.3">
      <c r="A391" s="16" t="s">
        <v>823</v>
      </c>
      <c r="B391" s="17">
        <v>70</v>
      </c>
      <c r="C391" s="17">
        <v>0</v>
      </c>
      <c r="D391" s="17">
        <v>0</v>
      </c>
      <c r="E391" s="17">
        <v>1</v>
      </c>
      <c r="F391" s="17">
        <v>17</v>
      </c>
      <c r="G391" s="17">
        <v>0</v>
      </c>
      <c r="H391" s="17">
        <v>25</v>
      </c>
    </row>
    <row r="392" spans="1:8" x14ac:dyDescent="0.3">
      <c r="A392" s="16" t="s">
        <v>830</v>
      </c>
      <c r="B392">
        <f>3*190</f>
        <v>570</v>
      </c>
      <c r="C392">
        <f>3*4.5</f>
        <v>13.5</v>
      </c>
      <c r="D392">
        <f>3*2</f>
        <v>6</v>
      </c>
      <c r="E392">
        <f>3*11</f>
        <v>33</v>
      </c>
      <c r="F392">
        <f>3*24</f>
        <v>72</v>
      </c>
      <c r="G392">
        <f>3*1</f>
        <v>3</v>
      </c>
      <c r="H392">
        <f>3*430</f>
        <v>1290</v>
      </c>
    </row>
    <row r="393" spans="1:8" x14ac:dyDescent="0.3">
      <c r="A393" s="16" t="s">
        <v>833</v>
      </c>
      <c r="B393" s="17">
        <f>B338+B6*4+B19*2+B370*2/3</f>
        <v>1226.6666666666667</v>
      </c>
      <c r="C393" s="17">
        <f t="shared" ref="C393:H393" si="93">C338+C6*4+C19*2+C370*2/3</f>
        <v>39.166666666666664</v>
      </c>
      <c r="D393" s="17">
        <f t="shared" si="93"/>
        <v>25.5</v>
      </c>
      <c r="E393" s="17">
        <f t="shared" si="93"/>
        <v>49.666666666666664</v>
      </c>
      <c r="F393" s="17">
        <f t="shared" si="93"/>
        <v>156.66666666666666</v>
      </c>
      <c r="G393" s="17">
        <f t="shared" si="93"/>
        <v>8</v>
      </c>
      <c r="H393" s="17">
        <f t="shared" si="93"/>
        <v>2260</v>
      </c>
    </row>
    <row r="394" spans="1:8" x14ac:dyDescent="0.3">
      <c r="A394" s="16" t="s">
        <v>834</v>
      </c>
      <c r="B394" s="17">
        <v>190</v>
      </c>
      <c r="C394" s="17">
        <v>10</v>
      </c>
      <c r="D394" s="17">
        <v>6</v>
      </c>
      <c r="E394" s="17">
        <v>7</v>
      </c>
      <c r="F394" s="17">
        <v>34</v>
      </c>
      <c r="G394" s="17">
        <v>0</v>
      </c>
      <c r="H394" s="17">
        <v>15</v>
      </c>
    </row>
    <row r="395" spans="1:8" x14ac:dyDescent="0.3">
      <c r="B395">
        <f>B391*2</f>
        <v>140</v>
      </c>
      <c r="C395">
        <f t="shared" ref="C395:H395" si="94">C391*2</f>
        <v>0</v>
      </c>
      <c r="D395">
        <f t="shared" si="94"/>
        <v>0</v>
      </c>
      <c r="E395">
        <f t="shared" si="94"/>
        <v>2</v>
      </c>
      <c r="F395">
        <f t="shared" si="94"/>
        <v>34</v>
      </c>
      <c r="G395">
        <f t="shared" si="94"/>
        <v>0</v>
      </c>
      <c r="H395">
        <f t="shared" si="94"/>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1"/>
  <sheetViews>
    <sheetView tabSelected="1" topLeftCell="Q1" zoomScale="85" zoomScaleNormal="85" workbookViewId="0">
      <pane ySplit="1" topLeftCell="A140" activePane="bottomLeft" state="frozen"/>
      <selection activeCell="O1" sqref="O1"/>
      <selection pane="bottomLeft" activeCell="Z152" sqref="Z152"/>
    </sheetView>
  </sheetViews>
  <sheetFormatPr defaultColWidth="9.109375" defaultRowHeight="14.4" x14ac:dyDescent="0.3"/>
  <cols>
    <col min="1" max="2" width="17.6640625" style="3" customWidth="1"/>
    <col min="3" max="3" width="16.33203125" style="8" customWidth="1"/>
    <col min="4" max="4" width="10" style="3" customWidth="1"/>
    <col min="5" max="5" width="21.5546875" style="4" customWidth="1"/>
    <col min="6" max="9" width="32.5546875" style="3" customWidth="1"/>
    <col min="10" max="10" width="9.109375" style="3"/>
    <col min="11" max="11" width="25.5546875" style="3" customWidth="1"/>
    <col min="12" max="12" width="25.5546875" style="11" customWidth="1"/>
    <col min="13" max="13" width="28.5546875" style="11" customWidth="1"/>
    <col min="14" max="14" width="34" style="11" customWidth="1"/>
    <col min="15" max="16" width="32" style="11" customWidth="1"/>
    <col min="17" max="17" width="26.88671875" style="11" customWidth="1"/>
    <col min="18" max="18" width="29.88671875" style="11" customWidth="1"/>
    <col min="19" max="19" width="31.6640625" style="11" customWidth="1"/>
    <col min="20" max="20" width="22.5546875" style="11" customWidth="1"/>
    <col min="21" max="21" width="22.33203125" style="11" customWidth="1"/>
    <col min="22" max="22" width="19.33203125" style="11" customWidth="1"/>
    <col min="23" max="23" width="16.6640625" style="11" customWidth="1"/>
    <col min="24" max="24" width="21.6640625" style="11" customWidth="1"/>
    <col min="25" max="25" width="20" style="11" customWidth="1"/>
    <col min="26" max="27" width="21.5546875" style="3" customWidth="1"/>
    <col min="28" max="28" width="25.109375" style="5" customWidth="1"/>
    <col min="29" max="29" width="20.33203125" style="6" customWidth="1"/>
    <col min="30" max="30" width="21.5546875" style="6" customWidth="1"/>
    <col min="31" max="32" width="20.88671875" style="6" customWidth="1"/>
    <col min="33" max="33" width="25.88671875" style="6" customWidth="1"/>
    <col min="34" max="40" width="21.44140625" style="6" customWidth="1"/>
    <col min="41" max="43" width="20.88671875" style="7" customWidth="1"/>
    <col min="44" max="46" width="25.44140625" style="3" customWidth="1"/>
    <col min="47" max="47" width="29.44140625" style="7" customWidth="1"/>
    <col min="48" max="48" width="32.6640625" style="3" customWidth="1"/>
    <col min="49" max="49" width="16.33203125" style="3" customWidth="1"/>
    <col min="50" max="50" width="23.109375" style="3" customWidth="1"/>
    <col min="51" max="51" width="15.5546875" style="5" customWidth="1"/>
    <col min="52" max="56" width="9.109375" style="3"/>
    <col min="57" max="57" width="17" style="3" customWidth="1"/>
    <col min="58" max="58" width="11" style="3" customWidth="1"/>
    <col min="59" max="59" width="16.6640625" style="3" customWidth="1"/>
    <col min="60" max="60" width="13.33203125" style="3" customWidth="1"/>
    <col min="61" max="61" width="24.109375" style="3" customWidth="1"/>
    <col min="62" max="62" width="18" style="3" customWidth="1"/>
    <col min="63" max="16384" width="9.109375" style="3"/>
  </cols>
  <sheetData>
    <row r="1" spans="1:62" x14ac:dyDescent="0.3">
      <c r="A1" s="3" t="s">
        <v>0</v>
      </c>
      <c r="B1" s="3" t="s">
        <v>124</v>
      </c>
      <c r="C1" s="8" t="s">
        <v>1</v>
      </c>
      <c r="D1" s="3" t="s">
        <v>2</v>
      </c>
      <c r="E1" s="4" t="s">
        <v>25</v>
      </c>
      <c r="F1" s="3" t="s">
        <v>125</v>
      </c>
      <c r="G1" s="3" t="s">
        <v>126</v>
      </c>
      <c r="H1" s="3" t="s">
        <v>87</v>
      </c>
      <c r="I1" s="3" t="s">
        <v>250</v>
      </c>
      <c r="J1" s="3" t="s">
        <v>22</v>
      </c>
      <c r="K1" s="3" t="s">
        <v>3</v>
      </c>
      <c r="L1" s="11" t="s">
        <v>94</v>
      </c>
      <c r="M1" s="11" t="s">
        <v>93</v>
      </c>
      <c r="N1" s="11" t="s">
        <v>4</v>
      </c>
      <c r="O1" s="11" t="s">
        <v>117</v>
      </c>
      <c r="P1" s="11" t="s">
        <v>5</v>
      </c>
      <c r="Q1" s="11" t="s">
        <v>6</v>
      </c>
      <c r="R1" s="11" t="s">
        <v>7</v>
      </c>
      <c r="S1" s="11" t="s">
        <v>8</v>
      </c>
      <c r="T1" s="11" t="s">
        <v>9</v>
      </c>
      <c r="U1" s="11" t="s">
        <v>10</v>
      </c>
      <c r="V1" s="11" t="s">
        <v>11</v>
      </c>
      <c r="W1" s="11" t="s">
        <v>12</v>
      </c>
      <c r="X1" s="11" t="s">
        <v>13</v>
      </c>
      <c r="Y1" s="11" t="s">
        <v>14</v>
      </c>
      <c r="Z1" s="3" t="s">
        <v>31</v>
      </c>
      <c r="AA1" s="3" t="s">
        <v>86</v>
      </c>
      <c r="AB1" s="5" t="s">
        <v>30</v>
      </c>
      <c r="AC1" s="6" t="s">
        <v>26</v>
      </c>
      <c r="AD1" s="6" t="s">
        <v>27</v>
      </c>
      <c r="AE1" s="6" t="s">
        <v>28</v>
      </c>
      <c r="AF1" s="6" t="s">
        <v>88</v>
      </c>
      <c r="AG1" s="6" t="s">
        <v>89</v>
      </c>
      <c r="AH1" s="6" t="s">
        <v>184</v>
      </c>
      <c r="AI1" s="6" t="s">
        <v>185</v>
      </c>
      <c r="AJ1" s="6" t="s">
        <v>186</v>
      </c>
      <c r="AK1" s="6" t="s">
        <v>187</v>
      </c>
      <c r="AL1" s="6" t="s">
        <v>188</v>
      </c>
      <c r="AM1" s="6" t="s">
        <v>189</v>
      </c>
      <c r="AN1" s="6" t="s">
        <v>271</v>
      </c>
      <c r="AO1" s="7" t="s">
        <v>47</v>
      </c>
      <c r="AP1" s="7" t="s">
        <v>118</v>
      </c>
      <c r="AQ1" s="7" t="s">
        <v>85</v>
      </c>
      <c r="AR1" s="3" t="s">
        <v>21</v>
      </c>
      <c r="AS1" s="7" t="s">
        <v>91</v>
      </c>
      <c r="AT1" s="7" t="s">
        <v>92</v>
      </c>
      <c r="AU1" s="7" t="s">
        <v>98</v>
      </c>
      <c r="AV1" s="7" t="s">
        <v>99</v>
      </c>
      <c r="AW1" s="3" t="s">
        <v>24</v>
      </c>
      <c r="AX1" s="3" t="s">
        <v>82</v>
      </c>
      <c r="AY1" s="5" t="s">
        <v>105</v>
      </c>
      <c r="AZ1" s="3" t="s">
        <v>100</v>
      </c>
      <c r="BA1" s="3" t="s">
        <v>101</v>
      </c>
      <c r="BB1" s="3" t="s">
        <v>102</v>
      </c>
      <c r="BC1" s="3" t="s">
        <v>103</v>
      </c>
      <c r="BD1" s="3" t="s">
        <v>104</v>
      </c>
      <c r="BE1" s="3" t="s">
        <v>381</v>
      </c>
      <c r="BF1" s="3" t="s">
        <v>382</v>
      </c>
      <c r="BG1" s="3" t="s">
        <v>383</v>
      </c>
      <c r="BH1" s="3" t="s">
        <v>384</v>
      </c>
      <c r="BI1" s="3" t="s">
        <v>385</v>
      </c>
      <c r="BJ1" s="3" t="s">
        <v>641</v>
      </c>
    </row>
    <row r="2" spans="1:62" ht="24.9" customHeight="1" x14ac:dyDescent="0.3">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95</v>
      </c>
      <c r="AA2" s="10" t="s">
        <v>83</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72</v>
      </c>
      <c r="AS2" s="10">
        <v>0</v>
      </c>
      <c r="AT2" s="10" t="s">
        <v>97</v>
      </c>
      <c r="AU2" s="7">
        <v>0</v>
      </c>
      <c r="AV2" s="10">
        <f>-10</f>
        <v>-10</v>
      </c>
      <c r="AW2" s="3">
        <v>31</v>
      </c>
      <c r="AX2" s="3">
        <v>1</v>
      </c>
      <c r="AY2" s="5">
        <v>7</v>
      </c>
      <c r="AZ2" s="3">
        <v>1</v>
      </c>
      <c r="BA2" s="3">
        <v>1</v>
      </c>
      <c r="BB2" s="3">
        <v>1</v>
      </c>
      <c r="BC2" s="3">
        <v>1</v>
      </c>
      <c r="BD2" s="3">
        <v>1</v>
      </c>
      <c r="BE2" s="3">
        <v>0</v>
      </c>
      <c r="BF2" s="3">
        <v>0</v>
      </c>
      <c r="BG2" s="3">
        <v>0</v>
      </c>
      <c r="BH2" s="3">
        <v>0</v>
      </c>
      <c r="BI2" s="3">
        <v>0</v>
      </c>
      <c r="BJ2" s="3">
        <v>0</v>
      </c>
    </row>
    <row r="3" spans="1:62" ht="24.9" customHeight="1" x14ac:dyDescent="0.3">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96</v>
      </c>
      <c r="AA3" s="10" t="s">
        <v>84</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128" si="1">$AC3/$AB3</f>
        <v>1.8795539033457251E-2</v>
      </c>
      <c r="AJ3" s="6">
        <f t="shared" ref="AJ3:AJ128" si="2">$AD3/$AB3</f>
        <v>1.3085501858736059E-2</v>
      </c>
      <c r="AK3" s="6">
        <f t="shared" ref="AK3:AK128" si="3">$AE3/$AB3</f>
        <v>3.0810408921933083E-2</v>
      </c>
      <c r="AL3" s="6">
        <f t="shared" ref="AL3:AL128" si="4">$AF3/$AB3</f>
        <v>0.16981412639405205</v>
      </c>
      <c r="AM3" s="6">
        <f t="shared" ref="AM3:AM128" si="5">$AG3/$AB3</f>
        <v>1.6773234200743493E-2</v>
      </c>
      <c r="AN3" s="6">
        <f t="shared" ref="AN3:AN128"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c r="BJ3" s="3">
        <v>1</v>
      </c>
    </row>
    <row r="4" spans="1:62" ht="24.9" customHeight="1" x14ac:dyDescent="0.3">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112</v>
      </c>
      <c r="AA4" s="10" t="s">
        <v>107</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c r="BJ4" s="3">
        <v>0</v>
      </c>
    </row>
    <row r="5" spans="1:62" ht="24.9" customHeight="1" x14ac:dyDescent="0.3">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116</v>
      </c>
      <c r="AA5" s="10" t="s">
        <v>120</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113</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c r="BJ5" s="3">
        <v>0</v>
      </c>
    </row>
    <row r="6" spans="1:62" ht="20.100000000000001" customHeight="1" x14ac:dyDescent="0.3">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8">
        <v>11.5</v>
      </c>
      <c r="R6" s="11">
        <v>22.5</v>
      </c>
      <c r="S6" s="11">
        <v>22.5</v>
      </c>
      <c r="T6" s="11">
        <v>20</v>
      </c>
      <c r="U6" s="11">
        <v>20</v>
      </c>
      <c r="V6" s="11">
        <v>20</v>
      </c>
      <c r="W6" s="11">
        <v>20</v>
      </c>
      <c r="X6" s="11">
        <v>10</v>
      </c>
      <c r="Y6" s="11">
        <v>10</v>
      </c>
      <c r="Z6" s="3" t="s">
        <v>127</v>
      </c>
      <c r="AA6" s="10" t="s">
        <v>128</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c r="BJ6" s="3">
        <v>0</v>
      </c>
    </row>
    <row r="7" spans="1:62" ht="20.100000000000001" customHeight="1" x14ac:dyDescent="0.3">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8">
        <v>11.5</v>
      </c>
      <c r="R7" s="11">
        <v>23</v>
      </c>
      <c r="S7" s="11">
        <v>23</v>
      </c>
      <c r="T7" s="11">
        <v>22</v>
      </c>
      <c r="U7" s="11">
        <v>22</v>
      </c>
      <c r="V7" s="11">
        <v>20</v>
      </c>
      <c r="W7" s="11">
        <v>20</v>
      </c>
      <c r="X7" s="11">
        <v>10</v>
      </c>
      <c r="Y7" s="11">
        <v>10</v>
      </c>
      <c r="Z7" s="3" t="s">
        <v>131</v>
      </c>
      <c r="AA7" s="10" t="s">
        <v>132</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129</v>
      </c>
      <c r="AS7" s="3" t="s">
        <v>130</v>
      </c>
      <c r="AU7" s="7">
        <f>5+10+10</f>
        <v>25</v>
      </c>
      <c r="AV7" s="10">
        <v>0</v>
      </c>
      <c r="AW7" s="3">
        <v>31</v>
      </c>
      <c r="AX7" s="3">
        <v>1</v>
      </c>
      <c r="AY7" s="5">
        <v>6</v>
      </c>
      <c r="AZ7" s="3">
        <v>1</v>
      </c>
      <c r="BA7" s="3">
        <v>1</v>
      </c>
      <c r="BB7" s="3">
        <v>1</v>
      </c>
      <c r="BC7" s="3">
        <v>1</v>
      </c>
      <c r="BD7" s="3">
        <v>1</v>
      </c>
      <c r="BE7" s="3">
        <v>0</v>
      </c>
      <c r="BF7" s="3">
        <v>1</v>
      </c>
      <c r="BG7" s="3">
        <v>120</v>
      </c>
      <c r="BH7" s="3">
        <v>0</v>
      </c>
      <c r="BI7" s="3">
        <v>0</v>
      </c>
      <c r="BJ7" s="3">
        <v>0</v>
      </c>
    </row>
    <row r="8" spans="1:62" ht="20.100000000000001" customHeight="1" x14ac:dyDescent="0.3">
      <c r="A8" s="3" t="s">
        <v>137</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8">
        <v>11.25</v>
      </c>
      <c r="R8" s="11">
        <v>21.75</v>
      </c>
      <c r="S8" s="11">
        <v>21.75</v>
      </c>
      <c r="T8" s="11">
        <v>20</v>
      </c>
      <c r="U8" s="11">
        <v>20</v>
      </c>
      <c r="V8" s="11">
        <v>20</v>
      </c>
      <c r="W8" s="11">
        <v>20</v>
      </c>
      <c r="X8" s="11">
        <v>14</v>
      </c>
      <c r="Y8" s="11">
        <v>14</v>
      </c>
      <c r="Z8" s="3" t="s">
        <v>146</v>
      </c>
      <c r="AA8" s="10" t="s">
        <v>144</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c r="BJ8" s="3">
        <v>0</v>
      </c>
    </row>
    <row r="9" spans="1:62" ht="20.100000000000001" customHeight="1" x14ac:dyDescent="0.3">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8" t="s">
        <v>140</v>
      </c>
      <c r="R9" s="11">
        <v>22.5</v>
      </c>
      <c r="S9" s="11">
        <v>22.5</v>
      </c>
      <c r="T9" s="11">
        <v>20</v>
      </c>
      <c r="U9" s="11">
        <v>20</v>
      </c>
      <c r="V9" s="11">
        <v>20</v>
      </c>
      <c r="W9" s="11">
        <v>20</v>
      </c>
      <c r="X9" s="11">
        <v>12</v>
      </c>
      <c r="Y9" s="11">
        <v>10</v>
      </c>
      <c r="Z9" s="3" t="s">
        <v>145</v>
      </c>
      <c r="AA9" s="10" t="s">
        <v>141</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139</v>
      </c>
      <c r="AS9" s="3" t="s">
        <v>138</v>
      </c>
      <c r="AT9" s="10">
        <v>0</v>
      </c>
      <c r="AU9" s="7">
        <v>0</v>
      </c>
      <c r="AV9" s="10">
        <v>0</v>
      </c>
      <c r="AW9" s="3">
        <v>31</v>
      </c>
      <c r="AX9" s="3">
        <v>1</v>
      </c>
      <c r="AY9" s="5">
        <v>7.5</v>
      </c>
      <c r="AZ9" s="3">
        <v>1</v>
      </c>
      <c r="BA9" s="3">
        <v>1</v>
      </c>
      <c r="BB9" s="3">
        <v>1</v>
      </c>
      <c r="BC9" s="3">
        <v>1</v>
      </c>
      <c r="BD9" s="3">
        <v>1</v>
      </c>
      <c r="BE9" s="3">
        <v>0</v>
      </c>
      <c r="BF9" s="3">
        <v>1</v>
      </c>
      <c r="BG9" s="3">
        <v>30</v>
      </c>
      <c r="BH9" s="3">
        <v>0</v>
      </c>
      <c r="BI9" s="3">
        <v>0</v>
      </c>
      <c r="BJ9" s="3">
        <v>0</v>
      </c>
    </row>
    <row r="10" spans="1:62" ht="20.100000000000001" customHeight="1" x14ac:dyDescent="0.3">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8" t="s">
        <v>140</v>
      </c>
      <c r="R10" s="11">
        <v>22.5</v>
      </c>
      <c r="S10" s="11">
        <v>22.5</v>
      </c>
      <c r="T10" s="11">
        <v>20</v>
      </c>
      <c r="U10" s="11">
        <v>20</v>
      </c>
      <c r="V10" s="11">
        <v>20</v>
      </c>
      <c r="W10" s="11">
        <v>20</v>
      </c>
      <c r="X10" s="11">
        <v>12</v>
      </c>
      <c r="Y10" s="11">
        <v>10</v>
      </c>
      <c r="Z10" s="3" t="s">
        <v>145</v>
      </c>
      <c r="AA10" s="10" t="s">
        <v>141</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139</v>
      </c>
      <c r="AS10" s="3" t="s">
        <v>138</v>
      </c>
      <c r="AT10" s="10">
        <v>0</v>
      </c>
      <c r="AU10" s="7">
        <v>0</v>
      </c>
      <c r="AV10" s="3">
        <v>0</v>
      </c>
      <c r="AW10" s="3">
        <v>31</v>
      </c>
      <c r="AX10" s="3">
        <v>1</v>
      </c>
      <c r="AY10" s="5">
        <v>7.5</v>
      </c>
      <c r="AZ10" s="3">
        <v>1</v>
      </c>
      <c r="BA10" s="3">
        <v>1</v>
      </c>
      <c r="BB10" s="3">
        <v>1</v>
      </c>
      <c r="BC10" s="3">
        <v>1</v>
      </c>
      <c r="BD10" s="3">
        <v>1</v>
      </c>
      <c r="BE10" s="3">
        <v>0</v>
      </c>
      <c r="BF10" s="3">
        <v>0</v>
      </c>
      <c r="BG10" s="3">
        <v>0</v>
      </c>
      <c r="BH10" s="3">
        <v>0</v>
      </c>
      <c r="BI10" s="3">
        <v>0</v>
      </c>
      <c r="BJ10" s="3">
        <v>0</v>
      </c>
    </row>
    <row r="11" spans="1:62" ht="20.100000000000001" customHeight="1" x14ac:dyDescent="0.3">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8">
        <v>11.5</v>
      </c>
      <c r="R11" s="11">
        <v>21.5</v>
      </c>
      <c r="S11" s="11">
        <v>21.5</v>
      </c>
      <c r="T11" s="11">
        <v>20</v>
      </c>
      <c r="U11" s="11">
        <v>20</v>
      </c>
      <c r="V11" s="11">
        <v>20</v>
      </c>
      <c r="W11" s="11">
        <v>20</v>
      </c>
      <c r="X11" s="11">
        <v>10</v>
      </c>
      <c r="Y11" s="11">
        <v>10</v>
      </c>
      <c r="Z11" s="3" t="s">
        <v>143</v>
      </c>
      <c r="AA11" s="10" t="s">
        <v>142</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c r="BJ11" s="3">
        <v>0</v>
      </c>
    </row>
    <row r="12" spans="1:62" ht="20.100000000000001" customHeight="1" x14ac:dyDescent="0.3">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8">
        <v>11.375</v>
      </c>
      <c r="R12" s="11">
        <v>21.5</v>
      </c>
      <c r="S12" s="11">
        <v>21.5</v>
      </c>
      <c r="T12" s="11">
        <v>20</v>
      </c>
      <c r="U12" s="11">
        <v>20</v>
      </c>
      <c r="V12" s="11">
        <v>22</v>
      </c>
      <c r="W12" s="11">
        <v>20</v>
      </c>
      <c r="X12" s="11">
        <v>12</v>
      </c>
      <c r="Y12" s="11">
        <v>12</v>
      </c>
      <c r="Z12" s="3" t="s">
        <v>150</v>
      </c>
      <c r="AA12" s="10" t="s">
        <v>152</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147</v>
      </c>
      <c r="AS12" s="3" t="s">
        <v>149</v>
      </c>
      <c r="AT12" s="3" t="s">
        <v>148</v>
      </c>
      <c r="AU12" s="7">
        <v>20</v>
      </c>
      <c r="AV12" s="3">
        <v>-5</v>
      </c>
      <c r="AW12" s="3">
        <v>31</v>
      </c>
      <c r="AX12" s="3">
        <v>1</v>
      </c>
      <c r="AY12" s="5">
        <v>8</v>
      </c>
      <c r="AZ12" s="3">
        <v>1</v>
      </c>
      <c r="BA12" s="3">
        <v>1</v>
      </c>
      <c r="BB12" s="3">
        <v>1</v>
      </c>
      <c r="BC12" s="3">
        <v>1</v>
      </c>
      <c r="BD12" s="3">
        <v>1</v>
      </c>
      <c r="BE12" s="3">
        <v>0</v>
      </c>
      <c r="BF12" s="3">
        <v>0</v>
      </c>
      <c r="BG12" s="3">
        <v>0</v>
      </c>
      <c r="BH12" s="3">
        <v>0</v>
      </c>
      <c r="BI12" s="3">
        <v>0</v>
      </c>
      <c r="BJ12" s="3">
        <v>0</v>
      </c>
    </row>
    <row r="13" spans="1:62" ht="20.100000000000001" customHeight="1" x14ac:dyDescent="0.3">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8">
        <v>11.5</v>
      </c>
      <c r="R13" s="11">
        <v>22.25</v>
      </c>
      <c r="S13" s="11">
        <v>22.5</v>
      </c>
      <c r="T13" s="11">
        <v>20</v>
      </c>
      <c r="U13" s="11">
        <v>22</v>
      </c>
      <c r="V13" s="11">
        <v>22</v>
      </c>
      <c r="W13" s="11">
        <v>20</v>
      </c>
      <c r="X13" s="11">
        <v>10</v>
      </c>
      <c r="Y13" s="11">
        <v>12</v>
      </c>
      <c r="Z13" s="3" t="s">
        <v>153</v>
      </c>
      <c r="AA13" s="10" t="s">
        <v>152</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147</v>
      </c>
      <c r="AS13" s="3" t="s">
        <v>149</v>
      </c>
      <c r="AT13" s="3" t="s">
        <v>148</v>
      </c>
      <c r="AU13" s="7">
        <v>20</v>
      </c>
      <c r="AV13" s="3">
        <v>-5</v>
      </c>
      <c r="AW13" s="3">
        <v>31</v>
      </c>
      <c r="AX13" s="3">
        <v>1</v>
      </c>
      <c r="AY13" s="5">
        <v>8</v>
      </c>
      <c r="AZ13" s="3">
        <v>1</v>
      </c>
      <c r="BA13" s="3">
        <v>1</v>
      </c>
      <c r="BB13" s="3">
        <v>1</v>
      </c>
      <c r="BC13" s="3">
        <v>1</v>
      </c>
      <c r="BD13" s="3">
        <v>1</v>
      </c>
      <c r="BE13" s="3">
        <v>0</v>
      </c>
      <c r="BF13" s="3">
        <v>0</v>
      </c>
      <c r="BG13" s="3">
        <v>0</v>
      </c>
      <c r="BH13" s="3">
        <v>0</v>
      </c>
      <c r="BI13" s="3">
        <v>0</v>
      </c>
      <c r="BJ13" s="3">
        <v>0</v>
      </c>
    </row>
    <row r="14" spans="1:62" ht="20.100000000000001" customHeight="1" x14ac:dyDescent="0.3">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8">
        <v>11.75</v>
      </c>
      <c r="R14" s="11">
        <v>21.5</v>
      </c>
      <c r="S14" s="11">
        <v>21.5</v>
      </c>
      <c r="T14" s="11">
        <v>22</v>
      </c>
      <c r="U14" s="11">
        <v>22</v>
      </c>
      <c r="V14" s="11">
        <v>22</v>
      </c>
      <c r="W14" s="11">
        <v>22</v>
      </c>
      <c r="X14" s="11">
        <v>12</v>
      </c>
      <c r="Y14" s="11">
        <v>12</v>
      </c>
      <c r="Z14" s="3" t="s">
        <v>158</v>
      </c>
      <c r="AA14" s="10" t="s">
        <v>156</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c r="BJ14" s="3">
        <v>0</v>
      </c>
    </row>
    <row r="15" spans="1:62" ht="20.100000000000001" customHeight="1" x14ac:dyDescent="0.3">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161</v>
      </c>
      <c r="AA15" s="10" t="s">
        <v>162</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159</v>
      </c>
      <c r="AS15" s="3" t="s">
        <v>160</v>
      </c>
      <c r="AU15" s="7">
        <f>5*7</f>
        <v>35</v>
      </c>
      <c r="AV15" s="3">
        <v>0</v>
      </c>
      <c r="AW15" s="3">
        <v>31</v>
      </c>
      <c r="AX15" s="3">
        <v>1</v>
      </c>
      <c r="AY15" s="5">
        <v>8.5</v>
      </c>
      <c r="AZ15" s="3">
        <v>1</v>
      </c>
      <c r="BA15" s="3">
        <v>1</v>
      </c>
      <c r="BB15" s="3">
        <v>1</v>
      </c>
      <c r="BC15" s="3">
        <v>1</v>
      </c>
      <c r="BD15" s="3">
        <v>1</v>
      </c>
      <c r="BE15" s="3">
        <v>0</v>
      </c>
      <c r="BF15" s="3">
        <v>0</v>
      </c>
      <c r="BG15" s="3">
        <v>0</v>
      </c>
      <c r="BH15" s="3">
        <v>0</v>
      </c>
      <c r="BI15" s="3">
        <v>0</v>
      </c>
      <c r="BJ15" s="3">
        <v>0</v>
      </c>
    </row>
    <row r="16" spans="1:62" ht="20.100000000000001" customHeight="1" x14ac:dyDescent="0.3">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161</v>
      </c>
      <c r="AA16" s="10" t="s">
        <v>162</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159</v>
      </c>
      <c r="AS16" s="3" t="s">
        <v>160</v>
      </c>
      <c r="AU16" s="7">
        <f>5*7</f>
        <v>35</v>
      </c>
      <c r="AV16" s="3">
        <v>0</v>
      </c>
      <c r="AW16" s="3">
        <v>31</v>
      </c>
      <c r="AX16" s="3">
        <v>1</v>
      </c>
      <c r="AY16" s="5">
        <v>8.5</v>
      </c>
      <c r="AZ16" s="3">
        <v>1</v>
      </c>
      <c r="BA16" s="3">
        <v>1</v>
      </c>
      <c r="BB16" s="3">
        <v>1</v>
      </c>
      <c r="BC16" s="3">
        <v>1</v>
      </c>
      <c r="BD16" s="3">
        <v>1</v>
      </c>
      <c r="BE16" s="3">
        <v>0</v>
      </c>
      <c r="BF16" s="3">
        <v>0</v>
      </c>
      <c r="BG16" s="3">
        <v>0</v>
      </c>
      <c r="BH16" s="3">
        <v>0</v>
      </c>
      <c r="BI16" s="3">
        <v>0</v>
      </c>
      <c r="BJ16" s="3">
        <v>0</v>
      </c>
    </row>
    <row r="17" spans="1:62" ht="20.100000000000001" customHeight="1" x14ac:dyDescent="0.3">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164</v>
      </c>
      <c r="AA17" s="10" t="s">
        <v>165</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c r="BJ17" s="3">
        <v>0</v>
      </c>
    </row>
    <row r="18" spans="1:62" ht="20.100000000000001" customHeight="1" x14ac:dyDescent="0.3">
      <c r="A18" s="3" t="s">
        <v>137</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166</v>
      </c>
      <c r="AA18" s="10" t="s">
        <v>170</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c r="BJ18" s="3">
        <v>0</v>
      </c>
    </row>
    <row r="19" spans="1:62" ht="20.100000000000001" customHeight="1" x14ac:dyDescent="0.3">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175</v>
      </c>
      <c r="AA19" s="10" t="s">
        <v>174</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171</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c r="BJ19" s="3">
        <v>0</v>
      </c>
    </row>
    <row r="20" spans="1:62" ht="20.100000000000001" customHeight="1" x14ac:dyDescent="0.3">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175</v>
      </c>
      <c r="AA20" s="10" t="s">
        <v>174</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171</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c r="BJ20" s="3">
        <v>0</v>
      </c>
    </row>
    <row r="21" spans="1:62" ht="20.100000000000001" customHeight="1" x14ac:dyDescent="0.3">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177</v>
      </c>
      <c r="AA21" s="10" t="s">
        <v>176</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c r="BJ21" s="3">
        <v>0</v>
      </c>
    </row>
    <row r="22" spans="1:62" ht="20.100000000000001" customHeight="1" x14ac:dyDescent="0.3">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183</v>
      </c>
      <c r="AA22" s="10" t="s">
        <v>182</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c r="BJ22" s="3">
        <v>0</v>
      </c>
    </row>
    <row r="23" spans="1:62" ht="20.100000000000001" customHeight="1" x14ac:dyDescent="0.3">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195</v>
      </c>
      <c r="AA23" s="10" t="s">
        <v>194</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193</v>
      </c>
      <c r="AS23" s="3" t="s">
        <v>254</v>
      </c>
      <c r="AT23" s="7" t="s">
        <v>255</v>
      </c>
      <c r="AU23" s="7">
        <v>10</v>
      </c>
      <c r="AV23" s="3">
        <v>-5</v>
      </c>
      <c r="AW23" s="3">
        <v>31</v>
      </c>
      <c r="AX23" s="3">
        <v>1</v>
      </c>
      <c r="AY23" s="5">
        <v>7</v>
      </c>
      <c r="AZ23" s="3">
        <v>1</v>
      </c>
      <c r="BA23" s="3">
        <v>1</v>
      </c>
      <c r="BB23" s="3">
        <v>1</v>
      </c>
      <c r="BC23" s="3">
        <v>1</v>
      </c>
      <c r="BD23" s="3">
        <v>1</v>
      </c>
      <c r="BE23" s="3">
        <v>0</v>
      </c>
      <c r="BF23" s="3">
        <v>1</v>
      </c>
      <c r="BG23" s="3">
        <v>30</v>
      </c>
      <c r="BH23" s="3">
        <v>0</v>
      </c>
      <c r="BI23" s="3">
        <v>0</v>
      </c>
      <c r="BJ23" s="3">
        <v>0</v>
      </c>
    </row>
    <row r="24" spans="1:62" ht="20.100000000000001" customHeight="1" x14ac:dyDescent="0.3">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195</v>
      </c>
      <c r="AA24" s="10" t="s">
        <v>194</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193</v>
      </c>
      <c r="AS24" s="3" t="s">
        <v>254</v>
      </c>
      <c r="AT24" s="7" t="s">
        <v>255</v>
      </c>
      <c r="AU24" s="7">
        <v>10</v>
      </c>
      <c r="AV24" s="3">
        <v>-5</v>
      </c>
      <c r="AW24" s="3">
        <v>31</v>
      </c>
      <c r="AX24" s="3">
        <v>1</v>
      </c>
      <c r="AY24" s="5">
        <v>7</v>
      </c>
      <c r="AZ24" s="3">
        <v>1</v>
      </c>
      <c r="BA24" s="3">
        <v>1</v>
      </c>
      <c r="BB24" s="3">
        <v>1</v>
      </c>
      <c r="BC24" s="3">
        <v>1</v>
      </c>
      <c r="BD24" s="3">
        <v>1</v>
      </c>
      <c r="BE24" s="3">
        <v>0</v>
      </c>
      <c r="BF24" s="3">
        <v>1</v>
      </c>
      <c r="BG24" s="3">
        <v>30</v>
      </c>
      <c r="BH24" s="3">
        <v>0</v>
      </c>
      <c r="BI24" s="3">
        <v>0</v>
      </c>
      <c r="BJ24" s="3">
        <v>0</v>
      </c>
    </row>
    <row r="25" spans="1:62" ht="20.100000000000001" customHeight="1" x14ac:dyDescent="0.3">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252</v>
      </c>
      <c r="AA25" s="10" t="s">
        <v>249</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c r="BJ25" s="3">
        <v>0</v>
      </c>
    </row>
    <row r="26" spans="1:62" ht="20.100000000000001" customHeight="1" x14ac:dyDescent="0.3">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256</v>
      </c>
      <c r="AA26" s="10" t="s">
        <v>249</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c r="BJ26" s="3">
        <v>0</v>
      </c>
    </row>
    <row r="27" spans="1:62" ht="20.100000000000001" customHeight="1" x14ac:dyDescent="0.3">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261</v>
      </c>
      <c r="AA27" s="10" t="s">
        <v>262</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257</v>
      </c>
      <c r="AS27" s="7" t="s">
        <v>260</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c r="BJ27" s="3">
        <v>0</v>
      </c>
    </row>
    <row r="28" spans="1:62" ht="20.100000000000001" customHeight="1" x14ac:dyDescent="0.3">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261</v>
      </c>
      <c r="AA28" s="10" t="s">
        <v>262</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257</v>
      </c>
      <c r="AS28" s="7" t="s">
        <v>260</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c r="BJ28" s="3">
        <v>0</v>
      </c>
    </row>
    <row r="29" spans="1:62" ht="20.100000000000001" customHeight="1" x14ac:dyDescent="0.3">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263</v>
      </c>
      <c r="AA29" s="10" t="s">
        <v>268</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257</v>
      </c>
      <c r="AS29" s="7" t="s">
        <v>260</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c r="BJ29" s="3">
        <v>0</v>
      </c>
    </row>
    <row r="30" spans="1:62" ht="20.100000000000001" customHeight="1" x14ac:dyDescent="0.3">
      <c r="A30" s="3" t="s">
        <v>137</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270</v>
      </c>
      <c r="AA30" s="10" t="s">
        <v>269</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c r="BJ30" s="3">
        <v>0</v>
      </c>
    </row>
    <row r="31" spans="1:62" ht="20.100000000000001" customHeight="1" x14ac:dyDescent="0.3">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273</v>
      </c>
      <c r="AA31" s="10" t="s">
        <v>272</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c r="BJ31" s="3">
        <v>0</v>
      </c>
    </row>
    <row r="32" spans="1:62" ht="20.100000000000001" customHeight="1" x14ac:dyDescent="0.3">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276</v>
      </c>
      <c r="AA32" s="10" t="s">
        <v>275</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c r="BJ32" s="3">
        <v>0</v>
      </c>
    </row>
    <row r="33" spans="1:62" ht="20.100000000000001" customHeight="1" x14ac:dyDescent="0.3">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281</v>
      </c>
      <c r="AA33" s="10" t="s">
        <v>283</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c r="BJ33" s="3">
        <v>0</v>
      </c>
    </row>
    <row r="34" spans="1:62" ht="20.100000000000001" customHeight="1" x14ac:dyDescent="0.3">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289</v>
      </c>
      <c r="AA34" s="10" t="s">
        <v>288</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c r="BJ34" s="3">
        <v>0</v>
      </c>
    </row>
    <row r="35" spans="1:62" ht="20.100000000000001" customHeight="1" x14ac:dyDescent="0.3">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296</v>
      </c>
      <c r="AA35" s="10" t="s">
        <v>295</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290</v>
      </c>
      <c r="AS35" s="3" t="s">
        <v>291</v>
      </c>
      <c r="AT35" s="7">
        <v>0</v>
      </c>
      <c r="AU35" s="7">
        <v>5</v>
      </c>
      <c r="AV35" s="7">
        <v>0</v>
      </c>
      <c r="AW35" s="3">
        <v>31</v>
      </c>
      <c r="AX35" s="3">
        <v>1</v>
      </c>
      <c r="AY35" s="5">
        <v>7</v>
      </c>
      <c r="AZ35" s="3">
        <v>1</v>
      </c>
      <c r="BA35" s="3">
        <v>1</v>
      </c>
      <c r="BB35" s="3">
        <v>0</v>
      </c>
      <c r="BC35" s="3">
        <v>1</v>
      </c>
      <c r="BD35" s="3">
        <v>1</v>
      </c>
      <c r="BE35" s="3">
        <v>0</v>
      </c>
      <c r="BF35" s="3">
        <v>0</v>
      </c>
      <c r="BG35" s="3">
        <v>0</v>
      </c>
      <c r="BH35" s="3">
        <v>0</v>
      </c>
      <c r="BI35" s="3">
        <v>0</v>
      </c>
      <c r="BJ35" s="3">
        <v>0</v>
      </c>
    </row>
    <row r="36" spans="1:62" ht="20.100000000000001" customHeight="1" x14ac:dyDescent="0.3">
      <c r="A36" s="3" t="s">
        <v>18</v>
      </c>
      <c r="B36" s="3">
        <v>26</v>
      </c>
      <c r="C36" s="8" t="s">
        <v>297</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298</v>
      </c>
      <c r="AA36" s="10" t="s">
        <v>299</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c r="BJ36" s="3">
        <v>0</v>
      </c>
    </row>
    <row r="37" spans="1:62" ht="20.100000000000001" customHeight="1" x14ac:dyDescent="0.3">
      <c r="A37" s="3" t="s">
        <v>137</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302</v>
      </c>
      <c r="AA37" s="10" t="s">
        <v>303</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c r="BJ37" s="3">
        <v>1</v>
      </c>
    </row>
    <row r="38" spans="1:62" ht="20.100000000000001" customHeight="1" x14ac:dyDescent="0.3">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308</v>
      </c>
      <c r="AA38" s="10" t="s">
        <v>309</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c r="BJ38" s="3">
        <v>0</v>
      </c>
    </row>
    <row r="39" spans="1:62" ht="20.100000000000001" customHeight="1" x14ac:dyDescent="0.3">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311</v>
      </c>
      <c r="AA39" s="10" t="s">
        <v>310</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c r="BJ39" s="3">
        <v>0</v>
      </c>
    </row>
    <row r="40" spans="1:62" ht="20.100000000000001" customHeight="1" x14ac:dyDescent="0.3">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319</v>
      </c>
      <c r="AA40" s="10" t="s">
        <v>316</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c r="BJ40" s="3">
        <v>0</v>
      </c>
    </row>
    <row r="41" spans="1:62" ht="20.100000000000001" customHeight="1" x14ac:dyDescent="0.3">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318</v>
      </c>
      <c r="AA41" s="10" t="s">
        <v>317</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c r="BJ41" s="3">
        <v>0</v>
      </c>
    </row>
    <row r="42" spans="1:62" ht="20.100000000000001" customHeight="1" x14ac:dyDescent="0.3">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327</v>
      </c>
      <c r="AA42" s="10" t="s">
        <v>324</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326</v>
      </c>
      <c r="AS42" s="7" t="s">
        <v>325</v>
      </c>
      <c r="AT42" s="7">
        <v>0</v>
      </c>
      <c r="AU42" s="7">
        <v>20</v>
      </c>
      <c r="AV42" s="7">
        <v>0</v>
      </c>
      <c r="AW42" s="7">
        <v>31</v>
      </c>
      <c r="AX42" s="7">
        <v>1</v>
      </c>
      <c r="AY42" s="6">
        <v>7</v>
      </c>
      <c r="AZ42" s="7">
        <v>1</v>
      </c>
      <c r="BA42" s="7">
        <v>1</v>
      </c>
      <c r="BB42" s="7">
        <v>1</v>
      </c>
      <c r="BC42" s="7">
        <v>1</v>
      </c>
      <c r="BD42" s="7">
        <v>1</v>
      </c>
      <c r="BE42" s="3">
        <v>0</v>
      </c>
      <c r="BF42" s="3">
        <v>0</v>
      </c>
      <c r="BG42" s="3">
        <v>0</v>
      </c>
      <c r="BH42" s="3">
        <v>0</v>
      </c>
      <c r="BI42" s="3">
        <v>0</v>
      </c>
      <c r="BJ42" s="3">
        <v>0</v>
      </c>
    </row>
    <row r="43" spans="1:62" ht="20.100000000000001" customHeight="1" x14ac:dyDescent="0.3">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329</v>
      </c>
      <c r="AA43" s="10" t="s">
        <v>328</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c r="BJ43" s="3">
        <v>0</v>
      </c>
    </row>
    <row r="44" spans="1:62" ht="20.100000000000001" customHeight="1" x14ac:dyDescent="0.3">
      <c r="A44" s="3" t="s">
        <v>137</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331</v>
      </c>
      <c r="AA44" s="10" t="s">
        <v>330</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c r="BJ44" s="3">
        <v>0</v>
      </c>
    </row>
    <row r="45" spans="1:62" ht="20.100000000000001" customHeight="1" x14ac:dyDescent="0.3">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333</v>
      </c>
      <c r="AA45" s="10" t="s">
        <v>334</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c r="BJ45" s="3">
        <v>0</v>
      </c>
    </row>
    <row r="46" spans="1:62" ht="20.100000000000001" customHeight="1" x14ac:dyDescent="0.3">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341</v>
      </c>
      <c r="AA46" s="10" t="s">
        <v>340</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c r="BJ46" s="3">
        <v>0</v>
      </c>
    </row>
    <row r="47" spans="1:62" ht="20.100000000000001" customHeight="1" x14ac:dyDescent="0.3">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344</v>
      </c>
      <c r="AA47" s="10" t="s">
        <v>343</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c r="BJ47" s="3">
        <v>0</v>
      </c>
    </row>
    <row r="48" spans="1:62" ht="20.100000000000001" customHeight="1" x14ac:dyDescent="0.3">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351</v>
      </c>
      <c r="AA48" s="10" t="s">
        <v>345</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c r="BJ48" s="3">
        <v>0</v>
      </c>
    </row>
    <row r="49" spans="1:62" ht="20.100000000000001" customHeight="1" x14ac:dyDescent="0.3">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354</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c r="BJ49" s="3">
        <v>0</v>
      </c>
    </row>
    <row r="50" spans="1:62" ht="20.100000000000001" customHeight="1" x14ac:dyDescent="0.3">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358</v>
      </c>
      <c r="AA50" s="10" t="s">
        <v>357</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356</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c r="BJ50" s="3">
        <v>0</v>
      </c>
    </row>
    <row r="51" spans="1:62" ht="20.100000000000001" customHeight="1" x14ac:dyDescent="0.3">
      <c r="A51" s="3" t="s">
        <v>137</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363</v>
      </c>
      <c r="AA51" s="10" t="s">
        <v>362</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c r="BJ51" s="3">
        <v>1</v>
      </c>
    </row>
    <row r="52" spans="1:62" ht="20.100000000000001" customHeight="1" x14ac:dyDescent="0.3">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366</v>
      </c>
      <c r="AA52" s="10" t="s">
        <v>365</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c r="BJ52" s="3">
        <v>0</v>
      </c>
    </row>
    <row r="53" spans="1:62" ht="20.100000000000001" customHeight="1" x14ac:dyDescent="0.3">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368</v>
      </c>
      <c r="AA53" s="10" t="s">
        <v>369</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c r="BJ53" s="3">
        <v>0</v>
      </c>
    </row>
    <row r="54" spans="1:62" ht="20.100000000000001" customHeight="1" x14ac:dyDescent="0.3">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391</v>
      </c>
      <c r="AA54" s="10" t="s">
        <v>378</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380</v>
      </c>
      <c r="AS54" s="7">
        <v>0</v>
      </c>
      <c r="AT54" s="7" t="s">
        <v>379</v>
      </c>
      <c r="AU54" s="7">
        <v>0</v>
      </c>
      <c r="AV54" s="7">
        <v>10</v>
      </c>
      <c r="AW54" s="7">
        <v>30</v>
      </c>
      <c r="AX54" s="7">
        <v>1</v>
      </c>
      <c r="AY54" s="5">
        <v>8.5</v>
      </c>
      <c r="AZ54" s="7">
        <v>1</v>
      </c>
      <c r="BA54" s="7">
        <v>1</v>
      </c>
      <c r="BB54" s="7">
        <v>1</v>
      </c>
      <c r="BC54" s="7">
        <v>1</v>
      </c>
      <c r="BD54" s="7">
        <v>1</v>
      </c>
      <c r="BE54" s="7">
        <v>1</v>
      </c>
      <c r="BF54" s="3">
        <v>2</v>
      </c>
      <c r="BG54" s="3">
        <f>25+20</f>
        <v>45</v>
      </c>
      <c r="BH54" s="3">
        <v>2</v>
      </c>
      <c r="BI54" s="3">
        <v>1</v>
      </c>
      <c r="BJ54" s="3">
        <v>0</v>
      </c>
    </row>
    <row r="55" spans="1:62" ht="20.100000000000001" customHeight="1" x14ac:dyDescent="0.3">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394</v>
      </c>
      <c r="AA55" s="10" t="s">
        <v>393</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c r="BJ55" s="3">
        <v>0</v>
      </c>
    </row>
    <row r="56" spans="1:62" ht="20.100000000000001" customHeight="1" x14ac:dyDescent="0.3">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395</v>
      </c>
      <c r="AA56" s="10" t="s">
        <v>396</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c r="BJ56" s="3">
        <v>0</v>
      </c>
    </row>
    <row r="57" spans="1:62" ht="20.100000000000001" customHeight="1" x14ac:dyDescent="0.3">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405</v>
      </c>
      <c r="AA57" s="10" t="s">
        <v>404</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c r="BJ57" s="3">
        <v>0</v>
      </c>
    </row>
    <row r="58" spans="1:62" ht="20.100000000000001" customHeight="1" x14ac:dyDescent="0.3">
      <c r="A58" s="3" t="s">
        <v>137</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406</v>
      </c>
      <c r="AA58" s="10" t="s">
        <v>407</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c r="BJ58" s="3">
        <v>0</v>
      </c>
    </row>
    <row r="59" spans="1:62" ht="20.100000000000001" customHeight="1" x14ac:dyDescent="0.3">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409</v>
      </c>
      <c r="AA59" s="10" t="s">
        <v>408</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c r="BJ59" s="3">
        <v>0</v>
      </c>
    </row>
    <row r="60" spans="1:62" ht="20.100000000000001" customHeight="1" x14ac:dyDescent="0.3">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415</v>
      </c>
      <c r="AA60" s="10" t="s">
        <v>414</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c r="BJ60" s="3">
        <v>0</v>
      </c>
    </row>
    <row r="61" spans="1:62" ht="20.100000000000001" customHeight="1" x14ac:dyDescent="0.3">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417</v>
      </c>
      <c r="AA61" s="10" t="s">
        <v>416</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c r="BJ61" s="3">
        <v>1</v>
      </c>
    </row>
    <row r="62" spans="1:62" ht="20.100000000000001" customHeight="1" x14ac:dyDescent="0.3">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420</v>
      </c>
      <c r="AA62" s="10" t="s">
        <v>419</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c r="BJ62" s="3">
        <v>1</v>
      </c>
    </row>
    <row r="63" spans="1:62" ht="20.100000000000001" customHeight="1" x14ac:dyDescent="0.3">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423</v>
      </c>
      <c r="AA63" s="10" t="s">
        <v>422</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c r="BJ63" s="3">
        <v>1</v>
      </c>
    </row>
    <row r="64" spans="1:62" ht="20.100000000000001" customHeight="1" x14ac:dyDescent="0.3">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424</v>
      </c>
      <c r="AA64" s="10" t="s">
        <v>427</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c r="BJ64" s="3">
        <v>1</v>
      </c>
    </row>
    <row r="65" spans="1:62" ht="20.100000000000001" customHeight="1" x14ac:dyDescent="0.3">
      <c r="A65" s="3" t="s">
        <v>137</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430</v>
      </c>
      <c r="AA65" s="10" t="s">
        <v>429</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c r="BJ65" s="3">
        <v>1</v>
      </c>
    </row>
    <row r="66" spans="1:62" ht="20.100000000000001" customHeight="1" x14ac:dyDescent="0.3">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445</v>
      </c>
      <c r="AA66" s="10" t="s">
        <v>444</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c r="BJ66" s="3">
        <v>1</v>
      </c>
    </row>
    <row r="67" spans="1:62" ht="20.100000000000001" customHeight="1" x14ac:dyDescent="0.3">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450</v>
      </c>
      <c r="AA67" s="10" t="s">
        <v>449</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c r="BJ67" s="3">
        <v>0</v>
      </c>
    </row>
    <row r="68" spans="1:62" ht="20.100000000000001" customHeight="1" x14ac:dyDescent="0.3">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454</v>
      </c>
      <c r="AA68" s="10" t="s">
        <v>453</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c r="BJ68" s="3">
        <v>0</v>
      </c>
    </row>
    <row r="69" spans="1:62" ht="20.100000000000001" customHeight="1" x14ac:dyDescent="0.3">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457</v>
      </c>
      <c r="AA69" s="10" t="s">
        <v>456</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c r="BJ69" s="3">
        <v>0</v>
      </c>
    </row>
    <row r="70" spans="1:62" ht="20.100000000000001" customHeight="1" x14ac:dyDescent="0.3">
      <c r="A70" s="3" t="s">
        <v>17</v>
      </c>
      <c r="B70" s="3">
        <v>6</v>
      </c>
      <c r="C70" s="8">
        <v>44279</v>
      </c>
      <c r="D70" s="9">
        <v>0.29652777777777778</v>
      </c>
      <c r="E70" s="4">
        <v>56</v>
      </c>
      <c r="F70" s="3">
        <v>0</v>
      </c>
      <c r="G70" s="3">
        <v>0</v>
      </c>
      <c r="H70" s="3">
        <v>0</v>
      </c>
      <c r="I70" s="3">
        <v>0</v>
      </c>
      <c r="J70" s="9">
        <v>0.29722222222222222</v>
      </c>
      <c r="K70" s="3">
        <v>139.4</v>
      </c>
      <c r="L70" s="11">
        <f t="shared" ref="L70" si="98">K70-K69</f>
        <v>0</v>
      </c>
      <c r="M70" s="5">
        <f t="shared" ref="M70" si="99">AB69</f>
        <v>2902.6</v>
      </c>
      <c r="N70" s="11">
        <v>30.75</v>
      </c>
      <c r="O70" s="11">
        <v>31.75</v>
      </c>
      <c r="P70" s="11">
        <v>10.625</v>
      </c>
      <c r="Q70" s="11">
        <v>10.5</v>
      </c>
      <c r="R70" s="11">
        <v>19</v>
      </c>
      <c r="S70" s="11">
        <v>19.25</v>
      </c>
      <c r="T70" s="11">
        <v>13</v>
      </c>
      <c r="U70" s="11">
        <v>11</v>
      </c>
      <c r="V70" s="11">
        <v>17</v>
      </c>
      <c r="W70" s="11">
        <v>15</v>
      </c>
      <c r="X70" s="11">
        <v>7</v>
      </c>
      <c r="Y70" s="11">
        <v>7</v>
      </c>
      <c r="Z70" s="3" t="s">
        <v>464</v>
      </c>
      <c r="AA70" s="10" t="s">
        <v>463</v>
      </c>
      <c r="AB70" s="5">
        <f>768+60+160+480+165+740+768+160+60+195.2</f>
        <v>3556.2</v>
      </c>
      <c r="AC70" s="6">
        <f>26.19+5+10+26+7+30+26.2+10+5+0</f>
        <v>145.38999999999999</v>
      </c>
      <c r="AD70" s="6">
        <f>6.7+3.5+7+5+5.5+30+6.7+7+3.5+0</f>
        <v>74.900000000000006</v>
      </c>
      <c r="AE70" s="6">
        <f>48.9+1+12+6+2.5+0+48.9+12+1+0</f>
        <v>132.30000000000001</v>
      </c>
      <c r="AF70" s="6">
        <f>91.6+2+2+59+22+120+91.6+2+2+6.4</f>
        <v>398.6</v>
      </c>
      <c r="AG70" s="6">
        <f>16.9+0+0+0+0+0+16.9+0+0+0</f>
        <v>33.799999999999997</v>
      </c>
      <c r="AH70" s="6">
        <f>951.25+15+38+590+30+50+951.25+38+15+0</f>
        <v>2678.5</v>
      </c>
      <c r="AI70" s="6">
        <f t="shared" si="1"/>
        <v>4.0883527360665875E-2</v>
      </c>
      <c r="AJ70" s="6">
        <f t="shared" si="2"/>
        <v>2.1061807547382041E-2</v>
      </c>
      <c r="AK70" s="6">
        <f t="shared" si="3"/>
        <v>3.7202632022945846E-2</v>
      </c>
      <c r="AL70" s="6">
        <f t="shared" si="4"/>
        <v>0.11208593442438559</v>
      </c>
      <c r="AM70" s="6">
        <f t="shared" si="5"/>
        <v>9.5045273044260716E-3</v>
      </c>
      <c r="AN70" s="6">
        <f t="shared" si="6"/>
        <v>0.75319160902086502</v>
      </c>
      <c r="AO70" s="7">
        <v>3</v>
      </c>
      <c r="AP70" s="7">
        <v>1</v>
      </c>
      <c r="AQ70" s="7">
        <v>1</v>
      </c>
      <c r="AR70" s="10">
        <v>0</v>
      </c>
      <c r="AS70" s="7">
        <v>0</v>
      </c>
      <c r="AT70" s="7">
        <v>0</v>
      </c>
      <c r="AU70" s="7">
        <v>0</v>
      </c>
      <c r="AV70" s="7">
        <v>0</v>
      </c>
      <c r="AW70" s="7">
        <v>31</v>
      </c>
      <c r="AX70" s="7">
        <v>1</v>
      </c>
      <c r="AY70" s="5">
        <v>5.75</v>
      </c>
      <c r="AZ70" s="7">
        <v>0</v>
      </c>
      <c r="BA70" s="7">
        <v>0</v>
      </c>
      <c r="BB70" s="7">
        <v>0</v>
      </c>
      <c r="BC70" s="7">
        <v>1</v>
      </c>
      <c r="BD70" s="7">
        <v>1</v>
      </c>
      <c r="BE70" s="7">
        <v>0</v>
      </c>
      <c r="BF70" s="7">
        <v>0</v>
      </c>
      <c r="BG70" s="7">
        <v>0</v>
      </c>
      <c r="BH70" s="7">
        <v>0</v>
      </c>
      <c r="BI70" s="7">
        <v>0</v>
      </c>
      <c r="BJ70" s="3">
        <v>0</v>
      </c>
    </row>
    <row r="71" spans="1:62" ht="20.100000000000001" customHeight="1" x14ac:dyDescent="0.3">
      <c r="A71" s="3" t="s">
        <v>18</v>
      </c>
      <c r="B71" s="3">
        <v>7</v>
      </c>
      <c r="C71" s="8">
        <v>44280</v>
      </c>
      <c r="D71" s="9">
        <v>0.37152777777777773</v>
      </c>
      <c r="E71" s="4">
        <v>52</v>
      </c>
      <c r="F71" s="3">
        <v>0</v>
      </c>
      <c r="G71" s="3">
        <v>0</v>
      </c>
      <c r="H71" s="3">
        <v>0</v>
      </c>
      <c r="I71" s="3">
        <v>0</v>
      </c>
      <c r="J71" s="9">
        <v>0.54166666666666663</v>
      </c>
      <c r="K71" s="3">
        <v>136.6</v>
      </c>
      <c r="L71" s="11">
        <f t="shared" ref="L71" si="100">K71-K70</f>
        <v>-2.8000000000000114</v>
      </c>
      <c r="M71" s="5">
        <f t="shared" ref="M71" si="101">AB70</f>
        <v>3556.2</v>
      </c>
      <c r="N71" s="11">
        <v>31</v>
      </c>
      <c r="O71" s="11">
        <v>32</v>
      </c>
      <c r="P71" s="11">
        <v>10.625</v>
      </c>
      <c r="Q71" s="11">
        <v>10.5</v>
      </c>
      <c r="R71" s="11">
        <v>19.25</v>
      </c>
      <c r="S71" s="11">
        <v>19.25</v>
      </c>
      <c r="T71" s="11">
        <v>13</v>
      </c>
      <c r="U71" s="11">
        <v>11</v>
      </c>
      <c r="V71" s="11">
        <v>17</v>
      </c>
      <c r="W71" s="11">
        <v>15</v>
      </c>
      <c r="X71" s="11">
        <v>7</v>
      </c>
      <c r="Y71" s="11">
        <v>7</v>
      </c>
      <c r="Z71" s="3" t="s">
        <v>468</v>
      </c>
      <c r="AA71" s="12" t="s">
        <v>469</v>
      </c>
      <c r="AB71" s="12">
        <f>1152+120+200+106.7+330+45+30+639.3+80+20+45+400</f>
        <v>3168</v>
      </c>
      <c r="AC71" s="6">
        <f>39.3+10+2+6.7+14+0+2.5+25.3+5+1.5+0+10</f>
        <v>116.3</v>
      </c>
      <c r="AD71" s="6">
        <f>10+7+0+4.7+11+0+1.8+6.1+3.5+1+0+5</f>
        <v>50.1</v>
      </c>
      <c r="AE71" s="6">
        <f>73.3+2+4+8+5+0+0.5+29+6+2+0+4</f>
        <v>133.80000000000001</v>
      </c>
      <c r="AF71" s="6">
        <f>137.44+4+42+1.3+44+12+1+75.6+1+0+12+74</f>
        <v>404.34000000000003</v>
      </c>
      <c r="AG71" s="6">
        <f>25.3+0+4+0+0+0+0+4.8+0+0+0+1</f>
        <v>35.1</v>
      </c>
      <c r="AH71" s="6">
        <f>1426.9+30+40+253.3+60+0+7.5+394.3+190+100+0+240</f>
        <v>2742</v>
      </c>
      <c r="AI71" s="6">
        <f t="shared" si="1"/>
        <v>3.6710858585858583E-2</v>
      </c>
      <c r="AJ71" s="6">
        <f t="shared" si="2"/>
        <v>1.5814393939393941E-2</v>
      </c>
      <c r="AK71" s="6">
        <f t="shared" si="3"/>
        <v>4.2234848484848486E-2</v>
      </c>
      <c r="AL71" s="6">
        <f t="shared" si="4"/>
        <v>0.12763257575757578</v>
      </c>
      <c r="AM71" s="6">
        <f t="shared" si="5"/>
        <v>1.1079545454545455E-2</v>
      </c>
      <c r="AN71" s="6">
        <f t="shared" si="6"/>
        <v>0.86553030303030298</v>
      </c>
      <c r="AO71" s="7">
        <v>4</v>
      </c>
      <c r="AP71" s="7">
        <v>1</v>
      </c>
      <c r="AQ71" s="7">
        <v>1</v>
      </c>
      <c r="AR71" s="10">
        <v>0</v>
      </c>
      <c r="AS71" s="7">
        <v>0</v>
      </c>
      <c r="AT71" s="7">
        <v>0</v>
      </c>
      <c r="AU71" s="7">
        <v>0</v>
      </c>
      <c r="AV71" s="7">
        <v>0</v>
      </c>
      <c r="AW71" s="7">
        <v>0</v>
      </c>
      <c r="AX71" s="7">
        <v>0</v>
      </c>
      <c r="AY71" s="5">
        <v>5</v>
      </c>
      <c r="AZ71" s="7">
        <v>0</v>
      </c>
      <c r="BA71" s="7">
        <v>1</v>
      </c>
      <c r="BB71" s="7">
        <v>0</v>
      </c>
      <c r="BC71" s="7">
        <v>1</v>
      </c>
      <c r="BD71" s="7">
        <v>1</v>
      </c>
      <c r="BE71" s="7">
        <v>0</v>
      </c>
      <c r="BF71" s="7">
        <v>1</v>
      </c>
      <c r="BG71" s="7">
        <v>15</v>
      </c>
      <c r="BH71" s="7">
        <v>0</v>
      </c>
      <c r="BI71" s="7">
        <v>0</v>
      </c>
      <c r="BJ71" s="3">
        <v>0</v>
      </c>
    </row>
    <row r="72" spans="1:62" ht="20.100000000000001" customHeight="1" x14ac:dyDescent="0.3">
      <c r="A72" s="3" t="s">
        <v>137</v>
      </c>
      <c r="B72" s="3">
        <v>8</v>
      </c>
      <c r="C72" s="8">
        <v>44281</v>
      </c>
      <c r="D72" s="9">
        <v>0.2951388888888889</v>
      </c>
      <c r="E72" s="4">
        <v>46</v>
      </c>
      <c r="F72" s="3">
        <v>0</v>
      </c>
      <c r="G72" s="3">
        <v>0</v>
      </c>
      <c r="H72" s="3">
        <v>0</v>
      </c>
      <c r="I72" s="3">
        <v>0</v>
      </c>
      <c r="J72" s="9">
        <v>0.2951388888888889</v>
      </c>
      <c r="K72" s="3">
        <v>137.19999999999999</v>
      </c>
      <c r="L72" s="11">
        <f t="shared" ref="L72" si="102">K72-K71</f>
        <v>0.59999999999999432</v>
      </c>
      <c r="M72" s="5">
        <f t="shared" ref="M72" si="103">AB71</f>
        <v>3168</v>
      </c>
      <c r="N72" s="11">
        <v>30.75</v>
      </c>
      <c r="O72" s="11">
        <v>32</v>
      </c>
      <c r="P72" s="11">
        <v>10.5</v>
      </c>
      <c r="Q72" s="11">
        <v>10.5</v>
      </c>
      <c r="R72" s="11">
        <v>19</v>
      </c>
      <c r="S72" s="11">
        <v>19.25</v>
      </c>
      <c r="T72" s="11">
        <v>12</v>
      </c>
      <c r="U72" s="11">
        <v>10</v>
      </c>
      <c r="V72" s="11">
        <v>17</v>
      </c>
      <c r="W72" s="11">
        <v>15</v>
      </c>
      <c r="X72" s="11">
        <v>7</v>
      </c>
      <c r="Y72" s="11">
        <v>7</v>
      </c>
      <c r="Z72" s="3" t="s">
        <v>474</v>
      </c>
      <c r="AA72" s="10" t="s">
        <v>473</v>
      </c>
      <c r="AB72" s="5">
        <f>639.3+80+220+350+230+225+160+639.3</f>
        <v>2543.6</v>
      </c>
      <c r="AC72" s="6">
        <f>25.3+5+14+20.5+18+2.25+10+25.3</f>
        <v>120.35</v>
      </c>
      <c r="AD72" s="6">
        <f>6.13+3.5+9+4+10+0+7+6.13</f>
        <v>45.76</v>
      </c>
      <c r="AE72" s="6">
        <f>29+6+1+4+5+4.5+12+29</f>
        <v>90.5</v>
      </c>
      <c r="AF72" s="6">
        <f>75.6+1+22+39+20+47.3+2+75.6</f>
        <v>282.5</v>
      </c>
      <c r="AG72" s="6">
        <f>4.75+0+0+0+0+4.5+0+4.75</f>
        <v>14</v>
      </c>
      <c r="AH72" s="6">
        <f>394.3+190+200+315+140+45+380+394.3</f>
        <v>2058.6</v>
      </c>
      <c r="AI72" s="6">
        <f t="shared" si="1"/>
        <v>4.7314829375687997E-2</v>
      </c>
      <c r="AJ72" s="6">
        <f t="shared" si="2"/>
        <v>1.7990250039314357E-2</v>
      </c>
      <c r="AK72" s="6">
        <f t="shared" si="3"/>
        <v>3.5579493631074072E-2</v>
      </c>
      <c r="AL72" s="6">
        <f t="shared" si="4"/>
        <v>0.11106306022959585</v>
      </c>
      <c r="AM72" s="6">
        <f t="shared" si="5"/>
        <v>5.5040100644755466E-3</v>
      </c>
      <c r="AN72" s="6">
        <f t="shared" si="6"/>
        <v>0.80932536562352575</v>
      </c>
      <c r="AO72" s="7">
        <v>5</v>
      </c>
      <c r="AP72" s="7">
        <v>1</v>
      </c>
      <c r="AQ72" s="7">
        <v>1</v>
      </c>
      <c r="AR72" s="10">
        <v>0</v>
      </c>
      <c r="AS72" s="7">
        <v>0</v>
      </c>
      <c r="AT72" s="7">
        <v>0</v>
      </c>
      <c r="AU72" s="7">
        <v>0</v>
      </c>
      <c r="AV72" s="7">
        <v>0</v>
      </c>
      <c r="AW72" s="7">
        <v>31</v>
      </c>
      <c r="AX72" s="7">
        <v>1</v>
      </c>
      <c r="AY72" s="5">
        <v>7</v>
      </c>
      <c r="AZ72" s="7">
        <v>0</v>
      </c>
      <c r="BA72" s="7">
        <v>1</v>
      </c>
      <c r="BB72" s="7">
        <v>0</v>
      </c>
      <c r="BC72" s="7">
        <v>1</v>
      </c>
      <c r="BD72" s="7">
        <v>1</v>
      </c>
      <c r="BE72" s="7">
        <v>0</v>
      </c>
      <c r="BF72" s="7">
        <v>0</v>
      </c>
      <c r="BG72" s="7">
        <v>0</v>
      </c>
      <c r="BH72" s="7">
        <v>0</v>
      </c>
      <c r="BI72" s="7">
        <v>0</v>
      </c>
      <c r="BJ72" s="3">
        <v>0</v>
      </c>
    </row>
    <row r="73" spans="1:62" ht="20.100000000000001" customHeight="1" x14ac:dyDescent="0.3">
      <c r="A73" s="3" t="s">
        <v>19</v>
      </c>
      <c r="B73" s="3">
        <v>9</v>
      </c>
      <c r="C73" s="8">
        <v>44282</v>
      </c>
      <c r="D73" s="9">
        <v>0.5</v>
      </c>
      <c r="E73" s="4">
        <v>76</v>
      </c>
      <c r="F73" s="3">
        <v>0</v>
      </c>
      <c r="G73" s="3">
        <v>0</v>
      </c>
      <c r="H73" s="3">
        <v>0</v>
      </c>
      <c r="I73" s="3">
        <v>0</v>
      </c>
      <c r="J73" s="9">
        <v>0.28541666666666665</v>
      </c>
      <c r="K73" s="3">
        <v>137.19999999999999</v>
      </c>
      <c r="L73" s="11">
        <f t="shared" ref="L73" si="104">K73-K72</f>
        <v>0</v>
      </c>
      <c r="M73" s="5">
        <f t="shared" ref="M73" si="105">AB72</f>
        <v>2543.6</v>
      </c>
      <c r="N73" s="11">
        <v>30.5</v>
      </c>
      <c r="O73" s="11">
        <v>31.625</v>
      </c>
      <c r="P73" s="11">
        <v>10.5</v>
      </c>
      <c r="Q73" s="11">
        <v>10.375</v>
      </c>
      <c r="R73" s="11">
        <v>19.25</v>
      </c>
      <c r="S73" s="11">
        <v>19.375</v>
      </c>
      <c r="T73" s="11">
        <v>12</v>
      </c>
      <c r="U73" s="11">
        <v>14</v>
      </c>
      <c r="V73" s="11">
        <v>14</v>
      </c>
      <c r="W73" s="11">
        <v>14</v>
      </c>
      <c r="X73" s="11">
        <v>7</v>
      </c>
      <c r="Y73" s="11">
        <v>7</v>
      </c>
      <c r="Z73" s="3" t="s">
        <v>478</v>
      </c>
      <c r="AA73" s="10" t="s">
        <v>477</v>
      </c>
      <c r="AB73" s="5">
        <f>811.25+811.25+811.25+240+160+80+400</f>
        <v>3313.75</v>
      </c>
      <c r="AC73" s="6">
        <f>31.9+31.9+31.9+20+10+6+10</f>
        <v>141.69999999999999</v>
      </c>
      <c r="AD73" s="6">
        <f>7.8+7.8+7.8+14+7+3+5</f>
        <v>52.4</v>
      </c>
      <c r="AE73" s="6">
        <f>50.9+50.9+50.9+4+12+6+4</f>
        <v>178.7</v>
      </c>
      <c r="AF73" s="6">
        <f>88+88+88+8+2+2+74</f>
        <v>350</v>
      </c>
      <c r="AG73" s="6">
        <f>15.9+15.9+15.9+0+0+0+1</f>
        <v>48.7</v>
      </c>
      <c r="AH73" s="6">
        <f>993.8+993.8+993.8+60+380+180+240</f>
        <v>3841.3999999999996</v>
      </c>
      <c r="AI73" s="6">
        <f t="shared" si="1"/>
        <v>4.2761222180309311E-2</v>
      </c>
      <c r="AJ73" s="6">
        <f t="shared" si="2"/>
        <v>1.5812900792153903E-2</v>
      </c>
      <c r="AK73" s="6">
        <f t="shared" si="3"/>
        <v>5.3926820067898902E-2</v>
      </c>
      <c r="AL73" s="6">
        <f t="shared" si="4"/>
        <v>0.10562052055827989</v>
      </c>
      <c r="AM73" s="6">
        <f t="shared" si="5"/>
        <v>1.4696341003394946E-2</v>
      </c>
      <c r="AN73" s="6">
        <f t="shared" si="6"/>
        <v>1.1592304790645038</v>
      </c>
      <c r="AO73" s="7">
        <v>4</v>
      </c>
      <c r="AP73" s="7">
        <v>1</v>
      </c>
      <c r="AQ73" s="7">
        <v>1</v>
      </c>
      <c r="AR73" s="10">
        <v>0</v>
      </c>
      <c r="AS73" s="7">
        <v>0</v>
      </c>
      <c r="AT73" s="7">
        <v>0</v>
      </c>
      <c r="AU73" s="7">
        <v>0</v>
      </c>
      <c r="AV73" s="7">
        <v>0</v>
      </c>
      <c r="AW73" s="7">
        <v>31</v>
      </c>
      <c r="AX73" s="7">
        <v>1</v>
      </c>
      <c r="AY73" s="5">
        <v>8</v>
      </c>
      <c r="AZ73" s="7">
        <v>1</v>
      </c>
      <c r="BA73" s="7">
        <v>1</v>
      </c>
      <c r="BB73" s="7">
        <v>1</v>
      </c>
      <c r="BC73" s="7">
        <v>1</v>
      </c>
      <c r="BD73" s="7">
        <v>1</v>
      </c>
      <c r="BE73" s="7">
        <v>0</v>
      </c>
      <c r="BF73" s="7">
        <v>0</v>
      </c>
      <c r="BG73" s="7">
        <v>0</v>
      </c>
      <c r="BH73" s="7">
        <v>0</v>
      </c>
      <c r="BI73" s="7">
        <v>0</v>
      </c>
      <c r="BJ73" s="3">
        <v>0</v>
      </c>
    </row>
    <row r="74" spans="1:62" ht="20.100000000000001" customHeight="1" x14ac:dyDescent="0.3">
      <c r="A74" s="3" t="s">
        <v>23</v>
      </c>
      <c r="B74" s="3">
        <v>10</v>
      </c>
      <c r="C74" s="8">
        <v>44283</v>
      </c>
      <c r="D74" s="9">
        <v>0.27083333333333331</v>
      </c>
      <c r="E74" s="4">
        <v>45</v>
      </c>
      <c r="F74" s="3">
        <v>0</v>
      </c>
      <c r="G74" s="3">
        <v>0</v>
      </c>
      <c r="H74" s="3">
        <v>0</v>
      </c>
      <c r="I74" s="3">
        <v>0</v>
      </c>
      <c r="J74" s="9">
        <v>0.32083333333333336</v>
      </c>
      <c r="K74" s="3">
        <v>135.80000000000001</v>
      </c>
      <c r="L74" s="11">
        <f t="shared" ref="L74" si="106">K74-K73</f>
        <v>-1.3999999999999773</v>
      </c>
      <c r="M74" s="5">
        <f t="shared" ref="M74" si="107">AB73</f>
        <v>3313.75</v>
      </c>
      <c r="N74" s="11">
        <v>30</v>
      </c>
      <c r="O74" s="11">
        <v>31.625</v>
      </c>
      <c r="P74" s="11">
        <v>10.5</v>
      </c>
      <c r="Q74" s="11">
        <v>10.5</v>
      </c>
      <c r="R74" s="11">
        <v>19.5</v>
      </c>
      <c r="S74" s="11">
        <v>19.5</v>
      </c>
      <c r="T74" s="11">
        <v>10.5</v>
      </c>
      <c r="U74" s="11">
        <v>9.75</v>
      </c>
      <c r="V74" s="11">
        <v>15</v>
      </c>
      <c r="W74" s="11">
        <v>15</v>
      </c>
      <c r="X74" s="11">
        <v>7</v>
      </c>
      <c r="Y74" s="11">
        <v>7</v>
      </c>
      <c r="Z74" s="3" t="s">
        <v>484</v>
      </c>
      <c r="AA74" s="10" t="s">
        <v>487</v>
      </c>
      <c r="AB74" s="5">
        <f>811.25+50+80+1140.5+615+200+460+200+639.3</f>
        <v>4196.05</v>
      </c>
      <c r="AC74" s="6">
        <f>31.9+5+5+417.2+0+20+33+20+25.3</f>
        <v>557.39999999999986</v>
      </c>
      <c r="AD74" s="6">
        <f>7.8+3.5+3.5+404+0+16+20+16+6.1</f>
        <v>476.90000000000003</v>
      </c>
      <c r="AE74" s="6">
        <f>50.9+1+6+413.8+0+10+6+10+29</f>
        <v>526.70000000000005</v>
      </c>
      <c r="AF74" s="6">
        <f>88+2+1+482.6+20+0+39+0+75.6</f>
        <v>708.2</v>
      </c>
      <c r="AG74" s="6">
        <f>15.9+0+0+394.4+0+0+2+0+4.75</f>
        <v>417.04999999999995</v>
      </c>
      <c r="AH74" s="6">
        <f>993.8+15+190+1707+30+420+210+420+394.3</f>
        <v>4380.1000000000004</v>
      </c>
      <c r="AI74" s="6">
        <f t="shared" si="1"/>
        <v>0.13283921783582175</v>
      </c>
      <c r="AJ74" s="6">
        <f t="shared" si="2"/>
        <v>0.11365450840671584</v>
      </c>
      <c r="AK74" s="6">
        <f t="shared" si="3"/>
        <v>0.12552281312186461</v>
      </c>
      <c r="AL74" s="6">
        <f t="shared" si="4"/>
        <v>0.1687777791017743</v>
      </c>
      <c r="AM74" s="6">
        <f t="shared" si="5"/>
        <v>9.9391094005076189E-2</v>
      </c>
      <c r="AN74" s="6">
        <f t="shared" si="6"/>
        <v>1.0438626803779745</v>
      </c>
      <c r="AO74" s="7">
        <v>3</v>
      </c>
      <c r="AP74" s="7">
        <v>1</v>
      </c>
      <c r="AQ74" s="7">
        <v>1</v>
      </c>
      <c r="AR74" s="10">
        <v>0</v>
      </c>
      <c r="AS74" s="7">
        <v>0</v>
      </c>
      <c r="AT74" s="7">
        <v>0</v>
      </c>
      <c r="AU74" s="7">
        <v>0</v>
      </c>
      <c r="AV74" s="7">
        <v>0</v>
      </c>
      <c r="AW74" s="7">
        <v>31</v>
      </c>
      <c r="AX74" s="7">
        <v>1</v>
      </c>
      <c r="AY74" s="5">
        <v>8.5</v>
      </c>
      <c r="AZ74" s="7">
        <v>0</v>
      </c>
      <c r="BA74" s="7">
        <v>0</v>
      </c>
      <c r="BB74" s="7">
        <v>0</v>
      </c>
      <c r="BC74" s="7">
        <v>1</v>
      </c>
      <c r="BD74" s="7">
        <v>0</v>
      </c>
      <c r="BE74" s="7">
        <v>0</v>
      </c>
      <c r="BF74" s="7">
        <v>0</v>
      </c>
      <c r="BG74" s="7">
        <v>0</v>
      </c>
      <c r="BH74" s="7">
        <v>0</v>
      </c>
      <c r="BI74" s="7">
        <v>0</v>
      </c>
      <c r="BJ74" s="3">
        <v>0</v>
      </c>
    </row>
    <row r="75" spans="1:62" ht="20.100000000000001" customHeight="1" x14ac:dyDescent="0.3">
      <c r="A75" s="3" t="s">
        <v>15</v>
      </c>
      <c r="B75" s="3">
        <v>11</v>
      </c>
      <c r="C75" s="8">
        <v>44284</v>
      </c>
      <c r="D75" s="9">
        <v>0.31736111111111115</v>
      </c>
      <c r="E75" s="4">
        <v>50</v>
      </c>
      <c r="F75" s="3">
        <v>0</v>
      </c>
      <c r="G75" s="3">
        <v>0</v>
      </c>
      <c r="H75" s="3">
        <v>0</v>
      </c>
      <c r="I75" s="3">
        <v>0</v>
      </c>
      <c r="J75" s="9">
        <v>0.31944444444444448</v>
      </c>
      <c r="K75" s="3">
        <v>137.80000000000001</v>
      </c>
      <c r="L75" s="11">
        <f t="shared" ref="L75" si="108">K75-K74</f>
        <v>2</v>
      </c>
      <c r="M75" s="5">
        <f t="shared" ref="M75" si="109">AB74</f>
        <v>4196.05</v>
      </c>
      <c r="N75" s="11">
        <v>30.5</v>
      </c>
      <c r="O75" s="11">
        <v>32</v>
      </c>
      <c r="P75" s="11">
        <v>10.5</v>
      </c>
      <c r="Q75" s="11">
        <v>10.75</v>
      </c>
      <c r="R75" s="11">
        <v>19.25</v>
      </c>
      <c r="S75" s="11">
        <v>19.75</v>
      </c>
      <c r="T75" s="11">
        <v>12.5</v>
      </c>
      <c r="U75" s="11">
        <v>12</v>
      </c>
      <c r="V75" s="11">
        <v>16</v>
      </c>
      <c r="W75" s="11">
        <v>16</v>
      </c>
      <c r="X75" s="11">
        <v>7</v>
      </c>
      <c r="Y75" s="11">
        <v>7</v>
      </c>
      <c r="Z75" s="3" t="s">
        <v>490</v>
      </c>
      <c r="AA75" s="10" t="s">
        <v>489</v>
      </c>
      <c r="AB75" s="5">
        <f>639.25*3+105+230*2</f>
        <v>2482.75</v>
      </c>
      <c r="AC75" s="6">
        <f>25.25*3+4.5+16.5*2</f>
        <v>113.25</v>
      </c>
      <c r="AD75" s="6">
        <f>6.1*3+0+10*2</f>
        <v>38.299999999999997</v>
      </c>
      <c r="AE75" s="6">
        <f>29*3+0+3*2</f>
        <v>93</v>
      </c>
      <c r="AF75" s="6">
        <f>75.6*3+15+19.5*2</f>
        <v>280.79999999999995</v>
      </c>
      <c r="AG75" s="6">
        <f>4.75*3+1*2+0</f>
        <v>16.25</v>
      </c>
      <c r="AH75" s="6">
        <f>394.3*3+45+105*2</f>
        <v>1437.9</v>
      </c>
      <c r="AI75" s="6">
        <f t="shared" si="1"/>
        <v>4.5614741717853187E-2</v>
      </c>
      <c r="AJ75" s="6">
        <f t="shared" si="2"/>
        <v>1.5426442452925182E-2</v>
      </c>
      <c r="AK75" s="6">
        <f t="shared" si="3"/>
        <v>3.7458463397442354E-2</v>
      </c>
      <c r="AL75" s="6">
        <f t="shared" si="4"/>
        <v>0.11310039270969689</v>
      </c>
      <c r="AM75" s="6">
        <f t="shared" si="5"/>
        <v>6.5451616151444968E-3</v>
      </c>
      <c r="AN75" s="6">
        <f t="shared" si="6"/>
        <v>0.57915617762561677</v>
      </c>
      <c r="AO75" s="7">
        <v>5</v>
      </c>
      <c r="AP75" s="7">
        <v>2</v>
      </c>
      <c r="AQ75" s="7">
        <v>1</v>
      </c>
      <c r="AR75" s="10">
        <v>0</v>
      </c>
      <c r="AS75" s="7">
        <v>0</v>
      </c>
      <c r="AT75" s="7">
        <v>0</v>
      </c>
      <c r="AU75" s="7">
        <v>0</v>
      </c>
      <c r="AV75" s="7">
        <v>0</v>
      </c>
      <c r="AW75" s="7">
        <v>0</v>
      </c>
      <c r="AX75" s="7">
        <v>1</v>
      </c>
      <c r="AY75" s="5">
        <v>8</v>
      </c>
      <c r="AZ75" s="7">
        <v>0</v>
      </c>
      <c r="BA75" s="7">
        <v>1</v>
      </c>
      <c r="BB75" s="7">
        <v>0</v>
      </c>
      <c r="BC75" s="7">
        <v>1</v>
      </c>
      <c r="BD75" s="7">
        <v>1</v>
      </c>
      <c r="BE75" s="7">
        <v>0</v>
      </c>
      <c r="BF75" s="7">
        <v>0</v>
      </c>
      <c r="BG75" s="7">
        <v>0</v>
      </c>
      <c r="BH75" s="7">
        <v>0</v>
      </c>
      <c r="BI75" s="7">
        <v>0</v>
      </c>
      <c r="BJ75" s="3">
        <v>0</v>
      </c>
    </row>
    <row r="76" spans="1:62" ht="20.100000000000001" customHeight="1" x14ac:dyDescent="0.3">
      <c r="A76" s="3" t="s">
        <v>16</v>
      </c>
      <c r="B76" s="3">
        <v>12</v>
      </c>
      <c r="C76" s="8">
        <v>44285</v>
      </c>
      <c r="D76" s="9">
        <v>0.30277777777777776</v>
      </c>
      <c r="E76" s="4">
        <v>55</v>
      </c>
      <c r="F76" s="3">
        <v>0</v>
      </c>
      <c r="G76" s="3">
        <v>0</v>
      </c>
      <c r="H76" s="3">
        <v>0</v>
      </c>
      <c r="I76" s="3">
        <v>0</v>
      </c>
      <c r="J76" s="9">
        <v>0.31805555555555554</v>
      </c>
      <c r="K76" s="3">
        <v>136.80000000000001</v>
      </c>
      <c r="L76" s="11">
        <f t="shared" ref="L76" si="110">K76-K75</f>
        <v>-1</v>
      </c>
      <c r="M76" s="5">
        <f t="shared" ref="M76" si="111">AB75</f>
        <v>2482.75</v>
      </c>
      <c r="N76" s="11">
        <v>31</v>
      </c>
      <c r="O76" s="11">
        <v>32</v>
      </c>
      <c r="P76" s="11">
        <v>10.5</v>
      </c>
      <c r="Q76" s="11">
        <v>10.5</v>
      </c>
      <c r="R76" s="11">
        <v>19</v>
      </c>
      <c r="S76" s="11">
        <v>19.25</v>
      </c>
      <c r="T76" s="11">
        <v>11</v>
      </c>
      <c r="U76" s="11">
        <v>11</v>
      </c>
      <c r="V76" s="11">
        <v>15</v>
      </c>
      <c r="W76" s="11">
        <v>13</v>
      </c>
      <c r="X76" s="11">
        <v>7</v>
      </c>
      <c r="Y76" s="11">
        <v>7</v>
      </c>
      <c r="Z76" s="3" t="s">
        <v>499</v>
      </c>
      <c r="AA76" s="10" t="s">
        <v>498</v>
      </c>
      <c r="AB76" s="5">
        <f>190+200+190+661.8+45+8+661.8+200+123</f>
        <v>2279.6</v>
      </c>
      <c r="AC76" s="6">
        <f>7+20+7+22.1+0+0.8+22.13+12+0</f>
        <v>91.03</v>
      </c>
      <c r="AD76" s="6">
        <f>1.5+16+1.5+8.25+0+0+8.25+8+0</f>
        <v>43.5</v>
      </c>
      <c r="AE76" s="6">
        <f>4+10+4+22.75+0+0.25+22.75+16+0</f>
        <v>79.75</v>
      </c>
      <c r="AF76" s="6">
        <f>29+0+29+57.25+12+0.25+57.25+4+4</f>
        <v>192.75</v>
      </c>
      <c r="AG76" s="6">
        <f>2+0+2+7.25+0+0+7.25+0+0</f>
        <v>18.5</v>
      </c>
      <c r="AH76" s="6">
        <f>340+420+340+831.3+0+28.8+831.25+560+6</f>
        <v>3357.35</v>
      </c>
      <c r="AI76" s="6">
        <f t="shared" si="1"/>
        <v>3.9932444288471661E-2</v>
      </c>
      <c r="AJ76" s="6">
        <f t="shared" si="2"/>
        <v>1.9082295139498159E-2</v>
      </c>
      <c r="AK76" s="6">
        <f t="shared" si="3"/>
        <v>3.4984207755746621E-2</v>
      </c>
      <c r="AL76" s="6">
        <f t="shared" si="4"/>
        <v>8.4554307773293563E-2</v>
      </c>
      <c r="AM76" s="6">
        <f t="shared" si="5"/>
        <v>8.1154588524302504E-3</v>
      </c>
      <c r="AN76" s="6">
        <f t="shared" si="6"/>
        <v>1.4727803123354974</v>
      </c>
      <c r="AO76" s="7">
        <v>4</v>
      </c>
      <c r="AP76" s="7">
        <v>1</v>
      </c>
      <c r="AQ76" s="7">
        <v>1</v>
      </c>
      <c r="AR76" s="10">
        <v>0</v>
      </c>
      <c r="AS76" s="7">
        <v>0</v>
      </c>
      <c r="AT76" s="7">
        <v>0</v>
      </c>
      <c r="AU76" s="7">
        <v>0</v>
      </c>
      <c r="AV76" s="7">
        <v>0</v>
      </c>
      <c r="AW76" s="7">
        <v>0</v>
      </c>
      <c r="AX76" s="7">
        <v>1</v>
      </c>
      <c r="AY76" s="5">
        <v>6</v>
      </c>
      <c r="AZ76" s="7">
        <v>0</v>
      </c>
      <c r="BA76" s="7">
        <v>0</v>
      </c>
      <c r="BB76" s="7">
        <v>1</v>
      </c>
      <c r="BC76" s="7">
        <v>1</v>
      </c>
      <c r="BD76" s="7">
        <v>1</v>
      </c>
      <c r="BE76" s="7">
        <v>0</v>
      </c>
      <c r="BF76" s="7">
        <v>1</v>
      </c>
      <c r="BG76" s="7">
        <v>15</v>
      </c>
      <c r="BH76" s="7">
        <v>0</v>
      </c>
      <c r="BI76" s="7">
        <v>0</v>
      </c>
      <c r="BJ76" s="3">
        <v>0</v>
      </c>
    </row>
    <row r="77" spans="1:62" ht="20.100000000000001" customHeight="1" x14ac:dyDescent="0.3">
      <c r="A77" s="3" t="s">
        <v>17</v>
      </c>
      <c r="B77" s="3">
        <v>13</v>
      </c>
      <c r="C77" s="8">
        <v>44286</v>
      </c>
      <c r="D77" s="9">
        <v>0.3125</v>
      </c>
      <c r="E77" s="4">
        <v>64</v>
      </c>
      <c r="F77" s="3">
        <v>0</v>
      </c>
      <c r="G77" s="3">
        <v>0</v>
      </c>
      <c r="H77" s="3">
        <v>0</v>
      </c>
      <c r="I77" s="3">
        <v>0</v>
      </c>
      <c r="J77" s="9">
        <v>0.31597222222222221</v>
      </c>
      <c r="K77" s="3">
        <v>136.80000000000001</v>
      </c>
      <c r="L77" s="11">
        <f t="shared" ref="L77" si="112">K77-K76</f>
        <v>0</v>
      </c>
      <c r="M77" s="5">
        <f t="shared" ref="M77" si="113">AB76</f>
        <v>2279.6</v>
      </c>
      <c r="N77" s="11">
        <v>31</v>
      </c>
      <c r="O77" s="11">
        <v>32</v>
      </c>
      <c r="P77" s="11">
        <v>10.375</v>
      </c>
      <c r="Q77" s="11">
        <v>10.375</v>
      </c>
      <c r="R77" s="11">
        <v>19.25</v>
      </c>
      <c r="S77" s="11">
        <v>19.5</v>
      </c>
      <c r="T77" s="11">
        <v>11</v>
      </c>
      <c r="U77" s="11">
        <v>10</v>
      </c>
      <c r="V77" s="11">
        <v>16</v>
      </c>
      <c r="W77" s="11">
        <v>15</v>
      </c>
      <c r="X77" s="11">
        <v>7</v>
      </c>
      <c r="Y77" s="11">
        <v>7</v>
      </c>
      <c r="Z77" s="3" t="s">
        <v>501</v>
      </c>
      <c r="AA77" s="10" t="s">
        <v>500</v>
      </c>
      <c r="AB77" s="5">
        <f>1323.5+130+210+67.5+45+35+300+200</f>
        <v>2311</v>
      </c>
      <c r="AC77" s="6">
        <f>44.25+2+0+5.6+0+1.5+3+12</f>
        <v>68.349999999999994</v>
      </c>
      <c r="AD77" s="6">
        <f>16.5+0+0+0+0+0+0+8</f>
        <v>24.5</v>
      </c>
      <c r="AE77" s="6">
        <f>45.5+18+2+2.25+0+0+3+16</f>
        <v>86.75</v>
      </c>
      <c r="AF77" s="6">
        <f>114.5+9+54+2.25+12+5+63+4</f>
        <v>263.75</v>
      </c>
      <c r="AG77" s="6">
        <f>14.5+2+6+0+0+0+6+0</f>
        <v>28.5</v>
      </c>
      <c r="AH77" s="6">
        <f>1662.5+320+2+258.8+0+15+60+560</f>
        <v>2878.3</v>
      </c>
      <c r="AI77" s="6">
        <f t="shared" si="1"/>
        <v>2.9575941151016874E-2</v>
      </c>
      <c r="AJ77" s="6">
        <f t="shared" si="2"/>
        <v>1.0601471224578106E-2</v>
      </c>
      <c r="AK77" s="6">
        <f t="shared" si="3"/>
        <v>3.7537862397230636E-2</v>
      </c>
      <c r="AL77" s="6">
        <f t="shared" si="4"/>
        <v>0.11412808308091735</v>
      </c>
      <c r="AM77" s="6">
        <f t="shared" si="5"/>
        <v>1.2332323669407183E-2</v>
      </c>
      <c r="AN77" s="6">
        <f t="shared" si="6"/>
        <v>1.245478147987884</v>
      </c>
      <c r="AO77" s="7">
        <v>4</v>
      </c>
      <c r="AP77" s="7">
        <v>1</v>
      </c>
      <c r="AQ77" s="7">
        <v>1</v>
      </c>
      <c r="AR77" s="10">
        <v>0</v>
      </c>
      <c r="AS77" s="7">
        <v>0</v>
      </c>
      <c r="AT77" s="7">
        <v>0</v>
      </c>
      <c r="AU77" s="7">
        <v>0</v>
      </c>
      <c r="AV77" s="7">
        <v>0</v>
      </c>
      <c r="AW77" s="7">
        <v>31</v>
      </c>
      <c r="AX77" s="7">
        <v>1</v>
      </c>
      <c r="AY77" s="5">
        <v>7</v>
      </c>
      <c r="AZ77" s="7">
        <v>1</v>
      </c>
      <c r="BA77" s="7">
        <v>1</v>
      </c>
      <c r="BB77" s="7">
        <v>1</v>
      </c>
      <c r="BC77" s="7">
        <v>1</v>
      </c>
      <c r="BD77" s="7">
        <v>1</v>
      </c>
      <c r="BE77" s="7">
        <v>1</v>
      </c>
      <c r="BF77" s="7">
        <v>0</v>
      </c>
      <c r="BG77" s="7">
        <v>0</v>
      </c>
      <c r="BH77" s="7">
        <v>0</v>
      </c>
      <c r="BI77" s="7">
        <v>0</v>
      </c>
      <c r="BJ77" s="3">
        <v>0</v>
      </c>
    </row>
    <row r="78" spans="1:62" ht="20.100000000000001" customHeight="1" x14ac:dyDescent="0.3">
      <c r="A78" s="3" t="s">
        <v>18</v>
      </c>
      <c r="B78" s="3">
        <v>14</v>
      </c>
      <c r="C78" s="8">
        <v>44287</v>
      </c>
      <c r="D78" s="9">
        <v>0.35416666666666669</v>
      </c>
      <c r="E78" s="4">
        <v>72</v>
      </c>
      <c r="F78" s="3">
        <v>0</v>
      </c>
      <c r="G78" s="3">
        <v>0</v>
      </c>
      <c r="H78" s="3">
        <v>0</v>
      </c>
      <c r="I78" s="3">
        <v>0</v>
      </c>
      <c r="J78" s="9">
        <v>0.35416666666666669</v>
      </c>
      <c r="K78" s="3">
        <v>138.80000000000001</v>
      </c>
      <c r="L78" s="11">
        <f t="shared" ref="L78" si="114">K78-K77</f>
        <v>2</v>
      </c>
      <c r="M78" s="5">
        <f t="shared" ref="M78" si="115">AB77</f>
        <v>2311</v>
      </c>
      <c r="N78" s="11">
        <v>31.5</v>
      </c>
      <c r="O78" s="11">
        <v>32.75</v>
      </c>
      <c r="P78" s="11">
        <v>10.5</v>
      </c>
      <c r="Q78" s="11">
        <v>10.375</v>
      </c>
      <c r="R78" s="11">
        <v>19.75</v>
      </c>
      <c r="S78" s="11">
        <v>19.75</v>
      </c>
      <c r="T78" s="11">
        <v>13</v>
      </c>
      <c r="U78" s="11">
        <v>13</v>
      </c>
      <c r="V78" s="11">
        <v>17</v>
      </c>
      <c r="W78" s="11">
        <v>15</v>
      </c>
      <c r="X78" s="11">
        <v>7</v>
      </c>
      <c r="Y78" s="11">
        <v>7</v>
      </c>
      <c r="Z78" s="3" t="s">
        <v>507</v>
      </c>
      <c r="AA78" s="10" t="s">
        <v>506</v>
      </c>
      <c r="AB78" s="5">
        <f>1494+80+100+300+200+70</f>
        <v>2244</v>
      </c>
      <c r="AC78" s="6">
        <f>57.6+6+6+3+12+5</f>
        <v>89.6</v>
      </c>
      <c r="AD78" s="6">
        <f>16.4+3+4+0+8+3.5</f>
        <v>34.9</v>
      </c>
      <c r="AE78" s="6">
        <f>90.2+6+8+6+16+1</f>
        <v>127.2</v>
      </c>
      <c r="AF78" s="6">
        <f>162.2+2+2+63+4+4</f>
        <v>237.2</v>
      </c>
      <c r="AG78" s="6">
        <f>34.4+0+0+6+0+0</f>
        <v>40.4</v>
      </c>
      <c r="AH78" s="6">
        <f>1850+180+280+60+560+20</f>
        <v>2950</v>
      </c>
      <c r="AI78" s="6">
        <f t="shared" si="1"/>
        <v>3.992869875222816E-2</v>
      </c>
      <c r="AJ78" s="6">
        <f t="shared" si="2"/>
        <v>1.5552584670231729E-2</v>
      </c>
      <c r="AK78" s="6">
        <f t="shared" si="3"/>
        <v>5.6684491978609627E-2</v>
      </c>
      <c r="AL78" s="6">
        <f t="shared" si="4"/>
        <v>0.10570409982174687</v>
      </c>
      <c r="AM78" s="6">
        <f t="shared" si="5"/>
        <v>1.800356506238859E-2</v>
      </c>
      <c r="AN78" s="6">
        <f t="shared" si="6"/>
        <v>1.3146167557932265</v>
      </c>
      <c r="AO78" s="7">
        <v>4</v>
      </c>
      <c r="AP78" s="7">
        <v>1</v>
      </c>
      <c r="AQ78" s="7">
        <v>1</v>
      </c>
      <c r="AR78" s="10">
        <v>0</v>
      </c>
      <c r="AS78" s="7">
        <v>0</v>
      </c>
      <c r="AT78" s="7">
        <v>0</v>
      </c>
      <c r="AU78" s="7">
        <v>0</v>
      </c>
      <c r="AV78" s="7">
        <v>0</v>
      </c>
      <c r="AW78" s="7">
        <v>0</v>
      </c>
      <c r="AX78" s="7">
        <v>0</v>
      </c>
      <c r="AY78" s="5">
        <v>6.5</v>
      </c>
      <c r="AZ78" s="7">
        <v>1</v>
      </c>
      <c r="BA78" s="7">
        <v>1</v>
      </c>
      <c r="BB78" s="7">
        <v>0</v>
      </c>
      <c r="BC78" s="7">
        <v>1</v>
      </c>
      <c r="BD78" s="7">
        <v>1</v>
      </c>
      <c r="BE78" s="7">
        <v>0</v>
      </c>
      <c r="BF78" s="7">
        <v>0</v>
      </c>
      <c r="BG78" s="7">
        <v>0</v>
      </c>
      <c r="BH78" s="7">
        <v>0</v>
      </c>
      <c r="BI78" s="7">
        <v>0</v>
      </c>
      <c r="BJ78" s="3">
        <v>0</v>
      </c>
    </row>
    <row r="79" spans="1:62" ht="20.100000000000001" customHeight="1" x14ac:dyDescent="0.3">
      <c r="A79" s="3" t="s">
        <v>137</v>
      </c>
      <c r="B79" s="3">
        <v>15</v>
      </c>
      <c r="C79" s="8">
        <v>44288</v>
      </c>
      <c r="D79" s="9">
        <v>0.3125</v>
      </c>
      <c r="E79" s="4">
        <v>54</v>
      </c>
      <c r="F79" s="3">
        <v>0</v>
      </c>
      <c r="G79" s="3">
        <v>0</v>
      </c>
      <c r="H79" s="3">
        <v>0</v>
      </c>
      <c r="I79" s="3">
        <v>0</v>
      </c>
      <c r="J79" s="9">
        <v>0.30763888888888891</v>
      </c>
      <c r="K79" s="3">
        <v>137.19999999999999</v>
      </c>
      <c r="L79" s="11">
        <f t="shared" ref="L79" si="116">K79-K78</f>
        <v>-1.6000000000000227</v>
      </c>
      <c r="M79" s="5">
        <f t="shared" ref="M79" si="117">AB78</f>
        <v>2244</v>
      </c>
      <c r="N79" s="11">
        <v>30.75</v>
      </c>
      <c r="O79" s="11">
        <v>31.75</v>
      </c>
      <c r="P79" s="11">
        <v>10.375</v>
      </c>
      <c r="Q79" s="11">
        <v>10.375</v>
      </c>
      <c r="R79" s="11">
        <v>19</v>
      </c>
      <c r="S79" s="11">
        <v>19</v>
      </c>
      <c r="T79" s="11">
        <v>13</v>
      </c>
      <c r="U79" s="11">
        <v>11</v>
      </c>
      <c r="V79" s="11">
        <v>16</v>
      </c>
      <c r="W79" s="11">
        <v>16</v>
      </c>
      <c r="X79" s="11">
        <v>7</v>
      </c>
      <c r="Y79" s="11">
        <v>7</v>
      </c>
      <c r="Z79" s="3" t="s">
        <v>509</v>
      </c>
      <c r="AA79" s="10" t="s">
        <v>508</v>
      </c>
      <c r="AB79" s="5">
        <f>1494+320+130+45+105+105+246+200+160</f>
        <v>2805</v>
      </c>
      <c r="AC79" s="6">
        <f>57.6+24+2+3.75+0+4.5+0+2+12</f>
        <v>105.85</v>
      </c>
      <c r="AD79" s="6">
        <f>16.4+12+0+0+0+0+0+0+6</f>
        <v>34.4</v>
      </c>
      <c r="AE79" s="6">
        <f>90.2+24+18+1.5+1+0+0+4+12</f>
        <v>150.69999999999999</v>
      </c>
      <c r="AF79" s="6">
        <f>162.2+8+9+1.5+27+15+8+42+4</f>
        <v>276.7</v>
      </c>
      <c r="AG79" s="6">
        <f>34.4+0+2+0+3+0+0+4+0</f>
        <v>43.4</v>
      </c>
      <c r="AH79" s="6">
        <f>1850+720+320+172.5+1+45+12+40+360</f>
        <v>3520.5</v>
      </c>
      <c r="AI79" s="6">
        <f t="shared" si="1"/>
        <v>3.7736185383244206E-2</v>
      </c>
      <c r="AJ79" s="6">
        <f t="shared" si="2"/>
        <v>1.2263814616755792E-2</v>
      </c>
      <c r="AK79" s="6">
        <f t="shared" si="3"/>
        <v>5.3725490196078425E-2</v>
      </c>
      <c r="AL79" s="6">
        <f t="shared" si="4"/>
        <v>9.8645276292335118E-2</v>
      </c>
      <c r="AM79" s="6">
        <f t="shared" si="5"/>
        <v>1.5472370766488414E-2</v>
      </c>
      <c r="AN79" s="6">
        <f t="shared" si="6"/>
        <v>1.2550802139037434</v>
      </c>
      <c r="AO79" s="7">
        <v>3</v>
      </c>
      <c r="AP79" s="7">
        <v>2</v>
      </c>
      <c r="AQ79" s="7">
        <v>1</v>
      </c>
      <c r="AR79" s="10">
        <v>0</v>
      </c>
      <c r="AS79" s="7">
        <v>0</v>
      </c>
      <c r="AT79" s="7">
        <v>0</v>
      </c>
      <c r="AU79" s="7">
        <v>0</v>
      </c>
      <c r="AV79" s="7">
        <v>0</v>
      </c>
      <c r="AW79" s="7">
        <v>31</v>
      </c>
      <c r="AX79" s="7">
        <v>1</v>
      </c>
      <c r="AY79" s="5">
        <v>6.25</v>
      </c>
      <c r="AZ79" s="7">
        <v>1</v>
      </c>
      <c r="BA79" s="7">
        <v>0</v>
      </c>
      <c r="BB79" s="7">
        <v>0</v>
      </c>
      <c r="BC79" s="7">
        <v>1</v>
      </c>
      <c r="BD79" s="7">
        <v>1</v>
      </c>
      <c r="BE79" s="7">
        <v>1</v>
      </c>
      <c r="BF79" s="7">
        <v>0</v>
      </c>
      <c r="BG79" s="7">
        <v>0</v>
      </c>
      <c r="BH79" s="7">
        <v>0</v>
      </c>
      <c r="BI79" s="7">
        <v>0</v>
      </c>
      <c r="BJ79" s="3">
        <v>0</v>
      </c>
    </row>
    <row r="80" spans="1:62" ht="20.100000000000001" customHeight="1" x14ac:dyDescent="0.3">
      <c r="A80" s="3" t="s">
        <v>19</v>
      </c>
      <c r="B80" s="3">
        <v>16</v>
      </c>
      <c r="C80" s="8">
        <v>44289</v>
      </c>
      <c r="D80" s="9">
        <v>0.27777777777777779</v>
      </c>
      <c r="E80" s="4">
        <v>51</v>
      </c>
      <c r="F80" s="3">
        <v>0</v>
      </c>
      <c r="G80" s="3">
        <v>0</v>
      </c>
      <c r="H80" s="3">
        <v>0</v>
      </c>
      <c r="I80" s="3">
        <v>0</v>
      </c>
      <c r="J80" s="9">
        <v>0.27777777777777779</v>
      </c>
      <c r="K80" s="3">
        <v>138</v>
      </c>
      <c r="L80" s="11">
        <f t="shared" ref="L80" si="118">K80-K79</f>
        <v>0.80000000000001137</v>
      </c>
      <c r="M80" s="5">
        <f t="shared" ref="M80" si="119">AB79</f>
        <v>2805</v>
      </c>
      <c r="N80" s="11">
        <v>31</v>
      </c>
      <c r="O80" s="11">
        <v>31.5</v>
      </c>
      <c r="P80" s="11">
        <v>10.5</v>
      </c>
      <c r="Q80" s="11">
        <v>10.5</v>
      </c>
      <c r="R80" s="11">
        <v>19.25</v>
      </c>
      <c r="S80" s="11">
        <v>19.125</v>
      </c>
      <c r="T80" s="11">
        <v>12</v>
      </c>
      <c r="U80" s="11">
        <v>11</v>
      </c>
      <c r="V80" s="11">
        <v>13</v>
      </c>
      <c r="W80" s="11">
        <v>15</v>
      </c>
      <c r="X80" s="11">
        <v>7</v>
      </c>
      <c r="Y80" s="11">
        <v>7</v>
      </c>
      <c r="Z80" t="s">
        <v>512</v>
      </c>
      <c r="AA80" s="10" t="s">
        <v>511</v>
      </c>
      <c r="AB80" s="5">
        <f>373.5+160+105+260+75+200+80</f>
        <v>1253.5</v>
      </c>
      <c r="AC80" s="6">
        <f>14.4+12+4.5+4+7.5+2+6</f>
        <v>50.4</v>
      </c>
      <c r="AD80" s="6">
        <f>4.1+6+0+0+0+0+3</f>
        <v>13.1</v>
      </c>
      <c r="AE80" s="6">
        <f>22.55+12+0+36+2.5+4+6</f>
        <v>83.05</v>
      </c>
      <c r="AF80" s="6">
        <f>40.55+4+15+18+2.5+42+2</f>
        <v>124.05</v>
      </c>
      <c r="AG80" s="6">
        <f>8.6+0+0+4+0+4+0</f>
        <v>16.600000000000001</v>
      </c>
      <c r="AH80" s="6">
        <f>462.5+360+45+640+287.5+40+180</f>
        <v>2015</v>
      </c>
      <c r="AI80" s="6">
        <f t="shared" si="1"/>
        <v>4.0207419226166732E-2</v>
      </c>
      <c r="AJ80" s="6">
        <f t="shared" si="2"/>
        <v>1.0450737933785401E-2</v>
      </c>
      <c r="AK80" s="6">
        <f t="shared" si="3"/>
        <v>6.6254487435181489E-2</v>
      </c>
      <c r="AL80" s="6">
        <f t="shared" si="4"/>
        <v>9.8962903869166327E-2</v>
      </c>
      <c r="AM80" s="6">
        <f t="shared" si="5"/>
        <v>1.3242919824491425E-2</v>
      </c>
      <c r="AN80" s="6">
        <f t="shared" si="6"/>
        <v>1.6074990027921818</v>
      </c>
      <c r="AO80" s="7">
        <v>4</v>
      </c>
      <c r="AP80" s="7">
        <v>1</v>
      </c>
      <c r="AQ80" s="7">
        <v>1</v>
      </c>
      <c r="AR80" s="10">
        <v>0</v>
      </c>
      <c r="AS80" s="7">
        <v>0</v>
      </c>
      <c r="AT80" s="7">
        <v>0</v>
      </c>
      <c r="AU80" s="7">
        <v>0</v>
      </c>
      <c r="AV80" s="7">
        <v>0</v>
      </c>
      <c r="AW80" s="7">
        <v>31</v>
      </c>
      <c r="AX80" s="7">
        <v>1</v>
      </c>
      <c r="AY80" s="5">
        <v>7.5</v>
      </c>
      <c r="AZ80" s="7">
        <v>1</v>
      </c>
      <c r="BA80" s="7">
        <v>1</v>
      </c>
      <c r="BB80" s="7">
        <v>0</v>
      </c>
      <c r="BC80" s="7">
        <v>1</v>
      </c>
      <c r="BD80" s="7">
        <v>1</v>
      </c>
      <c r="BE80" s="7">
        <v>2</v>
      </c>
      <c r="BF80" s="7">
        <v>0</v>
      </c>
      <c r="BG80" s="7">
        <v>0</v>
      </c>
      <c r="BH80" s="7">
        <v>0</v>
      </c>
      <c r="BI80" s="7">
        <v>0</v>
      </c>
      <c r="BJ80" s="3">
        <v>0</v>
      </c>
    </row>
    <row r="81" spans="1:62" ht="20.100000000000001" customHeight="1" x14ac:dyDescent="0.3">
      <c r="A81" s="3" t="s">
        <v>23</v>
      </c>
      <c r="B81" s="3">
        <v>17</v>
      </c>
      <c r="C81" s="8">
        <v>44290</v>
      </c>
      <c r="D81" s="9">
        <v>0.42291666666666666</v>
      </c>
      <c r="E81" s="4">
        <v>66</v>
      </c>
      <c r="F81" s="3">
        <v>0</v>
      </c>
      <c r="G81" s="3">
        <v>0</v>
      </c>
      <c r="H81" s="3">
        <v>0</v>
      </c>
      <c r="I81" s="3">
        <v>0</v>
      </c>
      <c r="J81" s="9">
        <v>0.4236111111111111</v>
      </c>
      <c r="K81" s="3">
        <v>138</v>
      </c>
      <c r="L81" s="11">
        <f t="shared" ref="L81" si="120">K81-K80</f>
        <v>0</v>
      </c>
      <c r="M81" s="5">
        <f t="shared" ref="M81" si="121">AB80</f>
        <v>1253.5</v>
      </c>
      <c r="N81" s="11">
        <v>30.5</v>
      </c>
      <c r="O81" s="11">
        <v>31.375</v>
      </c>
      <c r="P81" s="11">
        <v>10.25</v>
      </c>
      <c r="Q81" s="11">
        <v>10.5</v>
      </c>
      <c r="R81" s="11">
        <v>19.25</v>
      </c>
      <c r="S81" s="11">
        <v>19.25</v>
      </c>
      <c r="T81" s="11">
        <v>11</v>
      </c>
      <c r="U81" s="11">
        <v>11</v>
      </c>
      <c r="V81" s="11">
        <v>16</v>
      </c>
      <c r="W81" s="11">
        <v>14</v>
      </c>
      <c r="X81" s="11">
        <v>7</v>
      </c>
      <c r="Y81" s="11">
        <v>7</v>
      </c>
      <c r="Z81" s="3" t="s">
        <v>518</v>
      </c>
      <c r="AA81" s="10" t="s">
        <v>517</v>
      </c>
      <c r="AB81" s="5">
        <f>400+1173+200+130+133.3+60+1173+200</f>
        <v>3469.3</v>
      </c>
      <c r="AC81" s="6">
        <f>10+57.8+12+2+8+5+57.75+12</f>
        <v>164.55</v>
      </c>
      <c r="AD81" s="6">
        <f>5+29.5+8+0+1.7+0+29.5+8</f>
        <v>81.7</v>
      </c>
      <c r="AE81" s="6">
        <f>4+46.5+16+18+1.7+2+46.5+16</f>
        <v>150.69999999999999</v>
      </c>
      <c r="AF81" s="6">
        <f>74+25.5+4+9+33.3+2+25.5+4</f>
        <v>177.3</v>
      </c>
      <c r="AG81" s="6">
        <f>1+7.3+0+2+15+0+7.25+0</f>
        <v>32.549999999999997</v>
      </c>
      <c r="AH81" s="6">
        <f>240+961.3+560+320+0+230+961.3+560</f>
        <v>3832.6000000000004</v>
      </c>
      <c r="AI81" s="6">
        <f t="shared" si="1"/>
        <v>4.7430317355086044E-2</v>
      </c>
      <c r="AJ81" s="6">
        <f t="shared" si="2"/>
        <v>2.3549419191191308E-2</v>
      </c>
      <c r="AK81" s="6">
        <f t="shared" si="3"/>
        <v>4.3438157553396931E-2</v>
      </c>
      <c r="AL81" s="6">
        <f t="shared" si="4"/>
        <v>5.1105410313319694E-2</v>
      </c>
      <c r="AM81" s="6">
        <f t="shared" si="5"/>
        <v>9.382296140431786E-3</v>
      </c>
      <c r="AN81" s="6">
        <f t="shared" si="6"/>
        <v>1.104718531115787</v>
      </c>
      <c r="AO81" s="7">
        <v>4</v>
      </c>
      <c r="AP81" s="7">
        <v>0</v>
      </c>
      <c r="AQ81" s="7">
        <v>1</v>
      </c>
      <c r="AR81" s="10">
        <v>0</v>
      </c>
      <c r="AS81" s="7">
        <v>0</v>
      </c>
      <c r="AT81" s="7">
        <v>0</v>
      </c>
      <c r="AU81" s="7">
        <v>0</v>
      </c>
      <c r="AV81" s="7">
        <v>0</v>
      </c>
      <c r="AW81" s="7">
        <v>0</v>
      </c>
      <c r="AX81" s="7">
        <v>1</v>
      </c>
      <c r="AY81" s="5">
        <v>6</v>
      </c>
      <c r="AZ81" s="7">
        <v>0</v>
      </c>
      <c r="BA81" s="7">
        <v>1</v>
      </c>
      <c r="BB81" s="7">
        <v>0</v>
      </c>
      <c r="BC81" s="7">
        <v>1</v>
      </c>
      <c r="BD81" s="7">
        <v>1</v>
      </c>
      <c r="BE81" s="7">
        <v>1</v>
      </c>
      <c r="BF81" s="7">
        <v>1</v>
      </c>
      <c r="BG81" s="7">
        <v>15</v>
      </c>
      <c r="BH81" s="7">
        <v>0</v>
      </c>
      <c r="BI81" s="7">
        <v>0</v>
      </c>
      <c r="BJ81" s="3">
        <v>0</v>
      </c>
    </row>
    <row r="82" spans="1:62" ht="20.100000000000001" customHeight="1" x14ac:dyDescent="0.3">
      <c r="A82" s="3" t="s">
        <v>15</v>
      </c>
      <c r="B82" s="3">
        <v>18</v>
      </c>
      <c r="C82" s="8">
        <v>44291</v>
      </c>
      <c r="D82" s="9">
        <v>0.59375</v>
      </c>
      <c r="E82" s="4">
        <v>74</v>
      </c>
      <c r="F82" s="3">
        <v>0</v>
      </c>
      <c r="G82" s="3">
        <v>0</v>
      </c>
      <c r="H82" s="3">
        <v>0</v>
      </c>
      <c r="I82" s="3">
        <v>0</v>
      </c>
      <c r="J82" s="9">
        <v>0.3666666666666667</v>
      </c>
      <c r="K82" s="3">
        <v>136.19999999999999</v>
      </c>
      <c r="L82" s="11">
        <f t="shared" ref="L82" si="122">K82-K81</f>
        <v>-1.8000000000000114</v>
      </c>
      <c r="M82" s="5">
        <f t="shared" ref="M82" si="123">AB81</f>
        <v>3469.3</v>
      </c>
      <c r="N82" s="11">
        <v>30.25</v>
      </c>
      <c r="O82" s="11">
        <v>31.375</v>
      </c>
      <c r="P82" s="11">
        <v>10.5</v>
      </c>
      <c r="Q82" s="11">
        <v>10.5</v>
      </c>
      <c r="R82" s="11">
        <v>19.375</v>
      </c>
      <c r="S82" s="11">
        <v>19.375</v>
      </c>
      <c r="T82" s="11">
        <v>12</v>
      </c>
      <c r="U82" s="11">
        <v>11</v>
      </c>
      <c r="V82" s="11">
        <v>15</v>
      </c>
      <c r="W82" s="11">
        <v>15</v>
      </c>
      <c r="X82" s="11">
        <v>7</v>
      </c>
      <c r="Y82" s="11">
        <v>7</v>
      </c>
      <c r="Z82" s="3" t="s">
        <v>520</v>
      </c>
      <c r="AA82" s="10" t="s">
        <v>521</v>
      </c>
      <c r="AB82" s="5">
        <f>1173+100+40+240+1173+100+40+130+133.3+45+105</f>
        <v>3279.3</v>
      </c>
      <c r="AC82" s="6">
        <f>57.8+6+3+10+58+6+3+2+8.3+1.8+4.5</f>
        <v>160.40000000000003</v>
      </c>
      <c r="AD82" s="6">
        <f>29.5+4+2+6+29.5+4+2+0+1.7+0+0</f>
        <v>78.7</v>
      </c>
      <c r="AE82" s="6">
        <f>46.5+8+4+2+46.5+8+4+18+1.7+0.6+0</f>
        <v>139.29999999999998</v>
      </c>
      <c r="AF82" s="6">
        <f>25.5+2+0+34+25.5+2+0+9+33.3+0.6+7.5</f>
        <v>139.4</v>
      </c>
      <c r="AG82" s="6">
        <f>7.25+0+0+2+7.25+0+0+2+15+0+0</f>
        <v>33.5</v>
      </c>
      <c r="AH82" s="6">
        <f>961.3+280+200+200+961.3+280+200+320+0+70+45</f>
        <v>3517.6</v>
      </c>
      <c r="AI82" s="6">
        <f t="shared" si="1"/>
        <v>4.891287774829995E-2</v>
      </c>
      <c r="AJ82" s="6">
        <f t="shared" si="2"/>
        <v>2.3999024181990059E-2</v>
      </c>
      <c r="AK82" s="6">
        <f t="shared" si="3"/>
        <v>4.2478577745250504E-2</v>
      </c>
      <c r="AL82" s="6">
        <f t="shared" si="4"/>
        <v>4.2509072058061169E-2</v>
      </c>
      <c r="AM82" s="6">
        <f t="shared" si="5"/>
        <v>1.0215594791571371E-2</v>
      </c>
      <c r="AN82" s="6">
        <f t="shared" si="6"/>
        <v>1.0726679474278047</v>
      </c>
      <c r="AO82" s="7">
        <v>4</v>
      </c>
      <c r="AP82" s="7">
        <v>1</v>
      </c>
      <c r="AQ82" s="7">
        <v>1</v>
      </c>
      <c r="AR82" s="10">
        <v>0</v>
      </c>
      <c r="AS82" s="7">
        <v>0</v>
      </c>
      <c r="AT82" s="7">
        <v>0</v>
      </c>
      <c r="AU82" s="7">
        <v>0</v>
      </c>
      <c r="AV82" s="7">
        <v>0</v>
      </c>
      <c r="AW82" s="7">
        <v>31</v>
      </c>
      <c r="AX82" s="7">
        <v>1</v>
      </c>
      <c r="AY82" s="5">
        <v>7.25</v>
      </c>
      <c r="AZ82" s="7">
        <v>0</v>
      </c>
      <c r="BA82" s="7">
        <v>1</v>
      </c>
      <c r="BB82" s="7">
        <v>0</v>
      </c>
      <c r="BC82" s="7">
        <v>1</v>
      </c>
      <c r="BD82" s="7">
        <v>1</v>
      </c>
      <c r="BE82" s="7">
        <v>1</v>
      </c>
      <c r="BF82" s="7">
        <v>0</v>
      </c>
      <c r="BG82" s="7">
        <v>0</v>
      </c>
      <c r="BH82" s="7">
        <v>0</v>
      </c>
      <c r="BI82" s="7">
        <v>0</v>
      </c>
      <c r="BJ82" s="3">
        <v>0</v>
      </c>
    </row>
    <row r="83" spans="1:62" ht="20.100000000000001" customHeight="1" x14ac:dyDescent="0.3">
      <c r="A83" s="3" t="s">
        <v>16</v>
      </c>
      <c r="B83" s="3">
        <v>19</v>
      </c>
      <c r="C83" s="8">
        <v>44292</v>
      </c>
      <c r="D83" s="9">
        <v>0.19791666666666666</v>
      </c>
      <c r="E83" s="4">
        <v>52</v>
      </c>
      <c r="F83" s="3">
        <v>0</v>
      </c>
      <c r="G83" s="3">
        <v>0</v>
      </c>
      <c r="H83" s="3">
        <v>0</v>
      </c>
      <c r="I83" s="3">
        <v>0</v>
      </c>
      <c r="J83" s="9">
        <v>0.50902777777777775</v>
      </c>
      <c r="K83" s="3">
        <v>135</v>
      </c>
      <c r="L83" s="11">
        <f t="shared" ref="L83" si="124">K83-K82</f>
        <v>-1.1999999999999886</v>
      </c>
      <c r="M83" s="5">
        <f t="shared" ref="M83" si="125">AB82</f>
        <v>3279.3</v>
      </c>
      <c r="N83" s="11">
        <v>30.75</v>
      </c>
      <c r="O83" s="11">
        <v>32.25</v>
      </c>
      <c r="P83" s="11">
        <v>10.5</v>
      </c>
      <c r="Q83" s="11">
        <v>10.5</v>
      </c>
      <c r="R83" s="11">
        <v>19.25</v>
      </c>
      <c r="S83" s="11">
        <v>19.25</v>
      </c>
      <c r="T83" s="11">
        <v>12</v>
      </c>
      <c r="U83" s="11">
        <v>11</v>
      </c>
      <c r="V83" s="11">
        <v>16</v>
      </c>
      <c r="W83" s="11">
        <v>15</v>
      </c>
      <c r="X83" s="11">
        <v>7</v>
      </c>
      <c r="Y83" s="11">
        <v>7</v>
      </c>
      <c r="Z83" s="3" t="s">
        <v>526</v>
      </c>
      <c r="AA83" s="10" t="s">
        <v>525</v>
      </c>
      <c r="AB83" s="5">
        <f>448+160+180+140+448+160+180+140+300+160</f>
        <v>2316</v>
      </c>
      <c r="AC83" s="6">
        <f>33.3+10+15+7+33.3+10+15+7+3+10</f>
        <v>143.6</v>
      </c>
      <c r="AD83" s="6">
        <f>8+7+10.5+1+8+7+10.5+1+0+7</f>
        <v>60</v>
      </c>
      <c r="AE83" s="6">
        <f>27.3+12+3+2+27.3+12+3+2+6+12</f>
        <v>106.6</v>
      </c>
      <c r="AF83" s="6">
        <f>11+2+6+18+11+2+6+18+63+2</f>
        <v>139</v>
      </c>
      <c r="AG83" s="6">
        <f>3.7+0+0+2+3.7+0+0+2+6+0</f>
        <v>17.399999999999999</v>
      </c>
      <c r="AH83" s="6">
        <f>469+380+45+90+469+380+45+90+60+380</f>
        <v>2408</v>
      </c>
      <c r="AI83" s="6">
        <f t="shared" si="1"/>
        <v>6.2003454231433504E-2</v>
      </c>
      <c r="AJ83" s="6">
        <f t="shared" si="2"/>
        <v>2.5906735751295335E-2</v>
      </c>
      <c r="AK83" s="6">
        <f t="shared" si="3"/>
        <v>4.6027633851468047E-2</v>
      </c>
      <c r="AL83" s="6">
        <f t="shared" si="4"/>
        <v>6.0017271157167533E-2</v>
      </c>
      <c r="AM83" s="6">
        <f t="shared" si="5"/>
        <v>7.5129533678756468E-3</v>
      </c>
      <c r="AN83" s="6">
        <f t="shared" si="6"/>
        <v>1.0397236614853196</v>
      </c>
      <c r="AO83" s="7">
        <v>4</v>
      </c>
      <c r="AP83" s="7">
        <v>1</v>
      </c>
      <c r="AQ83" s="7">
        <v>1</v>
      </c>
      <c r="AR83" s="10">
        <v>0</v>
      </c>
      <c r="AS83" s="7">
        <v>0</v>
      </c>
      <c r="AT83" s="7">
        <v>0</v>
      </c>
      <c r="AU83" s="7">
        <v>0</v>
      </c>
      <c r="AV83" s="7">
        <v>0</v>
      </c>
      <c r="AW83" s="7">
        <v>31</v>
      </c>
      <c r="AX83" s="7">
        <v>1</v>
      </c>
      <c r="AY83" s="5">
        <v>4.75</v>
      </c>
      <c r="AZ83" s="7">
        <v>1</v>
      </c>
      <c r="BA83" s="7">
        <v>1</v>
      </c>
      <c r="BB83" s="7">
        <v>1</v>
      </c>
      <c r="BC83" s="7">
        <v>1</v>
      </c>
      <c r="BD83" s="7">
        <v>1</v>
      </c>
      <c r="BE83" s="7">
        <v>0</v>
      </c>
      <c r="BF83" s="7">
        <v>1</v>
      </c>
      <c r="BG83" s="7">
        <v>15</v>
      </c>
      <c r="BH83" s="7">
        <v>0</v>
      </c>
      <c r="BI83" s="7">
        <v>0</v>
      </c>
      <c r="BJ83" s="3">
        <v>0</v>
      </c>
    </row>
    <row r="84" spans="1:62" ht="20.100000000000001" customHeight="1" x14ac:dyDescent="0.3">
      <c r="A84" s="3" t="s">
        <v>17</v>
      </c>
      <c r="B84" s="3">
        <v>20</v>
      </c>
      <c r="C84" s="8">
        <v>44293</v>
      </c>
      <c r="D84" s="9">
        <v>0.57847222222222217</v>
      </c>
      <c r="E84" s="4">
        <v>82</v>
      </c>
      <c r="F84" s="3">
        <v>0</v>
      </c>
      <c r="G84" s="3">
        <v>0</v>
      </c>
      <c r="H84" s="3">
        <v>0</v>
      </c>
      <c r="I84" s="3">
        <v>0</v>
      </c>
      <c r="J84" s="9">
        <v>0.33680555555555558</v>
      </c>
      <c r="K84" s="3">
        <v>134</v>
      </c>
      <c r="L84" s="11">
        <f t="shared" ref="L84" si="126">K84-K83</f>
        <v>-1</v>
      </c>
      <c r="M84" s="5">
        <f t="shared" ref="M84" si="127">AB83</f>
        <v>2316</v>
      </c>
      <c r="N84" s="11">
        <v>29.5</v>
      </c>
      <c r="O84" s="11">
        <v>30.25</v>
      </c>
      <c r="P84" s="11">
        <v>10.5</v>
      </c>
      <c r="Q84" s="11">
        <v>10.25</v>
      </c>
      <c r="R84" s="11">
        <v>19.125</v>
      </c>
      <c r="S84" s="11">
        <v>19.25</v>
      </c>
      <c r="T84" s="11">
        <v>12</v>
      </c>
      <c r="U84" s="11">
        <v>8</v>
      </c>
      <c r="V84" s="11">
        <v>16</v>
      </c>
      <c r="W84" s="11">
        <v>16</v>
      </c>
      <c r="X84" s="11">
        <v>7</v>
      </c>
      <c r="Y84" s="11">
        <v>7</v>
      </c>
      <c r="Z84" s="3" t="s">
        <v>532</v>
      </c>
      <c r="AA84" s="10" t="s">
        <v>531</v>
      </c>
      <c r="AB84" s="5">
        <f>448+90+160+60+180+266+179+280+179+35+300+160</f>
        <v>2337</v>
      </c>
      <c r="AC84" s="6">
        <f>33.33+7.5+10+5+0+0.1+14.5+14+14.5+0.75+3+10</f>
        <v>112.68</v>
      </c>
      <c r="AD84" s="6">
        <f>8+5.25+7+0+0+0+10.2+2+10.2+0.25+0+7</f>
        <v>49.900000000000006</v>
      </c>
      <c r="AE84" s="6">
        <f>27.33+1.5+12+2+0+1.7+9.7+4+9.7+1+6+12</f>
        <v>86.93</v>
      </c>
      <c r="AF84" s="6">
        <f>11+3+2+2+48+72+2.8+36+2.8+5.5+63+2</f>
        <v>250.10000000000002</v>
      </c>
      <c r="AG84" s="6">
        <f>3.67+0+0+2+4+6.4+0+4+0+0.5+6+0</f>
        <v>26.57</v>
      </c>
      <c r="AH84" s="6">
        <f>469+22.5+380+340+20+0+759+180+759+240+60+380</f>
        <v>3609.5</v>
      </c>
      <c r="AI84" s="6">
        <f t="shared" si="1"/>
        <v>4.8215661103979464E-2</v>
      </c>
      <c r="AJ84" s="6">
        <f t="shared" si="2"/>
        <v>2.1352160890029954E-2</v>
      </c>
      <c r="AK84" s="6">
        <f t="shared" si="3"/>
        <v>3.7197261446298674E-2</v>
      </c>
      <c r="AL84" s="6">
        <f t="shared" si="4"/>
        <v>0.10701754385964914</v>
      </c>
      <c r="AM84" s="6">
        <f t="shared" si="5"/>
        <v>1.1369276850663244E-2</v>
      </c>
      <c r="AN84" s="6">
        <f t="shared" si="6"/>
        <v>1.5445014976465554</v>
      </c>
      <c r="AO84" s="7">
        <v>4</v>
      </c>
      <c r="AP84" s="7">
        <v>1</v>
      </c>
      <c r="AQ84" s="7">
        <v>1</v>
      </c>
      <c r="AR84" s="10">
        <v>0</v>
      </c>
      <c r="AS84" s="7">
        <v>0</v>
      </c>
      <c r="AT84" s="7">
        <v>0</v>
      </c>
      <c r="AU84" s="7">
        <v>0</v>
      </c>
      <c r="AV84" s="7">
        <v>0</v>
      </c>
      <c r="AW84" s="7">
        <v>31</v>
      </c>
      <c r="AX84" s="7">
        <v>1</v>
      </c>
      <c r="AY84" s="5">
        <v>7</v>
      </c>
      <c r="AZ84" s="7">
        <v>1</v>
      </c>
      <c r="BA84" s="7">
        <v>1</v>
      </c>
      <c r="BB84" s="7">
        <v>0</v>
      </c>
      <c r="BC84" s="7">
        <v>1</v>
      </c>
      <c r="BD84" s="7">
        <v>1</v>
      </c>
      <c r="BE84" s="7">
        <v>0</v>
      </c>
      <c r="BF84" s="7">
        <v>0</v>
      </c>
      <c r="BG84" s="7">
        <v>0</v>
      </c>
      <c r="BH84" s="7">
        <v>0</v>
      </c>
      <c r="BI84" s="7">
        <v>0</v>
      </c>
      <c r="BJ84" s="3">
        <v>0</v>
      </c>
    </row>
    <row r="85" spans="1:62" ht="20.100000000000001" customHeight="1" x14ac:dyDescent="0.3">
      <c r="A85" s="3" t="s">
        <v>18</v>
      </c>
      <c r="B85" s="3">
        <v>21</v>
      </c>
      <c r="C85" s="8">
        <v>44294</v>
      </c>
      <c r="D85" s="9">
        <v>0.22013888888888888</v>
      </c>
      <c r="E85" s="4">
        <v>54</v>
      </c>
      <c r="F85" s="3">
        <v>0</v>
      </c>
      <c r="G85" s="3">
        <v>0</v>
      </c>
      <c r="H85" s="3">
        <v>0</v>
      </c>
      <c r="I85" s="3">
        <v>0</v>
      </c>
      <c r="J85" s="9">
        <v>0.35138888888888892</v>
      </c>
      <c r="K85" s="3">
        <v>135.80000000000001</v>
      </c>
      <c r="L85" s="11">
        <f t="shared" ref="L85" si="128">K85-K84</f>
        <v>1.8000000000000114</v>
      </c>
      <c r="M85" s="5">
        <f t="shared" ref="M85" si="129">AB84</f>
        <v>2337</v>
      </c>
      <c r="N85" s="11">
        <v>30.25</v>
      </c>
      <c r="O85" s="11">
        <v>31.75</v>
      </c>
      <c r="P85" s="11">
        <v>10.375</v>
      </c>
      <c r="Q85" s="11">
        <v>10.375</v>
      </c>
      <c r="R85" s="11">
        <v>19.25</v>
      </c>
      <c r="S85" s="11">
        <v>19.25</v>
      </c>
      <c r="T85" s="11">
        <v>12</v>
      </c>
      <c r="U85" s="11">
        <v>11</v>
      </c>
      <c r="V85" s="11">
        <v>15</v>
      </c>
      <c r="W85" s="11">
        <v>15</v>
      </c>
      <c r="X85" s="11">
        <v>7</v>
      </c>
      <c r="Y85" s="11">
        <v>7</v>
      </c>
      <c r="Z85" s="3" t="s">
        <v>535</v>
      </c>
      <c r="AA85" s="10" t="s">
        <v>536</v>
      </c>
      <c r="AB85" s="5">
        <f>300+160+70+40+400+500+300+140+90+80+448+400+240</f>
        <v>3168</v>
      </c>
      <c r="AC85" s="6">
        <f>3+10+1.5+3+10+24+10+7+7.5+5+33.3+4+15</f>
        <v>133.30000000000001</v>
      </c>
      <c r="AD85" s="6">
        <f>0+7+0.5+2+5+9+6+1+5.25+3.5+8+0+10.5</f>
        <v>57.75</v>
      </c>
      <c r="AE85" s="6">
        <f>6+12+2+4+4+8+4+2+1.5+1+27.3+8+18</f>
        <v>97.8</v>
      </c>
      <c r="AF85" s="6">
        <f>63+2+11+0+74+66+38+18+3+0+11+84+3</f>
        <v>373</v>
      </c>
      <c r="AG85" s="6">
        <f>6+0+1+0+1+2+2+2+0+190+3.7+8+0</f>
        <v>215.7</v>
      </c>
      <c r="AH85" s="6">
        <f>60+380+480+200+240+240+240+90+22.5+190+469+80+570</f>
        <v>3261.5</v>
      </c>
      <c r="AI85" s="6">
        <f t="shared" si="1"/>
        <v>4.2077020202020206E-2</v>
      </c>
      <c r="AJ85" s="6">
        <f t="shared" si="2"/>
        <v>1.8229166666666668E-2</v>
      </c>
      <c r="AK85" s="6">
        <f t="shared" si="3"/>
        <v>3.0871212121212119E-2</v>
      </c>
      <c r="AL85" s="6">
        <f t="shared" si="4"/>
        <v>0.11773989898989899</v>
      </c>
      <c r="AM85" s="6">
        <f t="shared" si="5"/>
        <v>6.808712121212121E-2</v>
      </c>
      <c r="AN85" s="6">
        <f t="shared" si="6"/>
        <v>1.0295138888888888</v>
      </c>
      <c r="AO85" s="7">
        <v>5</v>
      </c>
      <c r="AP85" s="7">
        <v>1</v>
      </c>
      <c r="AQ85" s="7">
        <v>1</v>
      </c>
      <c r="AR85" s="10">
        <v>0</v>
      </c>
      <c r="AS85" s="7">
        <v>0</v>
      </c>
      <c r="AT85" s="7">
        <v>0</v>
      </c>
      <c r="AU85" s="7">
        <v>0</v>
      </c>
      <c r="AV85" s="7">
        <v>0</v>
      </c>
      <c r="AW85" s="7">
        <v>0</v>
      </c>
      <c r="AX85" s="7">
        <v>1</v>
      </c>
      <c r="AY85" s="5">
        <v>6.5</v>
      </c>
      <c r="AZ85" s="7">
        <v>0</v>
      </c>
      <c r="BA85" s="7">
        <v>1</v>
      </c>
      <c r="BB85" s="7">
        <v>0</v>
      </c>
      <c r="BC85" s="7">
        <v>1</v>
      </c>
      <c r="BD85" s="7">
        <v>1</v>
      </c>
      <c r="BE85" s="7">
        <v>0</v>
      </c>
      <c r="BF85" s="7">
        <v>0</v>
      </c>
      <c r="BG85" s="7">
        <v>0</v>
      </c>
      <c r="BH85" s="7">
        <v>0</v>
      </c>
      <c r="BI85" s="7">
        <v>0</v>
      </c>
      <c r="BJ85" s="3">
        <v>0</v>
      </c>
    </row>
    <row r="86" spans="1:62" ht="20.100000000000001" customHeight="1" x14ac:dyDescent="0.3">
      <c r="A86" s="3" t="s">
        <v>137</v>
      </c>
      <c r="B86" s="3">
        <v>22</v>
      </c>
      <c r="C86" s="8">
        <v>44295</v>
      </c>
      <c r="D86" s="9">
        <v>0.84722222222222221</v>
      </c>
      <c r="E86" s="4">
        <v>67</v>
      </c>
      <c r="F86" s="3">
        <v>0</v>
      </c>
      <c r="G86" s="3">
        <v>0</v>
      </c>
      <c r="H86" s="3">
        <v>0</v>
      </c>
      <c r="I86" s="3">
        <v>0</v>
      </c>
      <c r="J86" s="9">
        <v>0.30833333333333335</v>
      </c>
      <c r="K86" s="3">
        <v>135.80000000000001</v>
      </c>
      <c r="L86" s="11">
        <f t="shared" ref="L86" si="130">K86-K85</f>
        <v>0</v>
      </c>
      <c r="M86" s="5">
        <f t="shared" ref="M86" si="131">AB85</f>
        <v>3168</v>
      </c>
      <c r="N86" s="11">
        <v>30.25</v>
      </c>
      <c r="O86" s="11">
        <v>31.75</v>
      </c>
      <c r="P86" s="11">
        <v>10.5</v>
      </c>
      <c r="Q86" s="11">
        <v>10.5</v>
      </c>
      <c r="R86" s="11">
        <v>19.25</v>
      </c>
      <c r="S86" s="11">
        <v>19.5</v>
      </c>
      <c r="T86" s="11">
        <v>12</v>
      </c>
      <c r="U86" s="11">
        <v>11</v>
      </c>
      <c r="V86" s="11">
        <v>15</v>
      </c>
      <c r="W86" s="11">
        <v>15</v>
      </c>
      <c r="X86" s="11">
        <v>7</v>
      </c>
      <c r="Y86" s="11">
        <v>7</v>
      </c>
      <c r="Z86" s="3" t="s">
        <v>539</v>
      </c>
      <c r="AA86" s="10" t="s">
        <v>538</v>
      </c>
      <c r="AB86" s="5">
        <f>896+140+300+160+120+110+105+982.5+81+245</f>
        <v>3139.5</v>
      </c>
      <c r="AC86" s="6">
        <f>66.67+7+3+10+10+9+0+13.78+0+10.5</f>
        <v>129.94999999999999</v>
      </c>
      <c r="AD86" s="6">
        <f>16+1+0+7+7+5+0+2.75+0+0</f>
        <v>38.75</v>
      </c>
      <c r="AE86" s="6">
        <f>54.67+2+6+12+2+6+1+38.8+2+0</f>
        <v>124.47</v>
      </c>
      <c r="AF86" s="6">
        <f>22+18+63+2+4+1+27+174.75+21+35</f>
        <v>367.75</v>
      </c>
      <c r="AG86" s="6">
        <f>7.33+2+6+0+0+0+3+13.05+4+0</f>
        <v>35.379999999999995</v>
      </c>
      <c r="AH86" s="6">
        <f>938+90+60+380+30+260+1+1283+2+105</f>
        <v>3149</v>
      </c>
      <c r="AI86" s="6">
        <f t="shared" si="1"/>
        <v>4.1391941391941391E-2</v>
      </c>
      <c r="AJ86" s="6">
        <f t="shared" si="2"/>
        <v>1.2342729734034082E-2</v>
      </c>
      <c r="AK86" s="6">
        <f t="shared" si="3"/>
        <v>3.9646440516005736E-2</v>
      </c>
      <c r="AL86" s="6">
        <f t="shared" si="4"/>
        <v>0.1171364867017041</v>
      </c>
      <c r="AM86" s="6">
        <f t="shared" si="5"/>
        <v>1.1269310399745181E-2</v>
      </c>
      <c r="AN86" s="6">
        <f t="shared" si="6"/>
        <v>1.0030259595476987</v>
      </c>
      <c r="AO86" s="7">
        <v>4</v>
      </c>
      <c r="AP86" s="7">
        <v>1</v>
      </c>
      <c r="AQ86" s="7">
        <v>1</v>
      </c>
      <c r="AR86" s="10">
        <v>0</v>
      </c>
      <c r="AS86" s="7">
        <v>0</v>
      </c>
      <c r="AT86" s="7">
        <v>0</v>
      </c>
      <c r="AU86" s="7">
        <v>0</v>
      </c>
      <c r="AV86" s="7">
        <v>0</v>
      </c>
      <c r="AW86" s="7">
        <v>31</v>
      </c>
      <c r="AX86" s="7">
        <v>1</v>
      </c>
      <c r="AY86" s="5">
        <v>7</v>
      </c>
      <c r="AZ86" s="7">
        <v>0</v>
      </c>
      <c r="BA86" s="7">
        <v>1</v>
      </c>
      <c r="BB86" s="7">
        <v>0</v>
      </c>
      <c r="BC86" s="7">
        <v>1</v>
      </c>
      <c r="BD86" s="7">
        <v>1</v>
      </c>
      <c r="BE86" s="7">
        <v>0</v>
      </c>
      <c r="BF86" s="7">
        <v>0</v>
      </c>
      <c r="BG86" s="7">
        <v>0</v>
      </c>
      <c r="BH86" s="7">
        <v>0</v>
      </c>
      <c r="BI86" s="7">
        <v>0</v>
      </c>
      <c r="BJ86" s="3">
        <v>0</v>
      </c>
    </row>
    <row r="87" spans="1:62" ht="20.100000000000001" customHeight="1" x14ac:dyDescent="0.3">
      <c r="A87" s="3" t="s">
        <v>19</v>
      </c>
      <c r="B87" s="3">
        <v>23</v>
      </c>
      <c r="C87" s="8">
        <v>44296</v>
      </c>
      <c r="D87" s="9">
        <v>0.33333333333333331</v>
      </c>
      <c r="E87" s="4">
        <v>55</v>
      </c>
      <c r="F87" s="3">
        <v>0</v>
      </c>
      <c r="G87" s="3">
        <v>0</v>
      </c>
      <c r="H87" s="3">
        <v>0</v>
      </c>
      <c r="I87" s="3">
        <v>0</v>
      </c>
      <c r="J87" s="9">
        <v>0.30624999999999997</v>
      </c>
      <c r="K87" s="3">
        <v>138.19999999999999</v>
      </c>
      <c r="L87" s="11">
        <f t="shared" ref="L87" si="132">K87-K86</f>
        <v>2.3999999999999773</v>
      </c>
      <c r="M87" s="5">
        <f t="shared" ref="M87" si="133">AB86</f>
        <v>3139.5</v>
      </c>
      <c r="N87" s="11">
        <v>30.5</v>
      </c>
      <c r="O87" s="11">
        <v>31.5</v>
      </c>
      <c r="P87" s="11">
        <v>10.5</v>
      </c>
      <c r="Q87" s="11">
        <v>10.5</v>
      </c>
      <c r="R87" s="11">
        <v>19.75</v>
      </c>
      <c r="S87" s="11">
        <v>19.25</v>
      </c>
      <c r="T87" s="11">
        <v>11</v>
      </c>
      <c r="U87" s="11">
        <v>11</v>
      </c>
      <c r="V87" s="11">
        <v>14</v>
      </c>
      <c r="W87" s="11">
        <v>13</v>
      </c>
      <c r="X87" s="11">
        <v>7</v>
      </c>
      <c r="Y87" s="11">
        <v>7</v>
      </c>
      <c r="Z87" s="3" t="s">
        <v>541</v>
      </c>
      <c r="AA87" s="10" t="s">
        <v>540</v>
      </c>
      <c r="AB87" s="5">
        <f>400+90+322+315+81+130+60+300+105</f>
        <v>1803</v>
      </c>
      <c r="AC87" s="6">
        <f>4+6+29+0+0+2+5+10+4.5</f>
        <v>60.5</v>
      </c>
      <c r="AD87" s="6">
        <f>0+3.5+4+0+0+0+0+6+0</f>
        <v>13.5</v>
      </c>
      <c r="AE87" s="6">
        <f>8+7+4+3+2+18+2+4+0</f>
        <v>48</v>
      </c>
      <c r="AF87" s="6">
        <f>84+2+17+81+21+9+2+38+7.5</f>
        <v>261.5</v>
      </c>
      <c r="AG87" s="6">
        <f>8+0+18+9+4+2+0+2+0</f>
        <v>43</v>
      </c>
      <c r="AH87" s="6">
        <f>80+200+14+3+2+320+230+240+22.5</f>
        <v>1111.5</v>
      </c>
      <c r="AI87" s="6">
        <f t="shared" si="1"/>
        <v>3.3555185801442039E-2</v>
      </c>
      <c r="AJ87" s="6">
        <f t="shared" si="2"/>
        <v>7.4875207986688855E-3</v>
      </c>
      <c r="AK87" s="6">
        <f t="shared" si="3"/>
        <v>2.6622296173044926E-2</v>
      </c>
      <c r="AL87" s="6">
        <f t="shared" si="4"/>
        <v>0.14503605102606767</v>
      </c>
      <c r="AM87" s="6">
        <f t="shared" si="5"/>
        <v>2.3849140321686078E-2</v>
      </c>
      <c r="AN87" s="6">
        <f t="shared" si="6"/>
        <v>0.61647254575707155</v>
      </c>
      <c r="AO87" s="7">
        <v>4</v>
      </c>
      <c r="AP87" s="7">
        <v>1</v>
      </c>
      <c r="AQ87" s="7">
        <v>1</v>
      </c>
      <c r="AR87" s="10">
        <v>0</v>
      </c>
      <c r="AS87" s="7">
        <v>0</v>
      </c>
      <c r="AT87" s="7">
        <v>0</v>
      </c>
      <c r="AU87" s="7">
        <v>0</v>
      </c>
      <c r="AV87" s="7">
        <v>0</v>
      </c>
      <c r="AW87" s="7">
        <v>31</v>
      </c>
      <c r="AX87" s="7">
        <v>1</v>
      </c>
      <c r="AY87" s="5">
        <v>5.5</v>
      </c>
      <c r="AZ87" s="7">
        <v>0</v>
      </c>
      <c r="BA87" s="7">
        <v>1</v>
      </c>
      <c r="BB87" s="7">
        <v>0</v>
      </c>
      <c r="BC87" s="7">
        <v>1</v>
      </c>
      <c r="BD87" s="7">
        <v>1</v>
      </c>
      <c r="BE87" s="7">
        <v>1</v>
      </c>
      <c r="BF87" s="7">
        <v>0</v>
      </c>
      <c r="BG87" s="7">
        <v>0</v>
      </c>
      <c r="BH87" s="7">
        <v>0</v>
      </c>
      <c r="BI87" s="7">
        <v>0</v>
      </c>
      <c r="BJ87" s="3">
        <v>0</v>
      </c>
    </row>
    <row r="88" spans="1:62" ht="20.100000000000001" customHeight="1" x14ac:dyDescent="0.3">
      <c r="A88" s="3" t="s">
        <v>23</v>
      </c>
      <c r="B88" s="3">
        <v>24</v>
      </c>
      <c r="C88" s="8">
        <v>44297</v>
      </c>
      <c r="D88" s="9">
        <v>0.3298611111111111</v>
      </c>
      <c r="E88" s="4">
        <v>55</v>
      </c>
      <c r="F88" s="3">
        <v>0</v>
      </c>
      <c r="G88" s="3">
        <v>0</v>
      </c>
      <c r="H88" s="3">
        <v>0</v>
      </c>
      <c r="I88" s="3">
        <v>0</v>
      </c>
      <c r="J88" s="9">
        <v>0.32500000000000001</v>
      </c>
      <c r="K88" s="3">
        <v>136.6</v>
      </c>
      <c r="L88" s="11">
        <f t="shared" ref="L88" si="134">K88-K87</f>
        <v>-1.5999999999999943</v>
      </c>
      <c r="M88" s="5">
        <f t="shared" ref="M88" si="135">AB87</f>
        <v>1803</v>
      </c>
      <c r="N88" s="11">
        <v>30.375</v>
      </c>
      <c r="O88" s="11">
        <v>31.5</v>
      </c>
      <c r="P88" s="11">
        <v>10.5</v>
      </c>
      <c r="Q88" s="11">
        <v>10.375</v>
      </c>
      <c r="R88" s="11">
        <v>19.25</v>
      </c>
      <c r="S88" s="11">
        <v>19.25</v>
      </c>
      <c r="T88" s="11">
        <v>11</v>
      </c>
      <c r="U88" s="11">
        <v>11</v>
      </c>
      <c r="V88" s="11">
        <v>15</v>
      </c>
      <c r="W88" s="11">
        <v>15</v>
      </c>
      <c r="X88" s="11">
        <v>7</v>
      </c>
      <c r="Y88" s="11">
        <v>7</v>
      </c>
      <c r="Z88" s="3" t="s">
        <v>547</v>
      </c>
      <c r="AA88" s="10" t="s">
        <v>546</v>
      </c>
      <c r="AB88" s="5">
        <f>210+130+60+350+270+110+686.2+20+195.2+195.2+105+686.2+195.2+322</f>
        <v>3535</v>
      </c>
      <c r="AC88" s="6">
        <f>0+2+5+3.5+18+9+21.4+1.5+0+0+4.5+21.4+0+29</f>
        <v>115.30000000000001</v>
      </c>
      <c r="AD88" s="6">
        <f>0+0+0+0+10.5+5+4.8+1+0+0+0+4.8+0+4</f>
        <v>30.1</v>
      </c>
      <c r="AE88" s="6">
        <f>2+18+2+7+21+6+25+2+0+0+0+25+0+0+4</f>
        <v>112</v>
      </c>
      <c r="AF88" s="6">
        <f>54+9+2+73.5+6+1+103.75+0+6.4+6.4+15+103.8+6.4+17</f>
        <v>404.25</v>
      </c>
      <c r="AG88" s="6">
        <f>6+2+0+7+0+0+7.17+0+0+0+0+7.2+0+18</f>
        <v>47.370000000000005</v>
      </c>
      <c r="AH88" s="6">
        <f>2+320+230+70+600+260+663.3+100+0+0+45+663.3+0+14</f>
        <v>2967.6000000000004</v>
      </c>
      <c r="AI88" s="6">
        <f t="shared" si="1"/>
        <v>3.261669024045262E-2</v>
      </c>
      <c r="AJ88" s="6">
        <f t="shared" si="2"/>
        <v>8.5148514851485155E-3</v>
      </c>
      <c r="AK88" s="6">
        <f t="shared" si="3"/>
        <v>3.1683168316831684E-2</v>
      </c>
      <c r="AL88" s="6">
        <f t="shared" si="4"/>
        <v>0.11435643564356436</v>
      </c>
      <c r="AM88" s="6">
        <f t="shared" si="5"/>
        <v>1.3400282885431401E-2</v>
      </c>
      <c r="AN88" s="6">
        <f t="shared" si="6"/>
        <v>0.8394908062234796</v>
      </c>
      <c r="AO88" s="7">
        <v>4</v>
      </c>
      <c r="AP88" s="7">
        <v>1</v>
      </c>
      <c r="AQ88" s="7">
        <v>1</v>
      </c>
      <c r="AR88" s="10">
        <v>0</v>
      </c>
      <c r="AS88" s="7">
        <v>0</v>
      </c>
      <c r="AT88" s="7">
        <v>0</v>
      </c>
      <c r="AU88" s="7">
        <v>0</v>
      </c>
      <c r="AV88" s="7">
        <v>0</v>
      </c>
      <c r="AW88" s="7">
        <v>31</v>
      </c>
      <c r="AX88" s="7">
        <v>1</v>
      </c>
      <c r="AY88" s="5">
        <v>7</v>
      </c>
      <c r="AZ88" s="7">
        <v>1</v>
      </c>
      <c r="BA88" s="7">
        <v>0</v>
      </c>
      <c r="BB88" s="7">
        <v>1</v>
      </c>
      <c r="BC88" s="7">
        <v>1</v>
      </c>
      <c r="BD88" s="7">
        <v>1</v>
      </c>
      <c r="BE88" s="7">
        <v>1</v>
      </c>
      <c r="BF88" s="7">
        <v>0</v>
      </c>
      <c r="BG88" s="7">
        <v>0</v>
      </c>
      <c r="BH88" s="7">
        <v>0</v>
      </c>
      <c r="BI88" s="7">
        <v>0</v>
      </c>
      <c r="BJ88" s="3">
        <v>0</v>
      </c>
    </row>
    <row r="89" spans="1:62" ht="20.100000000000001" customHeight="1" x14ac:dyDescent="0.3">
      <c r="A89" s="3" t="s">
        <v>15</v>
      </c>
      <c r="B89" s="3">
        <v>25</v>
      </c>
      <c r="C89" s="8">
        <v>44298</v>
      </c>
      <c r="D89" s="9">
        <v>0.57847222222222217</v>
      </c>
      <c r="E89" s="4">
        <v>70</v>
      </c>
      <c r="F89" s="3">
        <v>0</v>
      </c>
      <c r="G89" s="3">
        <v>0</v>
      </c>
      <c r="H89" s="3">
        <v>0</v>
      </c>
      <c r="I89" s="3">
        <v>0</v>
      </c>
      <c r="J89" s="9">
        <v>0.57291666666666663</v>
      </c>
      <c r="K89" s="3">
        <v>136.6</v>
      </c>
      <c r="L89" s="11">
        <f t="shared" ref="L89" si="136">K89-K88</f>
        <v>0</v>
      </c>
      <c r="M89" s="5">
        <f t="shared" ref="M89" si="137">AB88</f>
        <v>3535</v>
      </c>
      <c r="N89" s="11">
        <v>28.75</v>
      </c>
      <c r="O89" s="11">
        <v>30.25</v>
      </c>
      <c r="P89" s="11">
        <v>10.375</v>
      </c>
      <c r="Q89" s="11">
        <v>10.25</v>
      </c>
      <c r="R89" s="11">
        <v>19.25</v>
      </c>
      <c r="S89" s="11">
        <v>19.375</v>
      </c>
      <c r="T89" s="11">
        <v>11</v>
      </c>
      <c r="U89" s="11">
        <v>11</v>
      </c>
      <c r="V89" s="11">
        <v>15</v>
      </c>
      <c r="W89" s="11">
        <v>12</v>
      </c>
      <c r="X89" s="11">
        <v>7</v>
      </c>
      <c r="Y89" s="11">
        <v>7</v>
      </c>
      <c r="Z89" s="3" t="s">
        <v>553</v>
      </c>
      <c r="AA89" s="10" t="s">
        <v>552</v>
      </c>
      <c r="AB89" s="5">
        <f>686.2+241.5+110+686.2+110+480+76+330+60+35</f>
        <v>2814.9</v>
      </c>
      <c r="AC89" s="6">
        <f>21.4+21.8+7+21.4+7+23+5.8+14+5+1.5</f>
        <v>127.89999999999999</v>
      </c>
      <c r="AD89" s="6">
        <f>4.83+3+4+4.83+4+4+2.6+11+3.5+0</f>
        <v>41.760000000000005</v>
      </c>
      <c r="AE89" s="6">
        <f>25+3+10+25+10+7+2.9+5+1+0</f>
        <v>88.9</v>
      </c>
      <c r="AF89" s="6">
        <f>103.8+12.8+2+103.8+2+63+3+44+2+5</f>
        <v>341.4</v>
      </c>
      <c r="AG89" s="6">
        <f>7.17+13.5+0+7.17+0+6+0.2+0+0+0</f>
        <v>34.040000000000006</v>
      </c>
      <c r="AH89" s="6">
        <f>663.3+10.5+330+663.3+330+370+361+60+15+15</f>
        <v>2818.1</v>
      </c>
      <c r="AI89" s="6">
        <f t="shared" si="1"/>
        <v>4.5436782834203694E-2</v>
      </c>
      <c r="AJ89" s="6">
        <f t="shared" si="2"/>
        <v>1.4835340509431952E-2</v>
      </c>
      <c r="AK89" s="6">
        <f t="shared" si="3"/>
        <v>3.1581938967636509E-2</v>
      </c>
      <c r="AL89" s="6">
        <f t="shared" si="4"/>
        <v>0.12128317169348821</v>
      </c>
      <c r="AM89" s="6">
        <f t="shared" si="5"/>
        <v>1.2092791928665319E-2</v>
      </c>
      <c r="AN89" s="6">
        <f t="shared" si="6"/>
        <v>1.0011368077018721</v>
      </c>
      <c r="AO89" s="7">
        <v>5</v>
      </c>
      <c r="AP89" s="7">
        <v>1</v>
      </c>
      <c r="AQ89" s="7">
        <v>1</v>
      </c>
      <c r="AR89" s="10">
        <v>0</v>
      </c>
      <c r="AS89" s="7">
        <v>0</v>
      </c>
      <c r="AT89" s="7">
        <v>0</v>
      </c>
      <c r="AU89" s="7">
        <v>0</v>
      </c>
      <c r="AV89" s="7">
        <v>0</v>
      </c>
      <c r="AW89" s="7">
        <v>31</v>
      </c>
      <c r="AX89" s="7">
        <v>1</v>
      </c>
      <c r="AY89" s="5">
        <v>7.5</v>
      </c>
      <c r="AZ89" s="7">
        <v>1</v>
      </c>
      <c r="BA89" s="7">
        <v>1</v>
      </c>
      <c r="BB89" s="7">
        <v>1</v>
      </c>
      <c r="BC89" s="7">
        <v>1</v>
      </c>
      <c r="BD89" s="7">
        <v>1</v>
      </c>
      <c r="BE89" s="7">
        <v>0</v>
      </c>
      <c r="BF89" s="7">
        <v>0</v>
      </c>
      <c r="BG89" s="7">
        <v>0</v>
      </c>
      <c r="BH89" s="7">
        <v>0</v>
      </c>
      <c r="BI89" s="7">
        <v>0</v>
      </c>
      <c r="BJ89" s="3">
        <v>0</v>
      </c>
    </row>
    <row r="90" spans="1:62" ht="20.100000000000001" customHeight="1" x14ac:dyDescent="0.3">
      <c r="A90" s="3" t="s">
        <v>16</v>
      </c>
      <c r="B90" s="3">
        <v>26</v>
      </c>
      <c r="C90" s="8">
        <v>44299</v>
      </c>
      <c r="D90" s="9">
        <v>0.2951388888888889</v>
      </c>
      <c r="E90" s="4">
        <v>57</v>
      </c>
      <c r="F90" s="3">
        <v>0</v>
      </c>
      <c r="G90" s="3">
        <v>0</v>
      </c>
      <c r="H90" s="3">
        <v>0</v>
      </c>
      <c r="I90" s="3">
        <v>0</v>
      </c>
      <c r="J90" s="9">
        <v>0.65972222222222221</v>
      </c>
      <c r="K90" s="3">
        <v>136.6</v>
      </c>
      <c r="L90" s="11">
        <f t="shared" ref="L90" si="138">K90-K89</f>
        <v>0</v>
      </c>
      <c r="M90" s="5">
        <f t="shared" ref="M90" si="139">AB89</f>
        <v>2814.9</v>
      </c>
      <c r="N90" s="11">
        <v>29.5</v>
      </c>
      <c r="O90" s="11">
        <v>31</v>
      </c>
      <c r="P90" s="11">
        <v>10.25</v>
      </c>
      <c r="Q90" s="11">
        <v>10.25</v>
      </c>
      <c r="R90" s="11">
        <v>19.25</v>
      </c>
      <c r="S90" s="11">
        <v>19.25</v>
      </c>
      <c r="T90" s="11">
        <v>10</v>
      </c>
      <c r="U90" s="11">
        <v>10</v>
      </c>
      <c r="V90" s="11">
        <v>15</v>
      </c>
      <c r="W90" s="11">
        <v>13</v>
      </c>
      <c r="X90" s="11">
        <v>7</v>
      </c>
      <c r="Y90" s="11">
        <v>7</v>
      </c>
      <c r="Z90" s="3" t="s">
        <v>557</v>
      </c>
      <c r="AA90" s="10" t="s">
        <v>556</v>
      </c>
      <c r="AB90" s="5">
        <f>1372.3+220+220+130+60+210+400+220+519</f>
        <v>3351.3</v>
      </c>
      <c r="AC90" s="6">
        <f>42.8+18+14+2+5+0+10+17+0</f>
        <v>108.8</v>
      </c>
      <c r="AD90" s="6">
        <f>9.67+10+8+0+0+0+5+12+0</f>
        <v>44.67</v>
      </c>
      <c r="AE90" s="6">
        <f>50+12+20+18+2+2+4+2+4</f>
        <v>114</v>
      </c>
      <c r="AF90" s="6">
        <f>207.5+2+4+9+2+54+74+16+124</f>
        <v>492.5</v>
      </c>
      <c r="AG90" s="6">
        <f>14.3+0+0+2+2+6+1+1+0</f>
        <v>26.3</v>
      </c>
      <c r="AH90" s="6">
        <f>1326.67+520+660+320+340+2+240+35+60</f>
        <v>3503.67</v>
      </c>
      <c r="AI90" s="6">
        <f t="shared" si="1"/>
        <v>3.2465013576820932E-2</v>
      </c>
      <c r="AJ90" s="6">
        <f t="shared" si="2"/>
        <v>1.3329155849968669E-2</v>
      </c>
      <c r="AK90" s="6">
        <f t="shared" si="3"/>
        <v>3.4016650255124875E-2</v>
      </c>
      <c r="AL90" s="6">
        <f t="shared" si="4"/>
        <v>0.14695789693551756</v>
      </c>
      <c r="AM90" s="6">
        <f t="shared" si="5"/>
        <v>7.8477008921910892E-3</v>
      </c>
      <c r="AN90" s="6">
        <f t="shared" si="6"/>
        <v>1.0454659385909946</v>
      </c>
      <c r="AO90" s="7">
        <v>4</v>
      </c>
      <c r="AP90" s="7">
        <v>1</v>
      </c>
      <c r="AQ90" s="7">
        <v>1</v>
      </c>
      <c r="AR90" s="10">
        <v>0</v>
      </c>
      <c r="AS90" s="7">
        <v>0</v>
      </c>
      <c r="AT90" s="7">
        <v>0</v>
      </c>
      <c r="AU90" s="7">
        <v>0</v>
      </c>
      <c r="AV90" s="7">
        <v>0</v>
      </c>
      <c r="AW90" s="7">
        <v>0</v>
      </c>
      <c r="AX90" s="7">
        <v>1</v>
      </c>
      <c r="AY90" s="5">
        <v>7</v>
      </c>
      <c r="AZ90" s="7">
        <v>0</v>
      </c>
      <c r="BA90" s="7">
        <v>0</v>
      </c>
      <c r="BB90" s="7">
        <v>0</v>
      </c>
      <c r="BC90" s="7">
        <v>1</v>
      </c>
      <c r="BD90" s="7">
        <v>1</v>
      </c>
      <c r="BE90" s="7">
        <v>1</v>
      </c>
      <c r="BF90" s="7">
        <v>0</v>
      </c>
      <c r="BG90" s="7">
        <v>0</v>
      </c>
      <c r="BH90" s="7">
        <v>0</v>
      </c>
      <c r="BI90" s="7">
        <v>0</v>
      </c>
      <c r="BJ90" s="3">
        <v>0</v>
      </c>
    </row>
    <row r="91" spans="1:62" ht="20.100000000000001" customHeight="1" x14ac:dyDescent="0.3">
      <c r="A91" s="3" t="s">
        <v>17</v>
      </c>
      <c r="B91" s="3">
        <v>27</v>
      </c>
      <c r="C91" s="8">
        <v>44300</v>
      </c>
      <c r="D91" s="9">
        <v>0.79166666666666663</v>
      </c>
      <c r="E91" s="4">
        <v>60</v>
      </c>
      <c r="F91" s="3">
        <v>0</v>
      </c>
      <c r="G91" s="3">
        <v>0</v>
      </c>
      <c r="H91" s="3">
        <v>0</v>
      </c>
      <c r="I91" s="3">
        <v>0</v>
      </c>
      <c r="J91" s="9">
        <v>0.31041666666666667</v>
      </c>
      <c r="K91" s="3">
        <v>136.6</v>
      </c>
      <c r="L91" s="11">
        <f t="shared" ref="L91" si="140">K91-K90</f>
        <v>0</v>
      </c>
      <c r="M91" s="5">
        <f t="shared" ref="M91" si="141">AB90</f>
        <v>3351.3</v>
      </c>
      <c r="N91" s="11">
        <v>29.75</v>
      </c>
      <c r="O91" s="11">
        <v>31</v>
      </c>
      <c r="P91" s="11">
        <v>10.5</v>
      </c>
      <c r="Q91" s="11">
        <v>10.5</v>
      </c>
      <c r="R91" s="11">
        <v>19.25</v>
      </c>
      <c r="S91" s="11">
        <v>19.25</v>
      </c>
      <c r="T91" s="11">
        <v>11</v>
      </c>
      <c r="U91" s="11">
        <v>9</v>
      </c>
      <c r="V91" s="11">
        <v>15</v>
      </c>
      <c r="W91" s="11">
        <v>13</v>
      </c>
      <c r="X91" s="11">
        <v>7</v>
      </c>
      <c r="Y91" s="11">
        <v>7</v>
      </c>
      <c r="Z91" s="3" t="s">
        <v>559</v>
      </c>
      <c r="AA91" s="10" t="s">
        <v>558</v>
      </c>
      <c r="AB91" s="5">
        <f>686.17+110+110+130+60+125+162+400+140+300+220+180</f>
        <v>2623.17</v>
      </c>
      <c r="AC91" s="6">
        <f>21.42+9+7+2+5+0+0+10+6+3+18+12</f>
        <v>93.42</v>
      </c>
      <c r="AD91" s="6">
        <f>4.83+5+4+0+0+0+0+5+0+0+10+7</f>
        <v>35.83</v>
      </c>
      <c r="AE91" s="6">
        <f>25+6+10+18+2+1.25+4+4+0+6+12+14</f>
        <v>102.25</v>
      </c>
      <c r="AF91" s="6">
        <f>103.75+1+2+9+2+32+42+74+20+63+2+4</f>
        <v>354.75</v>
      </c>
      <c r="AG91" s="6">
        <f>7.17+0+0+2+2+3.75+8+1+0+6+0+0</f>
        <v>29.92</v>
      </c>
      <c r="AH91" s="6">
        <f>663.33+260+330+320+340+1.25+4+240+60+60+520+400</f>
        <v>3198.58</v>
      </c>
      <c r="AI91" s="6">
        <f t="shared" si="1"/>
        <v>3.5613399055341437E-2</v>
      </c>
      <c r="AJ91" s="6">
        <f t="shared" si="2"/>
        <v>1.3659046115958935E-2</v>
      </c>
      <c r="AK91" s="6">
        <f t="shared" si="3"/>
        <v>3.8979555270912673E-2</v>
      </c>
      <c r="AL91" s="6">
        <f t="shared" si="4"/>
        <v>0.13523713674676061</v>
      </c>
      <c r="AM91" s="6">
        <f t="shared" si="5"/>
        <v>1.1406046882207406E-2</v>
      </c>
      <c r="AN91" s="6">
        <f t="shared" si="6"/>
        <v>1.2193567325030401</v>
      </c>
      <c r="AO91" s="7">
        <v>4</v>
      </c>
      <c r="AP91" s="7">
        <v>1</v>
      </c>
      <c r="AQ91" s="7">
        <v>1</v>
      </c>
      <c r="AR91" s="10">
        <v>0</v>
      </c>
      <c r="AS91" s="7">
        <v>0</v>
      </c>
      <c r="AT91" s="7">
        <v>0</v>
      </c>
      <c r="AU91" s="7">
        <v>0</v>
      </c>
      <c r="AV91" s="7">
        <v>0</v>
      </c>
      <c r="AW91" s="7">
        <v>31</v>
      </c>
      <c r="AX91" s="7">
        <v>1</v>
      </c>
      <c r="AY91" s="5">
        <v>7</v>
      </c>
      <c r="AZ91" s="7">
        <v>0</v>
      </c>
      <c r="BA91" s="7">
        <v>1</v>
      </c>
      <c r="BB91" s="7">
        <v>0</v>
      </c>
      <c r="BC91" s="7">
        <v>1</v>
      </c>
      <c r="BD91" s="7">
        <v>1</v>
      </c>
      <c r="BE91" s="7">
        <v>1</v>
      </c>
      <c r="BF91" s="7">
        <v>0</v>
      </c>
      <c r="BG91" s="7">
        <v>0</v>
      </c>
      <c r="BH91" s="7">
        <v>0</v>
      </c>
      <c r="BI91" s="7">
        <v>0</v>
      </c>
      <c r="BJ91" s="3">
        <v>0</v>
      </c>
    </row>
    <row r="92" spans="1:62" ht="20.100000000000001" customHeight="1" x14ac:dyDescent="0.3">
      <c r="A92" s="3" t="s">
        <v>18</v>
      </c>
      <c r="B92" s="3">
        <v>28</v>
      </c>
      <c r="C92" s="8">
        <v>44301</v>
      </c>
      <c r="D92" s="9">
        <v>0.41666666666666669</v>
      </c>
      <c r="E92" s="4">
        <v>58</v>
      </c>
      <c r="F92" s="3">
        <v>0</v>
      </c>
      <c r="G92" s="3">
        <v>0</v>
      </c>
      <c r="H92" s="3">
        <v>0</v>
      </c>
      <c r="I92" s="3">
        <v>0</v>
      </c>
      <c r="J92" s="9">
        <v>0.42638888888888887</v>
      </c>
      <c r="K92" s="3">
        <v>138.80000000000001</v>
      </c>
      <c r="L92" s="11">
        <f t="shared" ref="L92" si="142">K92-K91</f>
        <v>2.2000000000000171</v>
      </c>
      <c r="M92" s="5">
        <f t="shared" ref="M92" si="143">AB91</f>
        <v>2623.17</v>
      </c>
      <c r="N92" s="11">
        <v>30.5</v>
      </c>
      <c r="O92" s="11">
        <v>31.25</v>
      </c>
      <c r="P92" s="11">
        <v>10.5</v>
      </c>
      <c r="Q92" s="11">
        <v>10.5</v>
      </c>
      <c r="R92" s="11">
        <v>19.5</v>
      </c>
      <c r="S92" s="11">
        <v>19.5</v>
      </c>
      <c r="T92" s="11">
        <v>11</v>
      </c>
      <c r="U92" s="11">
        <v>11</v>
      </c>
      <c r="V92" s="11">
        <v>15</v>
      </c>
      <c r="W92" s="11">
        <v>14</v>
      </c>
      <c r="X92" s="11">
        <v>7</v>
      </c>
      <c r="Y92" s="11">
        <v>7</v>
      </c>
      <c r="Z92" s="3" t="s">
        <v>560</v>
      </c>
      <c r="AA92" s="10" t="s">
        <v>566</v>
      </c>
      <c r="AB92" s="5">
        <f>1227.75+60+180+800</f>
        <v>2267.75</v>
      </c>
      <c r="AC92" s="6">
        <f>66.38+4.5+15+20</f>
        <v>105.88</v>
      </c>
      <c r="AD92" s="6">
        <f>18.75+6+3+8</f>
        <v>35.75</v>
      </c>
      <c r="AE92" s="6">
        <f>77.25+0+6+148</f>
        <v>231.25</v>
      </c>
      <c r="AF92" s="6">
        <f>78.375+0+0+2</f>
        <v>80.375</v>
      </c>
      <c r="AG92" s="6">
        <f>16.5+0+0+2</f>
        <v>18.5</v>
      </c>
      <c r="AH92" s="6">
        <f>2985+300+45+480</f>
        <v>3810</v>
      </c>
      <c r="AI92" s="6">
        <f t="shared" si="1"/>
        <v>4.6689449895270643E-2</v>
      </c>
      <c r="AJ92" s="6">
        <f t="shared" si="2"/>
        <v>1.5764524308235033E-2</v>
      </c>
      <c r="AK92" s="6">
        <f t="shared" si="3"/>
        <v>0.1019733215742476</v>
      </c>
      <c r="AL92" s="6">
        <f t="shared" si="4"/>
        <v>3.5442619336346598E-2</v>
      </c>
      <c r="AM92" s="6">
        <f t="shared" si="5"/>
        <v>8.1578657259398085E-3</v>
      </c>
      <c r="AN92" s="6">
        <f t="shared" si="6"/>
        <v>1.6800793738286848</v>
      </c>
      <c r="AO92" s="7">
        <v>4</v>
      </c>
      <c r="AP92" s="7">
        <v>1</v>
      </c>
      <c r="AQ92" s="7">
        <v>0</v>
      </c>
      <c r="AR92" s="10">
        <v>0</v>
      </c>
      <c r="AS92" s="7">
        <v>0</v>
      </c>
      <c r="AT92" s="7">
        <v>0</v>
      </c>
      <c r="AU92" s="7">
        <v>0</v>
      </c>
      <c r="AV92" s="7">
        <v>0</v>
      </c>
      <c r="AW92" s="7">
        <v>0</v>
      </c>
      <c r="AX92" s="7">
        <v>0</v>
      </c>
      <c r="AY92" s="5">
        <v>7.5</v>
      </c>
      <c r="AZ92" s="7">
        <v>0</v>
      </c>
      <c r="BA92" s="7">
        <v>1</v>
      </c>
      <c r="BB92" s="7">
        <v>0</v>
      </c>
      <c r="BC92" s="7">
        <v>1</v>
      </c>
      <c r="BD92" s="7">
        <v>1</v>
      </c>
      <c r="BE92" s="7">
        <v>0</v>
      </c>
      <c r="BF92" s="7">
        <v>0</v>
      </c>
      <c r="BG92" s="7">
        <v>0</v>
      </c>
      <c r="BH92" s="7">
        <v>0</v>
      </c>
      <c r="BI92" s="7">
        <v>0</v>
      </c>
      <c r="BJ92" s="3">
        <v>0</v>
      </c>
    </row>
    <row r="93" spans="1:62" ht="20.100000000000001" customHeight="1" x14ac:dyDescent="0.3">
      <c r="A93" s="3" t="s">
        <v>137</v>
      </c>
      <c r="B93" s="3">
        <v>29</v>
      </c>
      <c r="C93" s="8">
        <v>44302</v>
      </c>
      <c r="D93" s="9">
        <v>0.30902777777777779</v>
      </c>
      <c r="E93" s="4">
        <v>50</v>
      </c>
      <c r="F93" s="3">
        <v>0</v>
      </c>
      <c r="G93" s="3">
        <v>0</v>
      </c>
      <c r="H93" s="3">
        <v>0</v>
      </c>
      <c r="I93" s="3">
        <v>0</v>
      </c>
      <c r="J93" s="9">
        <v>0.30902777777777779</v>
      </c>
      <c r="K93" s="3">
        <v>138</v>
      </c>
      <c r="L93" s="11">
        <f t="shared" ref="L93" si="144">K93-K92</f>
        <v>-0.80000000000001137</v>
      </c>
      <c r="M93" s="5">
        <f t="shared" ref="M93" si="145">AB92</f>
        <v>2267.75</v>
      </c>
      <c r="N93" s="11">
        <v>30.5</v>
      </c>
      <c r="O93" s="11">
        <v>31.75</v>
      </c>
      <c r="P93" s="11">
        <v>10.25</v>
      </c>
      <c r="Q93" s="11">
        <v>10.5</v>
      </c>
      <c r="R93" s="11">
        <v>19.25</v>
      </c>
      <c r="S93" s="11">
        <v>19.25</v>
      </c>
      <c r="T93" s="11">
        <v>12</v>
      </c>
      <c r="U93" s="11">
        <v>11</v>
      </c>
      <c r="V93" s="11">
        <v>15</v>
      </c>
      <c r="W93" s="11">
        <v>14</v>
      </c>
      <c r="X93" s="11">
        <v>7</v>
      </c>
      <c r="Y93" s="11">
        <v>7</v>
      </c>
      <c r="Z93" s="3" t="s">
        <v>576</v>
      </c>
      <c r="AA93" s="10" t="s">
        <v>569</v>
      </c>
      <c r="AB93" s="5">
        <f>409.25+60+100+120+322+105+30+35+723.17</f>
        <v>1904.42</v>
      </c>
      <c r="AC93" s="6">
        <f>22.125+5+6+2+29+0+2.5+1.5+9.17</f>
        <v>77.295000000000002</v>
      </c>
      <c r="AD93" s="6">
        <f>6.25+3.5+4+0+4+0+0+0+0.42</f>
        <v>18.170000000000002</v>
      </c>
      <c r="AE93" s="6">
        <f>25.75+1+8+18+4+1+1+0+68</f>
        <v>126.75</v>
      </c>
      <c r="AF93" s="6">
        <f>26.125+2+2+6+17+27+1+5+88.46</f>
        <v>174.58499999999998</v>
      </c>
      <c r="AG93" s="6">
        <f>5.5+0+0+1+18+3+1+0+20.38</f>
        <v>48.879999999999995</v>
      </c>
      <c r="AH93" s="6">
        <f>995+15+280+360+14+1+170+15+1627.3</f>
        <v>3477.3</v>
      </c>
      <c r="AI93" s="6">
        <f t="shared" si="1"/>
        <v>4.0587160395290957E-2</v>
      </c>
      <c r="AJ93" s="6">
        <f t="shared" si="2"/>
        <v>9.5409626027872004E-3</v>
      </c>
      <c r="AK93" s="6">
        <f t="shared" si="3"/>
        <v>6.6555696747566187E-2</v>
      </c>
      <c r="AL93" s="6">
        <f t="shared" si="4"/>
        <v>9.167358040768317E-2</v>
      </c>
      <c r="AM93" s="6">
        <f t="shared" si="5"/>
        <v>2.5666607155984497E-2</v>
      </c>
      <c r="AN93" s="6">
        <f t="shared" si="6"/>
        <v>1.8259102508900349</v>
      </c>
      <c r="AO93" s="7">
        <v>3</v>
      </c>
      <c r="AP93" s="7">
        <v>1</v>
      </c>
      <c r="AQ93" s="7">
        <v>0</v>
      </c>
      <c r="AR93" s="10">
        <v>0</v>
      </c>
      <c r="AS93" s="7">
        <v>0</v>
      </c>
      <c r="AT93" s="7">
        <v>0</v>
      </c>
      <c r="AU93" s="7">
        <v>0</v>
      </c>
      <c r="AV93" s="7">
        <v>0</v>
      </c>
      <c r="AW93" s="7">
        <v>31</v>
      </c>
      <c r="AX93" s="7">
        <v>0</v>
      </c>
      <c r="AY93" s="5">
        <v>7</v>
      </c>
      <c r="AZ93" s="7">
        <v>1</v>
      </c>
      <c r="BA93" s="7">
        <v>1</v>
      </c>
      <c r="BB93" s="7">
        <v>1</v>
      </c>
      <c r="BC93" s="7">
        <v>1</v>
      </c>
      <c r="BD93" s="7">
        <v>1</v>
      </c>
      <c r="BE93" s="7">
        <v>1</v>
      </c>
      <c r="BF93" s="7">
        <v>0</v>
      </c>
      <c r="BG93" s="7">
        <v>0</v>
      </c>
      <c r="BH93" s="7">
        <v>0</v>
      </c>
      <c r="BI93" s="7">
        <v>0</v>
      </c>
      <c r="BJ93" s="3">
        <v>1</v>
      </c>
    </row>
    <row r="94" spans="1:62" ht="20.100000000000001" customHeight="1" x14ac:dyDescent="0.3">
      <c r="A94" s="3" t="s">
        <v>19</v>
      </c>
      <c r="B94" s="3">
        <v>30</v>
      </c>
      <c r="C94" s="8">
        <v>44303</v>
      </c>
      <c r="D94" s="9">
        <v>0.27083333333333331</v>
      </c>
      <c r="E94" s="4">
        <v>50</v>
      </c>
      <c r="F94" s="3">
        <v>0</v>
      </c>
      <c r="G94" s="3">
        <v>0</v>
      </c>
      <c r="H94" s="3">
        <v>0</v>
      </c>
      <c r="I94" s="3">
        <v>0</v>
      </c>
      <c r="J94" s="9">
        <v>0.28611111111111115</v>
      </c>
      <c r="K94" s="3">
        <v>139.19999999999999</v>
      </c>
      <c r="L94" s="11">
        <f t="shared" ref="L94" si="146">K94-K93</f>
        <v>1.1999999999999886</v>
      </c>
      <c r="M94" s="5">
        <f t="shared" ref="M94" si="147">AB93</f>
        <v>1904.42</v>
      </c>
      <c r="N94" s="11">
        <v>30.25</v>
      </c>
      <c r="O94" s="11">
        <v>31.25</v>
      </c>
      <c r="P94" s="11">
        <v>10.375</v>
      </c>
      <c r="Q94" s="11">
        <v>10.5</v>
      </c>
      <c r="R94" s="11">
        <v>19.375</v>
      </c>
      <c r="S94" s="11">
        <v>19.25</v>
      </c>
      <c r="T94" s="11">
        <v>12</v>
      </c>
      <c r="U94" s="11">
        <v>9</v>
      </c>
      <c r="V94" s="11">
        <v>16</v>
      </c>
      <c r="W94" s="11">
        <v>14</v>
      </c>
      <c r="X94" s="11">
        <v>7</v>
      </c>
      <c r="Y94" s="11">
        <v>7</v>
      </c>
      <c r="Z94" s="3" t="s">
        <v>575</v>
      </c>
      <c r="AA94" s="10" t="s">
        <v>574</v>
      </c>
      <c r="AB94" s="5">
        <f>1446.33+341.25+20+120+30+300+320+480</f>
        <v>3057.58</v>
      </c>
      <c r="AC94" s="6">
        <f>18.33+0+1.5+2+2.5+15+17+6.67</f>
        <v>63</v>
      </c>
      <c r="AD94" s="6">
        <f>0.83+0+1+0+0+2.5+10+4</f>
        <v>18.329999999999998</v>
      </c>
      <c r="AE94" s="6">
        <f>136+3.25+2+18+1+3+7+2.67</f>
        <v>172.92</v>
      </c>
      <c r="AF94" s="6">
        <f>176.92+87.75+0+6+1+39+35+69.33</f>
        <v>414.99999999999994</v>
      </c>
      <c r="AG94" s="6">
        <f>40.75+9.75+0+1+1+4+1+2.67</f>
        <v>60.17</v>
      </c>
      <c r="AH94" s="6">
        <f>3254.67+3.25+100+360+170+600+250+226.67</f>
        <v>4964.59</v>
      </c>
      <c r="AI94" s="6">
        <f t="shared" si="1"/>
        <v>2.060453038023535E-2</v>
      </c>
      <c r="AJ94" s="6">
        <f t="shared" si="2"/>
        <v>5.9949371725351421E-3</v>
      </c>
      <c r="AK94" s="6">
        <f t="shared" si="3"/>
        <v>5.6554530053179307E-2</v>
      </c>
      <c r="AL94" s="6">
        <f t="shared" si="4"/>
        <v>0.13572825567932809</v>
      </c>
      <c r="AM94" s="6">
        <f t="shared" si="5"/>
        <v>1.9678961793313667E-2</v>
      </c>
      <c r="AN94" s="6">
        <f t="shared" si="6"/>
        <v>1.623699134609724</v>
      </c>
      <c r="AO94" s="7">
        <v>3</v>
      </c>
      <c r="AP94" s="7">
        <v>1</v>
      </c>
      <c r="AQ94" s="7">
        <v>0</v>
      </c>
      <c r="AR94" s="10">
        <v>0</v>
      </c>
      <c r="AS94" s="7">
        <v>0</v>
      </c>
      <c r="AT94" s="7">
        <v>0</v>
      </c>
      <c r="AU94" s="7">
        <v>0</v>
      </c>
      <c r="AV94" s="7">
        <v>0</v>
      </c>
      <c r="AW94" s="7">
        <v>31</v>
      </c>
      <c r="AX94" s="7">
        <v>0</v>
      </c>
      <c r="AY94" s="5">
        <v>6.5</v>
      </c>
      <c r="AZ94" s="7">
        <v>1</v>
      </c>
      <c r="BA94" s="7">
        <v>0</v>
      </c>
      <c r="BB94" s="7">
        <v>1</v>
      </c>
      <c r="BC94" s="7">
        <v>1</v>
      </c>
      <c r="BD94" s="7">
        <v>1</v>
      </c>
      <c r="BE94" s="7">
        <v>1</v>
      </c>
      <c r="BF94" s="7">
        <v>0</v>
      </c>
      <c r="BG94" s="7">
        <v>0</v>
      </c>
      <c r="BH94" s="7">
        <v>0</v>
      </c>
      <c r="BI94" s="7">
        <v>0</v>
      </c>
      <c r="BJ94" s="3">
        <v>1</v>
      </c>
    </row>
    <row r="95" spans="1:62" ht="20.100000000000001" customHeight="1" x14ac:dyDescent="0.3">
      <c r="A95" s="3" t="s">
        <v>23</v>
      </c>
      <c r="B95" s="3">
        <v>0</v>
      </c>
      <c r="C95" s="8">
        <v>44304</v>
      </c>
      <c r="D95" s="9">
        <v>0.32777777777777778</v>
      </c>
      <c r="E95" s="4">
        <v>60</v>
      </c>
      <c r="F95" s="3">
        <v>0</v>
      </c>
      <c r="G95" s="3">
        <v>0</v>
      </c>
      <c r="H95" s="3">
        <v>0</v>
      </c>
      <c r="I95" s="3">
        <v>0</v>
      </c>
      <c r="J95" s="9">
        <v>0.32291666666666669</v>
      </c>
      <c r="K95" s="3">
        <v>139.19999999999999</v>
      </c>
      <c r="L95" s="11">
        <f t="shared" ref="L95" si="148">K95-K94</f>
        <v>0</v>
      </c>
      <c r="M95" s="5">
        <f t="shared" ref="M95" si="149">AB94</f>
        <v>3057.58</v>
      </c>
      <c r="N95" s="11">
        <v>30</v>
      </c>
      <c r="O95" s="11">
        <v>31.5</v>
      </c>
      <c r="P95" s="11">
        <v>10.375</v>
      </c>
      <c r="Q95" s="11">
        <v>10.625</v>
      </c>
      <c r="R95" s="11">
        <v>19.25</v>
      </c>
      <c r="S95" s="11">
        <v>19.25</v>
      </c>
      <c r="T95" s="11">
        <v>12</v>
      </c>
      <c r="U95" s="11">
        <v>11</v>
      </c>
      <c r="V95" s="11">
        <v>14</v>
      </c>
      <c r="W95" s="11">
        <v>12</v>
      </c>
      <c r="X95" s="11">
        <v>7</v>
      </c>
      <c r="Y95" s="11">
        <v>7</v>
      </c>
      <c r="Z95" s="3" t="s">
        <v>581</v>
      </c>
      <c r="AA95" s="10" t="s">
        <v>582</v>
      </c>
      <c r="AB95" s="5">
        <f>1446.3+40+1562+377+480+165+900</f>
        <v>4970.3</v>
      </c>
      <c r="AC95" s="6">
        <f>18.33+3+46.5+0.7+0+6.67+0</f>
        <v>75.2</v>
      </c>
      <c r="AD95" s="6">
        <f>0.83+2+4+0+4+0.1+0</f>
        <v>10.93</v>
      </c>
      <c r="AE95" s="6">
        <f>136+4+91.5+0.3+2.67+5.5+18</f>
        <v>257.97000000000003</v>
      </c>
      <c r="AF95" s="6">
        <f>176.92+0+202+10.9+69.3+33.4+207</f>
        <v>699.52</v>
      </c>
      <c r="AG95" s="6">
        <f>40.75+0+74.5+0+2.67+1.3+126</f>
        <v>245.22</v>
      </c>
      <c r="AH95" s="6">
        <f>3254.67+200+3955+0+226.67+322+45</f>
        <v>8003.34</v>
      </c>
      <c r="AI95" s="6">
        <f t="shared" si="1"/>
        <v>1.5129871436331811E-2</v>
      </c>
      <c r="AJ95" s="6">
        <f t="shared" si="2"/>
        <v>2.1990624308391845E-3</v>
      </c>
      <c r="AK95" s="6">
        <f t="shared" si="3"/>
        <v>5.1902299659980285E-2</v>
      </c>
      <c r="AL95" s="6">
        <f t="shared" si="4"/>
        <v>0.14073999557370781</v>
      </c>
      <c r="AM95" s="6">
        <f t="shared" si="5"/>
        <v>4.9337062149166042E-2</v>
      </c>
      <c r="AN95" s="6">
        <f t="shared" si="6"/>
        <v>1.6102327827294127</v>
      </c>
      <c r="AO95" s="7">
        <v>4</v>
      </c>
      <c r="AP95" s="7">
        <v>1</v>
      </c>
      <c r="AQ95" s="7">
        <v>1</v>
      </c>
      <c r="AR95" s="10">
        <v>0</v>
      </c>
      <c r="AS95" s="7">
        <v>0</v>
      </c>
      <c r="AT95" s="7">
        <v>0</v>
      </c>
      <c r="AU95" s="7">
        <v>0</v>
      </c>
      <c r="AV95" s="7">
        <v>0</v>
      </c>
      <c r="AW95" s="7">
        <v>31</v>
      </c>
      <c r="AX95" s="7">
        <v>1</v>
      </c>
      <c r="AY95" s="5">
        <v>6.5</v>
      </c>
      <c r="AZ95" s="7">
        <v>0</v>
      </c>
      <c r="BA95" s="7">
        <v>0</v>
      </c>
      <c r="BB95" s="7">
        <v>0</v>
      </c>
      <c r="BC95" s="7">
        <v>1</v>
      </c>
      <c r="BD95" s="7">
        <v>1</v>
      </c>
      <c r="BE95" s="7">
        <v>0</v>
      </c>
      <c r="BF95" s="7">
        <v>0</v>
      </c>
      <c r="BG95" s="7">
        <v>0</v>
      </c>
      <c r="BH95" s="7">
        <v>0</v>
      </c>
      <c r="BI95" s="7">
        <v>0</v>
      </c>
      <c r="BJ95" s="3">
        <v>1</v>
      </c>
    </row>
    <row r="96" spans="1:62" ht="20.100000000000001" customHeight="1" x14ac:dyDescent="0.3">
      <c r="A96" s="3" t="s">
        <v>15</v>
      </c>
      <c r="B96" s="3">
        <v>1</v>
      </c>
      <c r="C96" s="8">
        <v>44305</v>
      </c>
      <c r="D96" s="9">
        <v>0.41180555555555554</v>
      </c>
      <c r="E96" s="4">
        <v>74</v>
      </c>
      <c r="F96" s="3">
        <v>0</v>
      </c>
      <c r="G96" s="3">
        <v>0</v>
      </c>
      <c r="H96" s="3">
        <v>0</v>
      </c>
      <c r="I96" s="3">
        <v>0</v>
      </c>
      <c r="J96" s="9">
        <v>0.42222222222222222</v>
      </c>
      <c r="K96" s="3">
        <v>142.6</v>
      </c>
      <c r="L96" s="11">
        <f t="shared" ref="L96" si="150">K96-K95</f>
        <v>3.4000000000000057</v>
      </c>
      <c r="M96" s="5">
        <f t="shared" ref="M96" si="151">AB95</f>
        <v>4970.3</v>
      </c>
      <c r="N96" s="11">
        <v>30</v>
      </c>
      <c r="O96" s="11">
        <v>31.5</v>
      </c>
      <c r="P96" s="11">
        <v>10.5</v>
      </c>
      <c r="Q96" s="11">
        <v>10.5</v>
      </c>
      <c r="R96" s="11">
        <v>19.5</v>
      </c>
      <c r="S96" s="11">
        <v>19.5</v>
      </c>
      <c r="T96" s="11">
        <v>11</v>
      </c>
      <c r="U96" s="11">
        <v>11</v>
      </c>
      <c r="V96" s="11">
        <v>15</v>
      </c>
      <c r="W96" s="11">
        <v>14</v>
      </c>
      <c r="X96" s="11">
        <v>7</v>
      </c>
      <c r="Y96" s="11">
        <v>7</v>
      </c>
      <c r="Z96" s="3" t="s">
        <v>583</v>
      </c>
      <c r="AA96" s="10" t="s">
        <v>586</v>
      </c>
      <c r="AB96" s="5">
        <f>1446.33+20+644+578.5+102</f>
        <v>2790.83</v>
      </c>
      <c r="AC96" s="6">
        <f>18.33+1.5+58+11.08+10.2</f>
        <v>99.11</v>
      </c>
      <c r="AD96" s="6">
        <f>0.83+1+8+2.15+6.4</f>
        <v>18.380000000000003</v>
      </c>
      <c r="AE96" s="6">
        <f>136+2+8+17.7+2.2</f>
        <v>165.89999999999998</v>
      </c>
      <c r="AF96" s="6">
        <f>176.92+0+34+101.75+0.8</f>
        <v>313.46999999999997</v>
      </c>
      <c r="AG96" s="6">
        <f>40.75+0+36+8.25+0</f>
        <v>85</v>
      </c>
      <c r="AH96" s="6">
        <f>3254.67+100+28+1731+86</f>
        <v>5199.67</v>
      </c>
      <c r="AI96" s="6">
        <f t="shared" si="1"/>
        <v>3.5512732771254434E-2</v>
      </c>
      <c r="AJ96" s="6">
        <f t="shared" si="2"/>
        <v>6.5858543874044648E-3</v>
      </c>
      <c r="AK96" s="6">
        <f t="shared" si="3"/>
        <v>5.9444681331360195E-2</v>
      </c>
      <c r="AL96" s="6">
        <f t="shared" si="4"/>
        <v>0.11232142409247427</v>
      </c>
      <c r="AM96" s="6">
        <f t="shared" si="5"/>
        <v>3.0456889169171896E-2</v>
      </c>
      <c r="AN96" s="6">
        <f t="shared" si="6"/>
        <v>1.8631267400737417</v>
      </c>
      <c r="AO96" s="7">
        <v>4</v>
      </c>
      <c r="AP96" s="7">
        <v>1</v>
      </c>
      <c r="AQ96" s="7">
        <v>0</v>
      </c>
      <c r="AR96" s="10">
        <v>0</v>
      </c>
      <c r="AS96" s="7">
        <v>0</v>
      </c>
      <c r="AT96" s="7">
        <v>0</v>
      </c>
      <c r="AU96" s="7">
        <v>0</v>
      </c>
      <c r="AV96" s="7">
        <v>0</v>
      </c>
      <c r="AW96" s="7">
        <v>31</v>
      </c>
      <c r="AX96" s="7">
        <v>1</v>
      </c>
      <c r="AY96" s="5">
        <v>5.5</v>
      </c>
      <c r="AZ96" s="7">
        <v>1</v>
      </c>
      <c r="BA96" s="7">
        <v>1</v>
      </c>
      <c r="BB96" s="7">
        <v>1</v>
      </c>
      <c r="BC96" s="7">
        <v>1</v>
      </c>
      <c r="BD96" s="7">
        <v>0</v>
      </c>
      <c r="BE96" s="7">
        <v>0</v>
      </c>
      <c r="BF96" s="7">
        <v>0</v>
      </c>
      <c r="BG96" s="7">
        <v>0</v>
      </c>
      <c r="BH96" s="7">
        <v>0</v>
      </c>
      <c r="BI96" s="7">
        <v>0</v>
      </c>
      <c r="BJ96" s="3">
        <v>1</v>
      </c>
    </row>
    <row r="97" spans="1:62" ht="20.100000000000001" customHeight="1" x14ac:dyDescent="0.3">
      <c r="A97" s="3" t="s">
        <v>16</v>
      </c>
      <c r="B97" s="3">
        <v>2</v>
      </c>
      <c r="C97" s="8">
        <v>44306</v>
      </c>
      <c r="D97" s="9">
        <v>0.28472222222222221</v>
      </c>
      <c r="E97" s="4">
        <v>53</v>
      </c>
      <c r="F97" s="3">
        <v>0</v>
      </c>
      <c r="G97" s="3">
        <v>0</v>
      </c>
      <c r="H97" s="3">
        <v>0</v>
      </c>
      <c r="I97" s="3">
        <v>0</v>
      </c>
      <c r="J97" s="9">
        <v>0.28541666666666665</v>
      </c>
      <c r="K97" s="3">
        <v>142.6</v>
      </c>
      <c r="L97" s="11">
        <f t="shared" ref="L97" si="152">K97-K96</f>
        <v>0</v>
      </c>
      <c r="M97" s="5">
        <f t="shared" ref="M97" si="153">AB96</f>
        <v>2790.83</v>
      </c>
      <c r="N97" s="11">
        <v>30.5</v>
      </c>
      <c r="O97" s="11">
        <v>31.5</v>
      </c>
      <c r="P97" s="11">
        <v>10.25</v>
      </c>
      <c r="Q97" s="11">
        <v>10.5</v>
      </c>
      <c r="R97" s="11">
        <v>19.5</v>
      </c>
      <c r="S97" s="11">
        <v>19.5</v>
      </c>
      <c r="T97" s="11">
        <v>13</v>
      </c>
      <c r="U97" s="11">
        <v>11</v>
      </c>
      <c r="V97" s="11">
        <v>15</v>
      </c>
      <c r="W97" s="11">
        <v>15</v>
      </c>
      <c r="X97" s="11">
        <v>7</v>
      </c>
      <c r="Y97" s="11">
        <v>7</v>
      </c>
      <c r="Z97" s="3" t="s">
        <v>595</v>
      </c>
      <c r="AA97" s="10" t="s">
        <v>594</v>
      </c>
      <c r="AB97" s="5">
        <f>240+40+120+23.3+40+300+160+380+380+240+190</f>
        <v>2113.3000000000002</v>
      </c>
      <c r="AC97" s="6">
        <f>4+0.3+10+0.3+0.2+3+10+14+14+20+7</f>
        <v>82.8</v>
      </c>
      <c r="AD97" s="6">
        <f>0+0+0+0+0+0+7+2+1.5+14+1.5</f>
        <v>26</v>
      </c>
      <c r="AE97" s="6">
        <f>36+0+4+0+0.44+6+12+12+6+6+4+4</f>
        <v>90.44</v>
      </c>
      <c r="AF97" s="6">
        <f>12+10+4+6.33+8.89+63+2+60+61+8+29</f>
        <v>264.22000000000003</v>
      </c>
      <c r="AG97" s="6">
        <f>2+3.33+4+1.33+0.89+6+0+3+3+0+2</f>
        <v>25.55</v>
      </c>
      <c r="AH97" s="6">
        <f>720+0+680+0+0+60+380+950+960+60+340</f>
        <v>4150</v>
      </c>
      <c r="AI97" s="6">
        <f t="shared" si="1"/>
        <v>3.9180428713386645E-2</v>
      </c>
      <c r="AJ97" s="6">
        <f t="shared" si="2"/>
        <v>1.2303033170870201E-2</v>
      </c>
      <c r="AK97" s="6">
        <f t="shared" si="3"/>
        <v>4.2795627691288501E-2</v>
      </c>
      <c r="AL97" s="6">
        <f t="shared" si="4"/>
        <v>0.12502720863105096</v>
      </c>
      <c r="AM97" s="6">
        <f t="shared" si="5"/>
        <v>1.2090096058297448E-2</v>
      </c>
      <c r="AN97" s="6">
        <f t="shared" si="6"/>
        <v>1.9637533715042823</v>
      </c>
      <c r="AO97" s="7">
        <v>4</v>
      </c>
      <c r="AP97" s="7">
        <v>1</v>
      </c>
      <c r="AQ97" s="7">
        <v>0</v>
      </c>
      <c r="AR97" s="10">
        <v>0</v>
      </c>
      <c r="AS97" s="7">
        <v>0</v>
      </c>
      <c r="AT97" s="7">
        <v>0</v>
      </c>
      <c r="AU97" s="7">
        <v>0</v>
      </c>
      <c r="AV97" s="7">
        <v>0</v>
      </c>
      <c r="AW97" s="7">
        <v>31</v>
      </c>
      <c r="AX97" s="7">
        <v>1</v>
      </c>
      <c r="AY97" s="5">
        <v>6.5</v>
      </c>
      <c r="AZ97" s="7">
        <v>1</v>
      </c>
      <c r="BA97" s="7">
        <v>1</v>
      </c>
      <c r="BB97" s="7">
        <v>1</v>
      </c>
      <c r="BC97" s="7">
        <v>1</v>
      </c>
      <c r="BD97" s="7">
        <v>1</v>
      </c>
      <c r="BE97" s="7">
        <v>1</v>
      </c>
      <c r="BF97" s="7">
        <v>0</v>
      </c>
      <c r="BG97" s="7">
        <v>0</v>
      </c>
      <c r="BH97" s="7">
        <v>0</v>
      </c>
      <c r="BI97" s="7">
        <v>0</v>
      </c>
      <c r="BJ97" s="3">
        <v>1</v>
      </c>
    </row>
    <row r="98" spans="1:62" ht="20.100000000000001" customHeight="1" x14ac:dyDescent="0.3">
      <c r="A98" s="3" t="s">
        <v>17</v>
      </c>
      <c r="B98" s="3">
        <v>3</v>
      </c>
      <c r="C98" s="8">
        <v>44307</v>
      </c>
      <c r="D98" s="9">
        <v>0.20138888888888887</v>
      </c>
      <c r="E98" s="4">
        <v>55</v>
      </c>
      <c r="F98" s="3">
        <v>0</v>
      </c>
      <c r="G98" s="3">
        <v>0</v>
      </c>
      <c r="H98" s="3">
        <v>0</v>
      </c>
      <c r="I98" s="3">
        <v>0</v>
      </c>
      <c r="J98" s="9">
        <v>0.32847222222222222</v>
      </c>
      <c r="K98" s="3">
        <v>140.80000000000001</v>
      </c>
      <c r="L98" s="11">
        <f t="shared" ref="L98" si="154">K98-K97</f>
        <v>-1.7999999999999829</v>
      </c>
      <c r="M98" s="5">
        <f t="shared" ref="M98" si="155">AB97</f>
        <v>2113.3000000000002</v>
      </c>
      <c r="N98" s="11">
        <v>29.75</v>
      </c>
      <c r="O98" s="11">
        <v>31</v>
      </c>
      <c r="P98" s="11">
        <v>10.5</v>
      </c>
      <c r="Q98" s="11">
        <v>10.5</v>
      </c>
      <c r="R98" s="11">
        <v>19.5</v>
      </c>
      <c r="S98" s="11">
        <v>19.5</v>
      </c>
      <c r="T98" s="11">
        <v>11</v>
      </c>
      <c r="U98" s="11">
        <v>11</v>
      </c>
      <c r="V98" s="11">
        <v>16</v>
      </c>
      <c r="W98" s="11">
        <v>15</v>
      </c>
      <c r="X98" s="11">
        <v>7</v>
      </c>
      <c r="Y98" s="11">
        <v>7</v>
      </c>
      <c r="Z98" s="3" t="s">
        <v>596</v>
      </c>
      <c r="AA98" s="10" t="s">
        <v>601</v>
      </c>
      <c r="AB98" s="5">
        <f>240+90+52.5+120+400+160+290.33+300+70+680</f>
        <v>2402.83</v>
      </c>
      <c r="AC98" s="6">
        <f>4+0.5+0.75+10+4+10+24.67+25+5+25</f>
        <v>108.92</v>
      </c>
      <c r="AD98" s="6">
        <f>0+0+0+0+0+7+4.33+17.5+3.5+7</f>
        <v>39.33</v>
      </c>
      <c r="AE98" s="6">
        <f>36+1+0+4+8+12+7.67+5+1+18</f>
        <v>92.67</v>
      </c>
      <c r="AF98" s="6">
        <f>12+20+14.25+4+84+2+8+10+4+98</f>
        <v>256.25</v>
      </c>
      <c r="AG98" s="6">
        <f>2+2+3+4+8+0+2+0+0+5</f>
        <v>26</v>
      </c>
      <c r="AH98" s="6">
        <f>720+0+0+680+80+380+119.67+75+15+1040</f>
        <v>3109.67</v>
      </c>
      <c r="AI98" s="6">
        <f t="shared" si="1"/>
        <v>4.5329881847654643E-2</v>
      </c>
      <c r="AJ98" s="6">
        <f t="shared" si="2"/>
        <v>1.6368199165151094E-2</v>
      </c>
      <c r="AK98" s="6">
        <f t="shared" si="3"/>
        <v>3.8567023051984534E-2</v>
      </c>
      <c r="AL98" s="6">
        <f t="shared" si="4"/>
        <v>0.10664508100864398</v>
      </c>
      <c r="AM98" s="6">
        <f t="shared" si="5"/>
        <v>1.0820574073072169E-2</v>
      </c>
      <c r="AN98" s="6">
        <f t="shared" si="6"/>
        <v>1.2941697914542436</v>
      </c>
      <c r="AO98" s="7">
        <v>4</v>
      </c>
      <c r="AP98" s="7">
        <v>1</v>
      </c>
      <c r="AQ98" s="7">
        <v>0</v>
      </c>
      <c r="AR98" s="10">
        <v>0</v>
      </c>
      <c r="AS98" s="7">
        <v>0</v>
      </c>
      <c r="AT98" s="7">
        <v>0</v>
      </c>
      <c r="AU98" s="7">
        <v>0</v>
      </c>
      <c r="AV98" s="7">
        <v>0</v>
      </c>
      <c r="AW98" s="7">
        <v>31</v>
      </c>
      <c r="AX98" s="7">
        <v>1</v>
      </c>
      <c r="AY98" s="5">
        <v>6</v>
      </c>
      <c r="AZ98" s="7">
        <v>1</v>
      </c>
      <c r="BA98" s="7">
        <v>1</v>
      </c>
      <c r="BB98" s="7">
        <v>0</v>
      </c>
      <c r="BC98" s="7">
        <v>1</v>
      </c>
      <c r="BD98" s="7">
        <v>1</v>
      </c>
      <c r="BE98" s="7">
        <v>2</v>
      </c>
      <c r="BF98" s="7">
        <v>0</v>
      </c>
      <c r="BG98" s="7">
        <v>0</v>
      </c>
      <c r="BH98" s="7">
        <v>0</v>
      </c>
      <c r="BI98" s="7">
        <v>0</v>
      </c>
      <c r="BJ98" s="3">
        <v>1</v>
      </c>
    </row>
    <row r="99" spans="1:62" ht="20.100000000000001" customHeight="1" x14ac:dyDescent="0.3">
      <c r="A99" s="3" t="s">
        <v>18</v>
      </c>
      <c r="B99" s="3">
        <v>4</v>
      </c>
      <c r="C99" s="8">
        <v>44308</v>
      </c>
      <c r="D99" s="9">
        <v>0.88750000000000007</v>
      </c>
      <c r="E99" s="4">
        <v>55</v>
      </c>
      <c r="F99" s="3">
        <v>0</v>
      </c>
      <c r="G99" s="3">
        <v>0</v>
      </c>
      <c r="H99" s="3">
        <v>0</v>
      </c>
      <c r="I99" s="3">
        <v>0</v>
      </c>
      <c r="J99" s="9">
        <v>0.30416666666666664</v>
      </c>
      <c r="K99" s="3">
        <v>139.4</v>
      </c>
      <c r="L99" s="11">
        <f t="shared" ref="L99" si="156">K99-K98</f>
        <v>-1.4000000000000057</v>
      </c>
      <c r="M99" s="5">
        <f t="shared" ref="M99" si="157">AB98</f>
        <v>2402.83</v>
      </c>
      <c r="N99" s="11">
        <v>30.75</v>
      </c>
      <c r="O99" s="11">
        <v>31.625</v>
      </c>
      <c r="P99" s="11">
        <v>10.5</v>
      </c>
      <c r="Q99" s="11">
        <v>10.5</v>
      </c>
      <c r="R99" s="11">
        <v>19.13</v>
      </c>
      <c r="S99" s="11">
        <v>18.88</v>
      </c>
      <c r="T99" s="11">
        <v>12</v>
      </c>
      <c r="U99" s="11">
        <v>11</v>
      </c>
      <c r="V99" s="11">
        <v>14</v>
      </c>
      <c r="W99" s="11">
        <v>13</v>
      </c>
      <c r="X99" s="11">
        <v>7</v>
      </c>
      <c r="Y99" s="11">
        <v>7</v>
      </c>
      <c r="Z99" s="3" t="s">
        <v>602</v>
      </c>
      <c r="AA99" s="10" t="s">
        <v>604</v>
      </c>
      <c r="AB99" s="5">
        <f>580.67+240+120+70+90+90+800+600+480+104</f>
        <v>3174.67</v>
      </c>
      <c r="AC99" s="6">
        <f>49.33+20+2+1+0.5+7.5+20+6+30+2</f>
        <v>138.32999999999998</v>
      </c>
      <c r="AD99" s="6">
        <f>8.67+14+0+0+0+0+10+0+21+0</f>
        <v>53.67</v>
      </c>
      <c r="AE99" s="6">
        <f>15.33+4+18+0+1+3+8+12+36+2</f>
        <v>99.33</v>
      </c>
      <c r="AF99" s="6">
        <f>16+8+6+19+20+3+148+126+6+20</f>
        <v>372</v>
      </c>
      <c r="AG99" s="6">
        <f>4+0+1+4+2+3+2+12+0+2</f>
        <v>30</v>
      </c>
      <c r="AH99" s="6">
        <f>239.33+60+360+0+0+510+480+120+1140+52</f>
        <v>2961.33</v>
      </c>
      <c r="AI99" s="6">
        <f t="shared" si="1"/>
        <v>4.3573032787659817E-2</v>
      </c>
      <c r="AJ99" s="6">
        <f t="shared" si="2"/>
        <v>1.6905694135138455E-2</v>
      </c>
      <c r="AK99" s="6">
        <f t="shared" si="3"/>
        <v>3.1288291381466417E-2</v>
      </c>
      <c r="AL99" s="6">
        <f t="shared" si="4"/>
        <v>0.11717753341292166</v>
      </c>
      <c r="AM99" s="6">
        <f t="shared" si="5"/>
        <v>9.4498010816872306E-3</v>
      </c>
      <c r="AN99" s="6">
        <f t="shared" si="6"/>
        <v>0.93279931457442822</v>
      </c>
      <c r="AO99" s="7">
        <v>4</v>
      </c>
      <c r="AP99" s="7">
        <v>1</v>
      </c>
      <c r="AQ99" s="7">
        <v>0</v>
      </c>
      <c r="AR99" s="10">
        <v>0</v>
      </c>
      <c r="AS99" s="7">
        <v>0</v>
      </c>
      <c r="AT99" s="7">
        <v>0</v>
      </c>
      <c r="AU99" s="7">
        <v>0</v>
      </c>
      <c r="AV99" s="7">
        <v>0</v>
      </c>
      <c r="AW99" s="7">
        <v>0</v>
      </c>
      <c r="AX99" s="7">
        <v>0</v>
      </c>
      <c r="AY99" s="5">
        <v>6</v>
      </c>
      <c r="AZ99" s="7">
        <v>0</v>
      </c>
      <c r="BA99" s="7">
        <v>1</v>
      </c>
      <c r="BB99" s="7">
        <v>0</v>
      </c>
      <c r="BC99" s="7">
        <v>1</v>
      </c>
      <c r="BD99" s="7">
        <v>1</v>
      </c>
      <c r="BE99" s="7">
        <v>1</v>
      </c>
      <c r="BF99" s="7">
        <v>1</v>
      </c>
      <c r="BG99" s="7">
        <v>10</v>
      </c>
      <c r="BH99" s="7">
        <v>0</v>
      </c>
      <c r="BI99" s="7">
        <v>0</v>
      </c>
      <c r="BJ99" s="3">
        <v>1</v>
      </c>
    </row>
    <row r="100" spans="1:62" ht="20.100000000000001" customHeight="1" x14ac:dyDescent="0.3">
      <c r="A100" s="3" t="s">
        <v>137</v>
      </c>
      <c r="B100" s="3">
        <v>5</v>
      </c>
      <c r="C100" s="8">
        <v>44309</v>
      </c>
      <c r="D100" s="9">
        <v>0.27083333333333331</v>
      </c>
      <c r="E100" s="4">
        <v>55</v>
      </c>
      <c r="F100" s="3">
        <v>0</v>
      </c>
      <c r="G100" s="3">
        <v>0</v>
      </c>
      <c r="H100" s="3">
        <v>0</v>
      </c>
      <c r="I100" s="3">
        <v>0</v>
      </c>
      <c r="J100" s="9">
        <v>0.2722222222222222</v>
      </c>
      <c r="K100" s="3">
        <v>139.4</v>
      </c>
      <c r="L100" s="11">
        <f t="shared" ref="L100" si="158">K100-K99</f>
        <v>0</v>
      </c>
      <c r="M100" s="5">
        <f t="shared" ref="M100" si="159">AB99</f>
        <v>3174.67</v>
      </c>
      <c r="N100" s="11">
        <v>30.5</v>
      </c>
      <c r="O100" s="11">
        <v>31.5</v>
      </c>
      <c r="P100" s="11">
        <v>10.375</v>
      </c>
      <c r="Q100" s="11">
        <v>10.375</v>
      </c>
      <c r="R100" s="11">
        <v>19.25</v>
      </c>
      <c r="S100" s="11">
        <v>19.25</v>
      </c>
      <c r="T100" s="11">
        <v>11</v>
      </c>
      <c r="U100" s="11">
        <v>9</v>
      </c>
      <c r="V100" s="11">
        <v>15</v>
      </c>
      <c r="W100" s="11">
        <v>15</v>
      </c>
      <c r="X100" s="11">
        <v>7</v>
      </c>
      <c r="Y100" s="11">
        <v>7</v>
      </c>
      <c r="Z100" s="3" t="s">
        <v>612</v>
      </c>
      <c r="AA100" s="10" t="s">
        <v>611</v>
      </c>
      <c r="AB100" s="5">
        <f>400+150+70+90+648.5+96+290.3+160+90+140+370</f>
        <v>2504.8000000000002</v>
      </c>
      <c r="AC100" s="6">
        <f>10+2.5+1+0.5+12.075+4.5+24.67+10+7.5+7+15</f>
        <v>94.745000000000005</v>
      </c>
      <c r="AD100" s="6">
        <f>5+0+0+0+2.15+1.5+4.33+7+5.25+0.5+15</f>
        <v>40.730000000000004</v>
      </c>
      <c r="AE100" s="6">
        <f>4+22.5+0+1+17.7+1.1+7.67+12+1.5+2+0</f>
        <v>69.47</v>
      </c>
      <c r="AF100" s="6">
        <f>74+7.5+19+20+120.75+13.4+8+2+3+16+60</f>
        <v>343.65</v>
      </c>
      <c r="AG100" s="6">
        <f>1+1.25+4+2+12.25+0.5+2+0+0+1+0</f>
        <v>24</v>
      </c>
      <c r="AH100" s="6">
        <f>240+450+0+0+1731+63+119.67+380+22.5+120+25</f>
        <v>3151.17</v>
      </c>
      <c r="AI100" s="6">
        <f t="shared" si="1"/>
        <v>3.7825375279463426E-2</v>
      </c>
      <c r="AJ100" s="6">
        <f t="shared" si="2"/>
        <v>1.6260779303736827E-2</v>
      </c>
      <c r="AK100" s="6">
        <f t="shared" si="3"/>
        <v>2.7734749281379749E-2</v>
      </c>
      <c r="AL100" s="6">
        <f t="shared" si="4"/>
        <v>0.13719658256148193</v>
      </c>
      <c r="AM100" s="6">
        <f t="shared" si="5"/>
        <v>9.5816033216224849E-3</v>
      </c>
      <c r="AN100" s="6">
        <f t="shared" si="6"/>
        <v>1.2580525391248802</v>
      </c>
      <c r="AO100" s="7">
        <v>4</v>
      </c>
      <c r="AP100" s="7">
        <v>1</v>
      </c>
      <c r="AQ100" s="7">
        <v>0</v>
      </c>
      <c r="AR100" s="10">
        <v>0</v>
      </c>
      <c r="AS100" s="7">
        <v>0</v>
      </c>
      <c r="AT100" s="7">
        <v>0</v>
      </c>
      <c r="AU100" s="7">
        <v>0</v>
      </c>
      <c r="AV100" s="7">
        <v>0</v>
      </c>
      <c r="AW100" s="7">
        <v>31</v>
      </c>
      <c r="AX100" s="7">
        <v>1</v>
      </c>
      <c r="AY100" s="5">
        <v>6</v>
      </c>
      <c r="AZ100" s="7">
        <v>0</v>
      </c>
      <c r="BA100" s="7">
        <v>1</v>
      </c>
      <c r="BB100" s="7">
        <v>0</v>
      </c>
      <c r="BC100" s="7">
        <v>1</v>
      </c>
      <c r="BD100" s="7">
        <v>1</v>
      </c>
      <c r="BE100" s="7">
        <v>1</v>
      </c>
      <c r="BF100" s="7">
        <v>0</v>
      </c>
      <c r="BG100" s="7">
        <v>0</v>
      </c>
      <c r="BH100" s="7">
        <v>0</v>
      </c>
      <c r="BI100" s="7">
        <v>0</v>
      </c>
      <c r="BJ100" s="3">
        <v>1</v>
      </c>
    </row>
    <row r="101" spans="1:62" ht="20.100000000000001" customHeight="1" x14ac:dyDescent="0.3">
      <c r="A101" s="3" t="s">
        <v>19</v>
      </c>
      <c r="B101" s="3">
        <v>6</v>
      </c>
      <c r="C101" s="8">
        <v>44310</v>
      </c>
      <c r="D101" s="9">
        <v>0.26597222222222222</v>
      </c>
      <c r="E101" s="4">
        <v>56</v>
      </c>
      <c r="F101" s="3">
        <v>0</v>
      </c>
      <c r="G101" s="3">
        <v>0</v>
      </c>
      <c r="H101" s="3">
        <v>0</v>
      </c>
      <c r="I101" s="3">
        <v>0</v>
      </c>
      <c r="J101" s="9">
        <v>0.27708333333333335</v>
      </c>
      <c r="K101" s="3">
        <v>139.4</v>
      </c>
      <c r="L101" s="11">
        <f t="shared" ref="L101" si="160">K101-K100</f>
        <v>0</v>
      </c>
      <c r="M101" s="5">
        <f t="shared" ref="M101" si="161">AB100</f>
        <v>2504.8000000000002</v>
      </c>
      <c r="N101" s="11">
        <v>30.75</v>
      </c>
      <c r="O101" s="11">
        <v>32</v>
      </c>
      <c r="P101" s="11">
        <v>10.375</v>
      </c>
      <c r="Q101" s="11">
        <v>10.375</v>
      </c>
      <c r="R101" s="11">
        <v>19.25</v>
      </c>
      <c r="S101" s="11">
        <v>19.5</v>
      </c>
      <c r="T101" s="11">
        <v>12</v>
      </c>
      <c r="U101" s="11">
        <v>11</v>
      </c>
      <c r="V101" s="11">
        <v>16</v>
      </c>
      <c r="W101" s="11">
        <v>15</v>
      </c>
      <c r="X101" s="11">
        <v>7</v>
      </c>
      <c r="Y101" s="11">
        <v>7.5</v>
      </c>
      <c r="Z101" s="3" t="s">
        <v>618</v>
      </c>
      <c r="AA101" s="10" t="s">
        <v>617</v>
      </c>
      <c r="AB101" s="5">
        <f>522.3+290.3+320+300+420+280+370+450+254</f>
        <v>3206.6</v>
      </c>
      <c r="AC101" s="6">
        <f>38.07+24.67+20+25+21+14+15+0+0</f>
        <v>157.74</v>
      </c>
      <c r="AD101" s="6">
        <f>8.7+4.3+14+17.5+1.5+1+15+0+0</f>
        <v>62</v>
      </c>
      <c r="AE101" s="6">
        <f>27.93+7.67+24+5+6+4+0+9+1</f>
        <v>84.6</v>
      </c>
      <c r="AF101" s="6">
        <f>17.23+8+4+10+48+32+60+42+22.8</f>
        <v>244.03000000000003</v>
      </c>
      <c r="AG101" s="6">
        <f>6.27+2+0+0+3+2+0+9+0</f>
        <v>22.27</v>
      </c>
      <c r="AH101" s="6">
        <f>469+119.67+760+75+240+240+25+90+0</f>
        <v>2018.67</v>
      </c>
      <c r="AI101" s="6">
        <f t="shared" si="1"/>
        <v>4.9192290900018719E-2</v>
      </c>
      <c r="AJ101" s="6">
        <f t="shared" si="2"/>
        <v>1.9335121312293396E-2</v>
      </c>
      <c r="AK101" s="6">
        <f t="shared" si="3"/>
        <v>2.6383084887419694E-2</v>
      </c>
      <c r="AL101" s="6">
        <f t="shared" si="4"/>
        <v>7.61024137715961E-2</v>
      </c>
      <c r="AM101" s="6">
        <f t="shared" si="5"/>
        <v>6.9450508326576437E-3</v>
      </c>
      <c r="AN101" s="6">
        <f t="shared" si="6"/>
        <v>0.62953595708850496</v>
      </c>
      <c r="AO101" s="7">
        <v>4</v>
      </c>
      <c r="AP101" s="7">
        <v>1</v>
      </c>
      <c r="AQ101" s="7">
        <v>0</v>
      </c>
      <c r="AR101" s="10">
        <v>0</v>
      </c>
      <c r="AS101" s="7">
        <v>0</v>
      </c>
      <c r="AT101" s="7">
        <v>0</v>
      </c>
      <c r="AU101" s="7">
        <v>0</v>
      </c>
      <c r="AV101" s="7">
        <v>0</v>
      </c>
      <c r="AW101" s="7">
        <v>31</v>
      </c>
      <c r="AX101" s="7">
        <v>1</v>
      </c>
      <c r="AY101" s="5">
        <v>7</v>
      </c>
      <c r="AZ101" s="7">
        <v>0</v>
      </c>
      <c r="BA101" s="7">
        <v>0</v>
      </c>
      <c r="BB101" s="7">
        <v>0</v>
      </c>
      <c r="BC101" s="7">
        <v>1</v>
      </c>
      <c r="BD101" s="7">
        <v>1</v>
      </c>
      <c r="BE101" s="7">
        <v>0</v>
      </c>
      <c r="BF101" s="7">
        <v>0</v>
      </c>
      <c r="BG101" s="7">
        <v>0</v>
      </c>
      <c r="BH101" s="7">
        <v>0</v>
      </c>
      <c r="BI101" s="7">
        <v>0</v>
      </c>
      <c r="BJ101" s="3">
        <v>1</v>
      </c>
    </row>
    <row r="102" spans="1:62" ht="20.100000000000001" customHeight="1" x14ac:dyDescent="0.3">
      <c r="A102" s="3" t="s">
        <v>23</v>
      </c>
      <c r="B102" s="3">
        <v>7</v>
      </c>
      <c r="C102" s="8">
        <v>44311</v>
      </c>
      <c r="D102" s="9">
        <v>0.33194444444444443</v>
      </c>
      <c r="E102" s="4">
        <v>57</v>
      </c>
      <c r="F102" s="3">
        <v>0</v>
      </c>
      <c r="G102" s="3">
        <v>0</v>
      </c>
      <c r="H102" s="3">
        <v>0</v>
      </c>
      <c r="I102" s="3">
        <v>0</v>
      </c>
      <c r="J102" s="9">
        <v>0.33194444444444443</v>
      </c>
      <c r="K102" s="3">
        <v>140.80000000000001</v>
      </c>
      <c r="L102" s="11">
        <f t="shared" ref="L102" si="162">K102-K101</f>
        <v>1.4000000000000057</v>
      </c>
      <c r="M102" s="5">
        <f t="shared" ref="M102" si="163">AB101</f>
        <v>3206.6</v>
      </c>
      <c r="N102" s="11">
        <v>31</v>
      </c>
      <c r="O102" s="11">
        <v>32</v>
      </c>
      <c r="P102" s="11">
        <v>10.5</v>
      </c>
      <c r="Q102" s="11">
        <v>10.5</v>
      </c>
      <c r="R102" s="11">
        <v>19.5</v>
      </c>
      <c r="S102" s="11">
        <v>19.75</v>
      </c>
      <c r="T102" s="11">
        <v>12</v>
      </c>
      <c r="U102" s="11">
        <v>11</v>
      </c>
      <c r="V102" s="11">
        <v>16</v>
      </c>
      <c r="W102" s="11">
        <v>15</v>
      </c>
      <c r="X102" s="11">
        <v>7</v>
      </c>
      <c r="Y102" s="11">
        <v>7</v>
      </c>
      <c r="Z102" s="3" t="s">
        <v>619</v>
      </c>
      <c r="AA102" s="10" t="s">
        <v>622</v>
      </c>
      <c r="AB102" s="5">
        <f>840+320+1500.5+141.25+435+60+254+140</f>
        <v>3690.75</v>
      </c>
      <c r="AC102" s="6">
        <f>42+20+40.1+7.6+21+5+0+6</f>
        <v>141.69999999999999</v>
      </c>
      <c r="AD102" s="6">
        <f>3+14+34.73+1+2.8+3.5+0+0</f>
        <v>59.029999999999994</v>
      </c>
      <c r="AE102" s="6">
        <f>12+24+14.53+5.625+12+1+1+0</f>
        <v>70.155000000000001</v>
      </c>
      <c r="AF102" s="6">
        <f>96+4+164.2+13.5+49.5+2+22.8+20</f>
        <v>372</v>
      </c>
      <c r="AG102" s="6">
        <f>6+0+6.53+1.5+9.8+0+0+0</f>
        <v>23.830000000000002</v>
      </c>
      <c r="AH102" s="6">
        <f>720+760+991.33+125+595+15+0+60</f>
        <v>3266.33</v>
      </c>
      <c r="AI102" s="6">
        <f t="shared" si="1"/>
        <v>3.8393280498543653E-2</v>
      </c>
      <c r="AJ102" s="6">
        <f t="shared" si="2"/>
        <v>1.5994039151933887E-2</v>
      </c>
      <c r="AK102" s="6">
        <f t="shared" si="3"/>
        <v>1.9008331639910586E-2</v>
      </c>
      <c r="AL102" s="6">
        <f t="shared" si="4"/>
        <v>0.10079252184515343</v>
      </c>
      <c r="AM102" s="6">
        <f t="shared" si="5"/>
        <v>6.4566822461559308E-3</v>
      </c>
      <c r="AN102" s="6">
        <f t="shared" si="6"/>
        <v>0.88500440289913973</v>
      </c>
      <c r="AO102" s="7">
        <v>4</v>
      </c>
      <c r="AP102" s="7">
        <v>1</v>
      </c>
      <c r="AQ102" s="7">
        <v>0</v>
      </c>
      <c r="AR102" s="10">
        <v>0</v>
      </c>
      <c r="AS102" s="7">
        <v>0</v>
      </c>
      <c r="AT102" s="7">
        <v>0</v>
      </c>
      <c r="AU102" s="7">
        <v>0</v>
      </c>
      <c r="AV102" s="7">
        <v>0</v>
      </c>
      <c r="AW102" s="7">
        <v>31</v>
      </c>
      <c r="AX102" s="7">
        <v>1</v>
      </c>
      <c r="AY102" s="5">
        <v>7</v>
      </c>
      <c r="AZ102" s="7">
        <v>0</v>
      </c>
      <c r="BA102" s="7">
        <v>0</v>
      </c>
      <c r="BB102" s="7">
        <v>0</v>
      </c>
      <c r="BC102" s="7">
        <v>1</v>
      </c>
      <c r="BD102" s="7">
        <v>1</v>
      </c>
      <c r="BE102" s="7">
        <v>0</v>
      </c>
      <c r="BF102" s="7">
        <v>0</v>
      </c>
      <c r="BG102" s="7">
        <v>0</v>
      </c>
      <c r="BH102" s="7">
        <v>0</v>
      </c>
      <c r="BI102" s="7">
        <v>0</v>
      </c>
      <c r="BJ102" s="3">
        <v>1</v>
      </c>
    </row>
    <row r="103" spans="1:62" ht="20.100000000000001" customHeight="1" x14ac:dyDescent="0.3">
      <c r="A103" s="3" t="s">
        <v>15</v>
      </c>
      <c r="B103" s="3">
        <v>8</v>
      </c>
      <c r="C103" s="8">
        <v>44312</v>
      </c>
      <c r="D103" s="9">
        <v>0.25486111111111109</v>
      </c>
      <c r="E103" s="4">
        <v>53</v>
      </c>
      <c r="F103" s="3">
        <v>0</v>
      </c>
      <c r="G103" s="3">
        <v>0</v>
      </c>
      <c r="H103" s="3">
        <v>0</v>
      </c>
      <c r="I103" s="3">
        <v>0</v>
      </c>
      <c r="J103" s="9">
        <v>0.25486111111111109</v>
      </c>
      <c r="K103" s="3">
        <v>141.6</v>
      </c>
      <c r="L103" s="11">
        <f t="shared" ref="L103" si="164">K103-K102</f>
        <v>0.79999999999998295</v>
      </c>
      <c r="M103" s="5">
        <f t="shared" ref="M103" si="165">AB102</f>
        <v>3690.75</v>
      </c>
      <c r="N103" s="11">
        <v>31.25</v>
      </c>
      <c r="O103" s="11">
        <v>32.25</v>
      </c>
      <c r="P103" s="11">
        <v>10.5</v>
      </c>
      <c r="Q103" s="11">
        <v>10.625</v>
      </c>
      <c r="R103" s="11">
        <v>16.25</v>
      </c>
      <c r="S103" s="11">
        <v>19.5</v>
      </c>
      <c r="T103" s="11">
        <v>12</v>
      </c>
      <c r="U103" s="11">
        <v>11</v>
      </c>
      <c r="V103" s="11">
        <v>15</v>
      </c>
      <c r="W103" s="11">
        <v>14</v>
      </c>
      <c r="X103" s="11">
        <v>7</v>
      </c>
      <c r="Y103" s="11">
        <v>7</v>
      </c>
      <c r="Z103" s="3" t="s">
        <v>623</v>
      </c>
      <c r="AA103" s="10" t="s">
        <v>632</v>
      </c>
      <c r="AB103" s="5">
        <f>1077.3+320+736+120+420+360</f>
        <v>3033.3</v>
      </c>
      <c r="AC103" s="6">
        <f>76+24+30.4+8.5+21+24</f>
        <v>183.9</v>
      </c>
      <c r="AD103" s="6">
        <f>17.3+12+5.9+0+1.5+10</f>
        <v>46.7</v>
      </c>
      <c r="AE103" s="6">
        <f>58.33+24+27.18+2+6+8</f>
        <v>125.50999999999999</v>
      </c>
      <c r="AF103" s="6">
        <f>42.3+8+88.35+22+48+28</f>
        <v>236.64999999999998</v>
      </c>
      <c r="AG103" s="6">
        <f>14.3+0+12.13+1+3+4</f>
        <v>34.43</v>
      </c>
      <c r="AH103" s="6">
        <f>947.3+720+523.5+160+360+40</f>
        <v>2750.8</v>
      </c>
      <c r="AI103" s="6">
        <f t="shared" si="1"/>
        <v>6.0627039857580854E-2</v>
      </c>
      <c r="AJ103" s="6">
        <f t="shared" si="2"/>
        <v>1.539577357992945E-2</v>
      </c>
      <c r="AK103" s="6">
        <f t="shared" si="3"/>
        <v>4.1377377773382122E-2</v>
      </c>
      <c r="AL103" s="6">
        <f t="shared" si="4"/>
        <v>7.8017340849899433E-2</v>
      </c>
      <c r="AM103" s="6">
        <f t="shared" si="5"/>
        <v>1.1350674183232781E-2</v>
      </c>
      <c r="AN103" s="6">
        <f t="shared" si="6"/>
        <v>0.90686710842976292</v>
      </c>
      <c r="AO103" s="7">
        <v>4</v>
      </c>
      <c r="AP103" s="7">
        <v>1</v>
      </c>
      <c r="AQ103" s="7">
        <v>0</v>
      </c>
      <c r="AR103" s="10">
        <v>0</v>
      </c>
      <c r="AS103" s="7">
        <v>0</v>
      </c>
      <c r="AT103" s="7">
        <v>0</v>
      </c>
      <c r="AU103" s="7">
        <v>0</v>
      </c>
      <c r="AV103" s="7">
        <v>0</v>
      </c>
      <c r="AW103" s="7">
        <v>31</v>
      </c>
      <c r="AX103" s="7">
        <v>1</v>
      </c>
      <c r="AY103" s="5">
        <v>7</v>
      </c>
      <c r="AZ103" s="7">
        <v>0</v>
      </c>
      <c r="BA103" s="7">
        <v>1</v>
      </c>
      <c r="BB103" s="7">
        <v>0</v>
      </c>
      <c r="BC103" s="7">
        <v>1</v>
      </c>
      <c r="BD103" s="7">
        <v>1</v>
      </c>
      <c r="BE103" s="7">
        <v>0</v>
      </c>
      <c r="BF103" s="7">
        <v>0</v>
      </c>
      <c r="BG103" s="7">
        <v>0</v>
      </c>
      <c r="BH103" s="7">
        <v>0</v>
      </c>
      <c r="BI103" s="7">
        <v>0</v>
      </c>
      <c r="BJ103" s="3">
        <v>1</v>
      </c>
    </row>
    <row r="104" spans="1:62" ht="20.100000000000001" customHeight="1" x14ac:dyDescent="0.3">
      <c r="A104" s="3" t="s">
        <v>16</v>
      </c>
      <c r="B104" s="3">
        <v>9</v>
      </c>
      <c r="C104" s="8">
        <v>44313</v>
      </c>
      <c r="D104" s="9">
        <v>0.27569444444444446</v>
      </c>
      <c r="E104" s="4">
        <v>50</v>
      </c>
      <c r="F104" s="3">
        <v>0</v>
      </c>
      <c r="G104" s="3">
        <v>0</v>
      </c>
      <c r="H104" s="3">
        <v>0</v>
      </c>
      <c r="I104" s="3">
        <v>0</v>
      </c>
      <c r="J104" s="9">
        <v>0.27916666666666667</v>
      </c>
      <c r="K104" s="3">
        <v>141.6</v>
      </c>
      <c r="L104" s="11">
        <f t="shared" ref="L104" si="166">K104-K103</f>
        <v>0</v>
      </c>
      <c r="M104" s="5">
        <f t="shared" ref="M104" si="167">AB103</f>
        <v>3033.3</v>
      </c>
      <c r="N104" s="11">
        <v>31.5</v>
      </c>
      <c r="O104" s="11">
        <v>32.5</v>
      </c>
      <c r="P104" s="11">
        <v>10.25</v>
      </c>
      <c r="Q104" s="11">
        <v>10.5</v>
      </c>
      <c r="R104" s="11">
        <v>19</v>
      </c>
      <c r="S104" s="11">
        <v>19.75</v>
      </c>
      <c r="T104" s="11">
        <v>12</v>
      </c>
      <c r="U104" s="11">
        <v>9</v>
      </c>
      <c r="V104" s="11">
        <v>15</v>
      </c>
      <c r="W104" s="11">
        <v>15</v>
      </c>
      <c r="X104" s="11">
        <v>7</v>
      </c>
      <c r="Y104" s="11">
        <v>7</v>
      </c>
      <c r="Z104" s="3" t="s">
        <v>637</v>
      </c>
      <c r="AA104" s="10" t="s">
        <v>636</v>
      </c>
      <c r="AB104" s="5">
        <f>538.7+1007.3+480+560+37.5+240</f>
        <v>2863.5</v>
      </c>
      <c r="AC104" s="6">
        <f>38+76+36+28+0+7</f>
        <v>185</v>
      </c>
      <c r="AD104" s="6">
        <f>8.67+17.3+18+2+0+7</f>
        <v>52.97</v>
      </c>
      <c r="AE104" s="6">
        <f>29.17+55.33+36+8+0+0</f>
        <v>128.5</v>
      </c>
      <c r="AF104" s="6">
        <f>21.17+25.33+12+64+9+44</f>
        <v>175.5</v>
      </c>
      <c r="AG104" s="6">
        <f>7.17+7.33+0+4+1.5+0</f>
        <v>20</v>
      </c>
      <c r="AH104" s="6">
        <f>473.7+937.3+1080+480+0+420</f>
        <v>3391</v>
      </c>
      <c r="AI104" s="6">
        <f t="shared" si="1"/>
        <v>6.4606251091321815E-2</v>
      </c>
      <c r="AJ104" s="6">
        <f t="shared" si="2"/>
        <v>1.8498341190850358E-2</v>
      </c>
      <c r="AK104" s="6">
        <f t="shared" si="3"/>
        <v>4.4875152785053253E-2</v>
      </c>
      <c r="AL104" s="6">
        <f t="shared" si="4"/>
        <v>6.1288632792037716E-2</v>
      </c>
      <c r="AM104" s="6">
        <f t="shared" si="5"/>
        <v>6.9844595774401956E-3</v>
      </c>
      <c r="AN104" s="6">
        <f t="shared" si="6"/>
        <v>1.1842151213549852</v>
      </c>
      <c r="AO104" s="7">
        <v>4</v>
      </c>
      <c r="AP104" s="7">
        <v>1</v>
      </c>
      <c r="AQ104" s="7">
        <v>0</v>
      </c>
      <c r="AR104" s="10">
        <v>0</v>
      </c>
      <c r="AS104" s="7">
        <v>0</v>
      </c>
      <c r="AT104" s="7">
        <v>0</v>
      </c>
      <c r="AU104" s="7">
        <v>0</v>
      </c>
      <c r="AV104" s="7">
        <v>0</v>
      </c>
      <c r="AW104" s="7">
        <v>31</v>
      </c>
      <c r="AX104" s="7">
        <v>1</v>
      </c>
      <c r="AY104" s="5">
        <v>6</v>
      </c>
      <c r="AZ104" s="7">
        <v>0</v>
      </c>
      <c r="BA104" s="7">
        <v>1</v>
      </c>
      <c r="BB104" s="7">
        <v>0</v>
      </c>
      <c r="BC104" s="7">
        <v>1</v>
      </c>
      <c r="BD104" s="7">
        <v>1</v>
      </c>
      <c r="BE104" s="7">
        <v>0</v>
      </c>
      <c r="BF104" s="7">
        <v>0</v>
      </c>
      <c r="BG104" s="7">
        <v>0</v>
      </c>
      <c r="BH104" s="7">
        <v>0</v>
      </c>
      <c r="BI104" s="7">
        <v>0</v>
      </c>
      <c r="BJ104" s="3">
        <v>1</v>
      </c>
    </row>
    <row r="105" spans="1:62" ht="20.100000000000001" customHeight="1" x14ac:dyDescent="0.3">
      <c r="A105" s="3" t="s">
        <v>17</v>
      </c>
      <c r="B105" s="3">
        <v>10</v>
      </c>
      <c r="C105" s="8">
        <v>44314</v>
      </c>
      <c r="D105" s="9">
        <v>0.21041666666666667</v>
      </c>
      <c r="E105" s="4">
        <v>49</v>
      </c>
      <c r="F105" s="3">
        <v>0</v>
      </c>
      <c r="G105" s="3">
        <v>0</v>
      </c>
      <c r="H105" s="3">
        <v>0</v>
      </c>
      <c r="I105" s="3">
        <v>0</v>
      </c>
      <c r="J105" s="9">
        <v>0.31388888888888888</v>
      </c>
      <c r="K105" s="3">
        <v>141.6</v>
      </c>
      <c r="L105" s="11">
        <f t="shared" ref="L105" si="168">K105-K104</f>
        <v>0</v>
      </c>
      <c r="M105" s="5">
        <f t="shared" ref="M105" si="169">AB104</f>
        <v>2863.5</v>
      </c>
      <c r="N105" s="11">
        <v>30.5</v>
      </c>
      <c r="O105" s="11">
        <v>31.75</v>
      </c>
      <c r="P105" s="11">
        <v>10.25</v>
      </c>
      <c r="Q105" s="11">
        <v>10.375</v>
      </c>
      <c r="R105" s="11">
        <v>19.5</v>
      </c>
      <c r="S105" s="11">
        <v>19.5</v>
      </c>
      <c r="T105" s="11">
        <v>10</v>
      </c>
      <c r="U105" s="11">
        <v>12</v>
      </c>
      <c r="V105" s="11">
        <v>15</v>
      </c>
      <c r="W105" s="11">
        <v>15</v>
      </c>
      <c r="X105" s="11">
        <v>7</v>
      </c>
      <c r="Y105" s="11">
        <v>7</v>
      </c>
      <c r="Z105" s="3" t="s">
        <v>646</v>
      </c>
      <c r="AA105" s="10" t="s">
        <v>640</v>
      </c>
      <c r="AB105" s="5">
        <f>503.7+280+160+162+37.5+220+120+175</f>
        <v>1658.2</v>
      </c>
      <c r="AC105" s="6">
        <f>38+14+12+0+0+14+0+7.5</f>
        <v>85.5</v>
      </c>
      <c r="AD105" s="6">
        <f>8.7+1+6+0+0+5+0+0</f>
        <v>20.7</v>
      </c>
      <c r="AE105" s="6">
        <f>27.7+4+12+4+0+3+8+0</f>
        <v>58.7</v>
      </c>
      <c r="AF105" s="6">
        <f>12.7+32+4+42+9+24+176+25</f>
        <v>324.7</v>
      </c>
      <c r="AG105" s="6">
        <f>3.7+2+0+8+1.5+1+0+0</f>
        <v>16.2</v>
      </c>
      <c r="AH105" s="6">
        <f>468.7+240+360+4+0+115+200+75</f>
        <v>1462.7</v>
      </c>
      <c r="AI105" s="6">
        <f t="shared" si="1"/>
        <v>5.1561934627909783E-2</v>
      </c>
      <c r="AJ105" s="6">
        <f t="shared" si="2"/>
        <v>1.2483415752020261E-2</v>
      </c>
      <c r="AK105" s="6">
        <f t="shared" si="3"/>
        <v>3.5399831142202388E-2</v>
      </c>
      <c r="AL105" s="6">
        <f t="shared" si="4"/>
        <v>0.19581473887347725</v>
      </c>
      <c r="AM105" s="6">
        <f t="shared" si="5"/>
        <v>9.7696297189723783E-3</v>
      </c>
      <c r="AN105" s="6">
        <f t="shared" si="6"/>
        <v>0.88210107345314193</v>
      </c>
      <c r="AO105" s="7">
        <v>5</v>
      </c>
      <c r="AP105" s="7">
        <v>1</v>
      </c>
      <c r="AQ105" s="7">
        <v>0</v>
      </c>
      <c r="AR105" s="10">
        <v>0</v>
      </c>
      <c r="AS105" s="7">
        <v>0</v>
      </c>
      <c r="AT105" s="7">
        <v>0</v>
      </c>
      <c r="AU105" s="7">
        <v>0</v>
      </c>
      <c r="AV105" s="7">
        <v>0</v>
      </c>
      <c r="AW105" s="7">
        <v>31</v>
      </c>
      <c r="AX105" s="7">
        <v>1</v>
      </c>
      <c r="AY105" s="5">
        <v>5</v>
      </c>
      <c r="AZ105" s="7">
        <v>0</v>
      </c>
      <c r="BA105" s="7">
        <v>1</v>
      </c>
      <c r="BB105" s="7">
        <v>0</v>
      </c>
      <c r="BC105" s="7">
        <v>1</v>
      </c>
      <c r="BD105" s="7">
        <v>1</v>
      </c>
      <c r="BE105" s="7">
        <v>0</v>
      </c>
      <c r="BF105" s="7">
        <v>0</v>
      </c>
      <c r="BG105" s="7">
        <v>0</v>
      </c>
      <c r="BH105" s="7">
        <v>0</v>
      </c>
      <c r="BI105" s="7">
        <v>0</v>
      </c>
      <c r="BJ105" s="3">
        <v>1</v>
      </c>
    </row>
    <row r="106" spans="1:62" ht="20.100000000000001" customHeight="1" x14ac:dyDescent="0.3">
      <c r="A106" s="3" t="s">
        <v>18</v>
      </c>
      <c r="B106" s="3">
        <v>11</v>
      </c>
      <c r="C106" s="8">
        <v>44315</v>
      </c>
      <c r="D106" s="9">
        <v>0.3347222222222222</v>
      </c>
      <c r="E106" s="4">
        <v>59</v>
      </c>
      <c r="F106" s="3">
        <v>0</v>
      </c>
      <c r="G106" s="3">
        <v>0</v>
      </c>
      <c r="H106" s="3">
        <v>0</v>
      </c>
      <c r="I106" s="3">
        <v>0</v>
      </c>
      <c r="J106" s="9">
        <v>0.3354166666666667</v>
      </c>
      <c r="K106" s="3">
        <v>141</v>
      </c>
      <c r="L106" s="11">
        <f t="shared" ref="L106" si="170">K106-K105</f>
        <v>-0.59999999999999432</v>
      </c>
      <c r="M106" s="5">
        <f t="shared" ref="M106" si="171">AB105</f>
        <v>1658.2</v>
      </c>
      <c r="N106" s="11">
        <v>31</v>
      </c>
      <c r="O106" s="11">
        <v>31.75</v>
      </c>
      <c r="P106" s="11">
        <v>10.5</v>
      </c>
      <c r="Q106" s="11">
        <v>10.5</v>
      </c>
      <c r="R106" s="11">
        <v>19.25</v>
      </c>
      <c r="S106" s="11">
        <v>19.75</v>
      </c>
      <c r="T106" s="11">
        <v>12</v>
      </c>
      <c r="U106" s="11">
        <v>10</v>
      </c>
      <c r="V106" s="11">
        <v>16</v>
      </c>
      <c r="W106" s="11">
        <v>15</v>
      </c>
      <c r="X106" s="11">
        <v>7</v>
      </c>
      <c r="Y106" s="11">
        <v>7</v>
      </c>
      <c r="Z106" s="3" t="s">
        <v>647</v>
      </c>
      <c r="AA106" s="10" t="s">
        <v>645</v>
      </c>
      <c r="AB106" s="5">
        <f>186.2+7.5+260+80+1460+550+81+400</f>
        <v>3024.7</v>
      </c>
      <c r="AC106" s="6">
        <f>13.3+0.625+28+6+63.75+35+0+10</f>
        <v>156.67500000000001</v>
      </c>
      <c r="AD106" s="6">
        <f>3.99+0+4+3+14.25+12.5+0+5</f>
        <v>42.74</v>
      </c>
      <c r="AE106" s="6">
        <f>15.96+0.25+0+6+57+7.5+2+4</f>
        <v>92.710000000000008</v>
      </c>
      <c r="AF106" s="6">
        <f>0+0.25+0+2+169.5+60+21+74</f>
        <v>326.75</v>
      </c>
      <c r="AG106" s="6">
        <f>0+0.25+0+0+12.5+2.5+4+1</f>
        <v>20.25</v>
      </c>
      <c r="AH106" s="6">
        <f>186.2+42.5+0+180+1900+287.5+2+240</f>
        <v>2838.2</v>
      </c>
      <c r="AI106" s="6">
        <f t="shared" si="1"/>
        <v>5.1798525473600691E-2</v>
      </c>
      <c r="AJ106" s="6">
        <f t="shared" si="2"/>
        <v>1.4130326974575993E-2</v>
      </c>
      <c r="AK106" s="6">
        <f t="shared" si="3"/>
        <v>3.065097365027937E-2</v>
      </c>
      <c r="AL106" s="6">
        <f t="shared" si="4"/>
        <v>0.10802724237114425</v>
      </c>
      <c r="AM106" s="6">
        <f t="shared" si="5"/>
        <v>6.6948788309584423E-3</v>
      </c>
      <c r="AN106" s="6">
        <f t="shared" si="6"/>
        <v>0.93834099249512348</v>
      </c>
      <c r="AO106" s="7">
        <v>4</v>
      </c>
      <c r="AP106" s="7">
        <v>2</v>
      </c>
      <c r="AQ106" s="7">
        <v>0</v>
      </c>
      <c r="AR106" s="10">
        <v>0</v>
      </c>
      <c r="AS106" s="7">
        <v>0</v>
      </c>
      <c r="AT106" s="7">
        <v>0</v>
      </c>
      <c r="AU106" s="7">
        <v>0</v>
      </c>
      <c r="AV106" s="7">
        <v>0</v>
      </c>
      <c r="AW106" s="7">
        <v>0</v>
      </c>
      <c r="AX106" s="7">
        <v>0</v>
      </c>
      <c r="AY106" s="5">
        <v>6</v>
      </c>
      <c r="AZ106" s="7">
        <v>0</v>
      </c>
      <c r="BA106" s="7">
        <v>1</v>
      </c>
      <c r="BB106" s="7">
        <v>0</v>
      </c>
      <c r="BC106" s="7">
        <v>1</v>
      </c>
      <c r="BD106" s="7">
        <v>1</v>
      </c>
      <c r="BE106" s="7">
        <v>0</v>
      </c>
      <c r="BF106" s="7">
        <v>0</v>
      </c>
      <c r="BG106" s="7">
        <v>0</v>
      </c>
      <c r="BH106" s="7">
        <v>0</v>
      </c>
      <c r="BI106" s="7">
        <v>1</v>
      </c>
      <c r="BJ106" s="3">
        <v>1</v>
      </c>
    </row>
    <row r="107" spans="1:62" ht="20.100000000000001" customHeight="1" x14ac:dyDescent="0.3">
      <c r="A107" s="3" t="s">
        <v>137</v>
      </c>
      <c r="B107" s="3">
        <v>0</v>
      </c>
      <c r="C107" s="8">
        <v>44316</v>
      </c>
      <c r="D107" s="9">
        <v>0.25347222222222221</v>
      </c>
      <c r="E107" s="4">
        <v>58</v>
      </c>
      <c r="F107" s="3">
        <v>0</v>
      </c>
      <c r="G107" s="3">
        <v>0</v>
      </c>
      <c r="H107" s="3">
        <v>0</v>
      </c>
      <c r="I107" s="3">
        <v>0</v>
      </c>
      <c r="J107" s="9">
        <v>0.2673611111111111</v>
      </c>
      <c r="K107" s="3">
        <v>141</v>
      </c>
      <c r="L107" s="11">
        <f t="shared" ref="L107" si="172">K107-K106</f>
        <v>0</v>
      </c>
      <c r="M107" s="5">
        <f t="shared" ref="M107" si="173">AB106</f>
        <v>3024.7</v>
      </c>
      <c r="N107" s="11">
        <v>30.75</v>
      </c>
      <c r="O107" s="11">
        <v>32</v>
      </c>
      <c r="P107" s="11">
        <v>10.5</v>
      </c>
      <c r="Q107" s="11">
        <v>10.625</v>
      </c>
      <c r="R107" s="11">
        <v>19.25</v>
      </c>
      <c r="S107" s="11">
        <v>19.25</v>
      </c>
      <c r="T107" s="11">
        <v>12</v>
      </c>
      <c r="U107" s="11">
        <v>11</v>
      </c>
      <c r="V107" s="11">
        <v>15</v>
      </c>
      <c r="W107" s="11">
        <v>15</v>
      </c>
      <c r="X107" s="11">
        <v>7</v>
      </c>
      <c r="Y107" s="11">
        <v>7</v>
      </c>
      <c r="Z107" s="3" t="s">
        <v>648</v>
      </c>
      <c r="AA107" s="10" t="s">
        <v>652</v>
      </c>
      <c r="AB107" s="5">
        <f>157+310+208+162+1460+92+120+45</f>
        <v>2554</v>
      </c>
      <c r="AC107" s="6">
        <f>4.3+19+0+0+63.75+0+2.5+3.75</f>
        <v>93.3</v>
      </c>
      <c r="AD107" s="6">
        <f>2.7+11+0+0+14.25+0+0+0</f>
        <v>27.95</v>
      </c>
      <c r="AE107" s="6">
        <f>4+5+2+4+57+2+20+1.5</f>
        <v>95.5</v>
      </c>
      <c r="AF107" s="6">
        <f>26+31+54+42+169.5+24+5+1.5</f>
        <v>353</v>
      </c>
      <c r="AG107" s="6">
        <f>0+0+2+8+12.5+2+2+1.5</f>
        <v>28</v>
      </c>
      <c r="AH107" s="6">
        <f>65+95+6+4+1900+0+340+255</f>
        <v>2665</v>
      </c>
      <c r="AI107" s="6">
        <f t="shared" si="1"/>
        <v>3.6530931871574003E-2</v>
      </c>
      <c r="AJ107" s="6">
        <f t="shared" si="2"/>
        <v>1.0943617854346123E-2</v>
      </c>
      <c r="AK107" s="6">
        <f t="shared" si="3"/>
        <v>3.7392325763508219E-2</v>
      </c>
      <c r="AL107" s="6">
        <f t="shared" si="4"/>
        <v>0.13821456538762725</v>
      </c>
      <c r="AM107" s="6">
        <f t="shared" si="5"/>
        <v>1.0963194988253719E-2</v>
      </c>
      <c r="AN107" s="6">
        <f t="shared" si="6"/>
        <v>1.0434612372748631</v>
      </c>
      <c r="AO107" s="7">
        <v>4</v>
      </c>
      <c r="AP107" s="7">
        <v>1</v>
      </c>
      <c r="AQ107" s="7">
        <v>1</v>
      </c>
      <c r="AR107" s="10">
        <v>0</v>
      </c>
      <c r="AS107" s="7">
        <v>0</v>
      </c>
      <c r="AT107" s="7">
        <v>0</v>
      </c>
      <c r="AU107" s="7">
        <v>0</v>
      </c>
      <c r="AV107" s="7">
        <v>0</v>
      </c>
      <c r="AW107" s="7">
        <v>31</v>
      </c>
      <c r="AX107" s="7">
        <v>1</v>
      </c>
      <c r="AY107" s="5">
        <v>7.5</v>
      </c>
      <c r="AZ107" s="7">
        <v>0</v>
      </c>
      <c r="BA107" s="7">
        <v>0</v>
      </c>
      <c r="BB107" s="7">
        <v>0</v>
      </c>
      <c r="BC107" s="7">
        <v>1</v>
      </c>
      <c r="BD107" s="7">
        <v>1</v>
      </c>
      <c r="BE107" s="7">
        <v>1</v>
      </c>
      <c r="BF107" s="7">
        <v>0</v>
      </c>
      <c r="BG107" s="7">
        <v>0</v>
      </c>
      <c r="BH107" s="7">
        <v>0</v>
      </c>
      <c r="BI107" s="7">
        <v>0</v>
      </c>
      <c r="BJ107" s="7">
        <v>1</v>
      </c>
    </row>
    <row r="108" spans="1:62" ht="20.100000000000001" customHeight="1" x14ac:dyDescent="0.3">
      <c r="A108" s="3" t="s">
        <v>19</v>
      </c>
      <c r="B108" s="3">
        <v>1</v>
      </c>
      <c r="C108" s="8">
        <v>44317</v>
      </c>
      <c r="D108" s="9">
        <v>0.27013888888888887</v>
      </c>
      <c r="E108" s="4">
        <v>58</v>
      </c>
      <c r="F108" s="3">
        <v>0</v>
      </c>
      <c r="G108" s="3">
        <v>0</v>
      </c>
      <c r="H108" s="3">
        <v>0</v>
      </c>
      <c r="I108" s="3">
        <v>0</v>
      </c>
      <c r="J108" s="9">
        <v>0.27083333333333331</v>
      </c>
      <c r="K108" s="3">
        <v>139.4</v>
      </c>
      <c r="L108" s="11">
        <f t="shared" ref="L108" si="174">K108-K107</f>
        <v>-1.5999999999999943</v>
      </c>
      <c r="M108" s="5">
        <f t="shared" ref="M108" si="175">AB107</f>
        <v>2554</v>
      </c>
      <c r="N108" s="11">
        <v>30.25</v>
      </c>
      <c r="O108" s="11">
        <v>31.75</v>
      </c>
      <c r="P108" s="11">
        <v>10.5</v>
      </c>
      <c r="Q108" s="11">
        <v>10.5</v>
      </c>
      <c r="R108" s="11">
        <v>19.25</v>
      </c>
      <c r="S108" s="11">
        <v>19.5</v>
      </c>
      <c r="T108" s="11">
        <v>13</v>
      </c>
      <c r="U108" s="11">
        <v>11</v>
      </c>
      <c r="V108" s="11">
        <v>16</v>
      </c>
      <c r="W108" s="11">
        <v>15</v>
      </c>
      <c r="X108" s="11">
        <v>7</v>
      </c>
      <c r="Y108" s="11">
        <v>7</v>
      </c>
      <c r="Z108" s="3" t="s">
        <v>656</v>
      </c>
      <c r="AA108" s="10" t="s">
        <v>655</v>
      </c>
      <c r="AB108" s="5">
        <f>300+240+60+400+210+92+737.3+70</f>
        <v>2109.3000000000002</v>
      </c>
      <c r="AC108" s="6">
        <f>16+5+5+24+0+0+22.74+5</f>
        <v>77.739999999999995</v>
      </c>
      <c r="AD108" s="6">
        <f>3+0+0+14+0+0+6.21+3.5</f>
        <v>26.71</v>
      </c>
      <c r="AE108" s="6">
        <f>3+40+2+6+2+2+49.1+1</f>
        <v>105.1</v>
      </c>
      <c r="AF108" s="6">
        <f>37+10+2+40+54+24+91.55+4</f>
        <v>262.55</v>
      </c>
      <c r="AG108" s="6">
        <f>2+4+2+0+6+2+16.8+0</f>
        <v>32.799999999999997</v>
      </c>
      <c r="AH108" s="6">
        <f>320+680+340+100+2+0+951.5+20</f>
        <v>2413.5</v>
      </c>
      <c r="AI108" s="6">
        <f t="shared" si="1"/>
        <v>3.685582894799222E-2</v>
      </c>
      <c r="AJ108" s="6">
        <f t="shared" si="2"/>
        <v>1.266296875740767E-2</v>
      </c>
      <c r="AK108" s="6">
        <f t="shared" si="3"/>
        <v>4.9826956810316209E-2</v>
      </c>
      <c r="AL108" s="6">
        <f t="shared" si="4"/>
        <v>0.12447257383966244</v>
      </c>
      <c r="AM108" s="6">
        <f t="shared" si="5"/>
        <v>1.5550182525008295E-2</v>
      </c>
      <c r="AN108" s="6">
        <f t="shared" si="6"/>
        <v>1.144218461100839</v>
      </c>
      <c r="AO108" s="7">
        <v>4</v>
      </c>
      <c r="AP108" s="7">
        <v>1</v>
      </c>
      <c r="AQ108" s="7">
        <v>1</v>
      </c>
      <c r="AR108" s="10">
        <v>0</v>
      </c>
      <c r="AS108" s="7">
        <v>0</v>
      </c>
      <c r="AT108" s="7">
        <v>0</v>
      </c>
      <c r="AU108" s="7">
        <v>0</v>
      </c>
      <c r="AV108" s="7">
        <v>0</v>
      </c>
      <c r="AW108" s="7">
        <v>31</v>
      </c>
      <c r="AX108" s="7">
        <v>1</v>
      </c>
      <c r="AY108" s="5">
        <v>6</v>
      </c>
      <c r="AZ108" s="7">
        <v>0</v>
      </c>
      <c r="BA108" s="7">
        <v>0</v>
      </c>
      <c r="BB108" s="7">
        <v>0</v>
      </c>
      <c r="BC108" s="7">
        <v>1</v>
      </c>
      <c r="BD108" s="7">
        <v>1</v>
      </c>
      <c r="BE108" s="7">
        <v>2</v>
      </c>
      <c r="BF108" s="7">
        <v>0</v>
      </c>
      <c r="BG108" s="7">
        <v>0</v>
      </c>
      <c r="BH108" s="7">
        <v>0</v>
      </c>
      <c r="BI108" s="7">
        <v>0</v>
      </c>
      <c r="BJ108" s="7">
        <v>1</v>
      </c>
    </row>
    <row r="109" spans="1:62" ht="20.100000000000001" customHeight="1" x14ac:dyDescent="0.3">
      <c r="A109" s="3" t="s">
        <v>23</v>
      </c>
      <c r="B109" s="3">
        <v>2</v>
      </c>
      <c r="C109" s="8">
        <v>44318</v>
      </c>
      <c r="D109" s="9">
        <v>0.29791666666666666</v>
      </c>
      <c r="E109" s="4">
        <v>58</v>
      </c>
      <c r="F109" s="3">
        <v>0</v>
      </c>
      <c r="G109" s="3">
        <v>0</v>
      </c>
      <c r="H109" s="3">
        <v>0</v>
      </c>
      <c r="I109" s="3">
        <v>0</v>
      </c>
      <c r="J109" s="9">
        <v>0.29305555555555557</v>
      </c>
      <c r="K109" s="3">
        <v>137</v>
      </c>
      <c r="L109" s="11">
        <f t="shared" ref="L109" si="176">K109-K108</f>
        <v>-2.4000000000000057</v>
      </c>
      <c r="M109" s="5">
        <f t="shared" ref="M109" si="177">AB108</f>
        <v>2109.3000000000002</v>
      </c>
      <c r="N109" s="11">
        <v>29.5</v>
      </c>
      <c r="O109" s="11">
        <v>30.5</v>
      </c>
      <c r="P109" s="11">
        <v>10.5</v>
      </c>
      <c r="Q109" s="11">
        <v>10.5</v>
      </c>
      <c r="R109" s="11">
        <v>19.25</v>
      </c>
      <c r="S109" s="11">
        <v>19.25</v>
      </c>
      <c r="T109" s="11">
        <v>12</v>
      </c>
      <c r="U109" s="11">
        <v>10</v>
      </c>
      <c r="V109" s="11">
        <v>15</v>
      </c>
      <c r="W109" s="11">
        <v>14</v>
      </c>
      <c r="X109" s="11">
        <v>7</v>
      </c>
      <c r="Y109" s="11">
        <v>7</v>
      </c>
      <c r="Z109" s="3" t="s">
        <v>657</v>
      </c>
      <c r="AA109" s="10" t="s">
        <v>659</v>
      </c>
      <c r="AB109" s="5">
        <f>1769.4+160+92+240+60+210</f>
        <v>2531.4</v>
      </c>
      <c r="AC109" s="6">
        <f>54.57+12+0+5+5+0</f>
        <v>76.569999999999993</v>
      </c>
      <c r="AD109" s="6">
        <f>14.91+6+0+0+0+0</f>
        <v>20.91</v>
      </c>
      <c r="AE109" s="6">
        <f>117.78+12+2+40+2+2</f>
        <v>175.78</v>
      </c>
      <c r="AF109" s="6">
        <f>219.72+4+24+10+2+54</f>
        <v>313.72000000000003</v>
      </c>
      <c r="AG109" s="6">
        <f>40.38+0+2+4+2+6</f>
        <v>54.38</v>
      </c>
      <c r="AH109" s="6">
        <f>2283.6+360+0+680+340+2</f>
        <v>3665.6</v>
      </c>
      <c r="AI109" s="6">
        <f t="shared" si="1"/>
        <v>3.0248084064154218E-2</v>
      </c>
      <c r="AJ109" s="6">
        <f t="shared" si="2"/>
        <v>8.2602512443707039E-3</v>
      </c>
      <c r="AK109" s="6">
        <f t="shared" si="3"/>
        <v>6.943983566405941E-2</v>
      </c>
      <c r="AL109" s="6">
        <f t="shared" si="4"/>
        <v>0.12393142134787075</v>
      </c>
      <c r="AM109" s="6">
        <f t="shared" si="5"/>
        <v>2.1482183771825869E-2</v>
      </c>
      <c r="AN109" s="6">
        <f t="shared" si="6"/>
        <v>1.4480524610887255</v>
      </c>
      <c r="AO109" s="7">
        <v>4</v>
      </c>
      <c r="AP109" s="7">
        <v>1</v>
      </c>
      <c r="AQ109" s="7">
        <v>1</v>
      </c>
      <c r="AR109" s="10">
        <v>0</v>
      </c>
      <c r="AS109" s="7">
        <v>0</v>
      </c>
      <c r="AT109" s="7">
        <v>0</v>
      </c>
      <c r="AU109" s="7">
        <v>0</v>
      </c>
      <c r="AV109" s="7">
        <v>0</v>
      </c>
      <c r="AW109" s="7">
        <v>31</v>
      </c>
      <c r="AX109" s="7">
        <v>1</v>
      </c>
      <c r="AY109" s="5">
        <v>7</v>
      </c>
      <c r="AZ109" s="7">
        <v>1</v>
      </c>
      <c r="BA109" s="7">
        <v>0</v>
      </c>
      <c r="BB109" s="7">
        <v>1</v>
      </c>
      <c r="BC109" s="7">
        <v>1</v>
      </c>
      <c r="BD109" s="7">
        <v>1</v>
      </c>
      <c r="BE109" s="7">
        <v>1</v>
      </c>
      <c r="BF109" s="7">
        <v>0</v>
      </c>
      <c r="BG109" s="7">
        <v>0</v>
      </c>
      <c r="BH109" s="7">
        <v>0</v>
      </c>
      <c r="BI109" s="7">
        <v>0</v>
      </c>
      <c r="BJ109" s="7">
        <v>1</v>
      </c>
    </row>
    <row r="110" spans="1:62" ht="20.100000000000001" customHeight="1" x14ac:dyDescent="0.3">
      <c r="A110" s="3" t="s">
        <v>15</v>
      </c>
      <c r="B110" s="3">
        <v>3</v>
      </c>
      <c r="C110" s="8">
        <v>44319</v>
      </c>
      <c r="D110" s="9">
        <v>0.28402777777777777</v>
      </c>
      <c r="E110" s="4">
        <v>55</v>
      </c>
      <c r="F110" s="3">
        <v>0</v>
      </c>
      <c r="G110" s="3">
        <v>0</v>
      </c>
      <c r="H110" s="3">
        <v>0</v>
      </c>
      <c r="I110" s="3">
        <v>0</v>
      </c>
      <c r="J110" s="9">
        <v>0.32361111111111113</v>
      </c>
      <c r="K110" s="3">
        <v>134.6</v>
      </c>
      <c r="L110" s="11">
        <f t="shared" ref="L110" si="178">K110-K109</f>
        <v>-2.4000000000000057</v>
      </c>
      <c r="M110" s="5">
        <f t="shared" ref="M110" si="179">AB109</f>
        <v>2531.4</v>
      </c>
      <c r="N110" s="11">
        <v>29.75</v>
      </c>
      <c r="O110" s="11">
        <v>31.75</v>
      </c>
      <c r="P110" s="11">
        <v>10.5</v>
      </c>
      <c r="Q110" s="11">
        <v>10.5</v>
      </c>
      <c r="R110" s="11">
        <v>19</v>
      </c>
      <c r="S110" s="11">
        <v>19.25</v>
      </c>
      <c r="T110" s="11">
        <v>12</v>
      </c>
      <c r="U110" s="11">
        <v>11</v>
      </c>
      <c r="V110" s="11">
        <v>15</v>
      </c>
      <c r="W110" s="11">
        <v>15</v>
      </c>
      <c r="X110" s="11">
        <v>7</v>
      </c>
      <c r="Y110" s="11">
        <v>7</v>
      </c>
      <c r="Z110" s="3" t="s">
        <v>664</v>
      </c>
      <c r="AA110" s="10" t="s">
        <v>663</v>
      </c>
      <c r="AB110" s="5">
        <f>589.8+240+400+216+240+60+80+1185+170+92</f>
        <v>3272.8</v>
      </c>
      <c r="AC110" s="6">
        <f>18.19+18+24+0+5+5+5+59.3+1.7+0</f>
        <v>136.19</v>
      </c>
      <c r="AD110" s="6">
        <f>4.97+9+14+0+0+0+1+15.9+0.3+0</f>
        <v>45.169999999999995</v>
      </c>
      <c r="AE110" s="6">
        <f>39.26+18+6+6+40+2+1+45.4+6.3+2</f>
        <v>165.96</v>
      </c>
      <c r="AF110" s="6">
        <f>73.24+6+40+42+10+2+20+126.6+35.2+24</f>
        <v>379.04</v>
      </c>
      <c r="AG110" s="6">
        <f>13.46+0+0+6+4+2+9+24.1+4.7+2</f>
        <v>65.260000000000005</v>
      </c>
      <c r="AH110" s="6">
        <f>761.2+540+100+108+680+340+0+2321+340+0</f>
        <v>5190.2</v>
      </c>
      <c r="AI110" s="6">
        <f t="shared" si="1"/>
        <v>4.1612686384747001E-2</v>
      </c>
      <c r="AJ110" s="6">
        <f t="shared" si="2"/>
        <v>1.3801637741383523E-2</v>
      </c>
      <c r="AK110" s="6">
        <f t="shared" si="3"/>
        <v>5.0708873136152528E-2</v>
      </c>
      <c r="AL110" s="6">
        <f t="shared" si="4"/>
        <v>0.11581520410657541</v>
      </c>
      <c r="AM110" s="6">
        <f t="shared" si="5"/>
        <v>1.9940112441945736E-2</v>
      </c>
      <c r="AN110" s="6">
        <f t="shared" si="6"/>
        <v>1.5858592031288192</v>
      </c>
      <c r="AO110" s="7">
        <v>4</v>
      </c>
      <c r="AP110" s="7">
        <v>1</v>
      </c>
      <c r="AQ110" s="7">
        <v>1</v>
      </c>
      <c r="AR110" s="10">
        <v>0</v>
      </c>
      <c r="AS110" s="7">
        <v>0</v>
      </c>
      <c r="AT110" s="7">
        <v>0</v>
      </c>
      <c r="AU110" s="7">
        <v>0</v>
      </c>
      <c r="AV110" s="7">
        <v>0</v>
      </c>
      <c r="AW110" s="7">
        <v>31</v>
      </c>
      <c r="AX110" s="7">
        <v>1</v>
      </c>
      <c r="AY110" s="5">
        <v>8</v>
      </c>
      <c r="AZ110" s="7">
        <v>0</v>
      </c>
      <c r="BA110" s="7">
        <v>0</v>
      </c>
      <c r="BB110" s="7">
        <v>0</v>
      </c>
      <c r="BC110" s="7">
        <v>1</v>
      </c>
      <c r="BD110" s="7">
        <v>1</v>
      </c>
      <c r="BE110" s="7">
        <v>2</v>
      </c>
      <c r="BF110" s="7">
        <v>0</v>
      </c>
      <c r="BG110" s="7">
        <v>0</v>
      </c>
      <c r="BH110" s="7">
        <v>0</v>
      </c>
      <c r="BI110" s="7">
        <v>0</v>
      </c>
      <c r="BJ110" s="7">
        <v>1</v>
      </c>
    </row>
    <row r="111" spans="1:62" ht="20.100000000000001" customHeight="1" x14ac:dyDescent="0.3">
      <c r="A111" s="3" t="s">
        <v>16</v>
      </c>
      <c r="B111" s="3">
        <v>4</v>
      </c>
      <c r="C111" s="8">
        <v>44320</v>
      </c>
      <c r="D111" s="9">
        <v>0.3347222222222222</v>
      </c>
      <c r="E111" s="4">
        <v>63</v>
      </c>
      <c r="F111" s="3">
        <v>0</v>
      </c>
      <c r="G111" s="3">
        <v>0</v>
      </c>
      <c r="H111" s="3">
        <v>0</v>
      </c>
      <c r="I111" s="3">
        <v>0</v>
      </c>
      <c r="J111" s="9">
        <v>0.45833333333333331</v>
      </c>
      <c r="K111" s="3">
        <v>136.4</v>
      </c>
      <c r="L111" s="11">
        <f t="shared" ref="L111" si="180">K111-K110</f>
        <v>1.8000000000000114</v>
      </c>
      <c r="M111" s="5">
        <f t="shared" ref="M111" si="181">AB110</f>
        <v>3272.8</v>
      </c>
      <c r="N111" s="11">
        <v>30</v>
      </c>
      <c r="O111" s="11">
        <v>31.5</v>
      </c>
      <c r="P111" s="11">
        <v>10.25</v>
      </c>
      <c r="Q111" s="11">
        <v>10.5</v>
      </c>
      <c r="R111" s="11">
        <v>19.375</v>
      </c>
      <c r="S111" s="11">
        <v>19.25</v>
      </c>
      <c r="T111" s="11">
        <v>11</v>
      </c>
      <c r="U111" s="11">
        <v>9</v>
      </c>
      <c r="V111" s="11">
        <v>15</v>
      </c>
      <c r="W111" s="11">
        <v>15</v>
      </c>
      <c r="X111" s="11">
        <v>7</v>
      </c>
      <c r="Y111" s="11">
        <v>7</v>
      </c>
      <c r="Z111" s="3" t="s">
        <v>670</v>
      </c>
      <c r="AA111" s="10" t="s">
        <v>669</v>
      </c>
      <c r="AB111" s="5">
        <f>800+305+30+1260+216+240</f>
        <v>2851</v>
      </c>
      <c r="AC111" s="6">
        <f>48+3.6+2.5+75+0+18</f>
        <v>147.1</v>
      </c>
      <c r="AD111" s="6">
        <f>28+0.65+0+45+0+9</f>
        <v>82.65</v>
      </c>
      <c r="AE111" s="6">
        <f>12+17.7+1+10+6+18</f>
        <v>64.7</v>
      </c>
      <c r="AF111" s="6">
        <f>80+55.4+1+10+42+6</f>
        <v>194.4</v>
      </c>
      <c r="AG111" s="6">
        <f>0+9.1+1+140+6+0</f>
        <v>156.1</v>
      </c>
      <c r="AH111" s="6">
        <f>200+601.3+170+3+108+540</f>
        <v>1622.3</v>
      </c>
      <c r="AI111" s="6">
        <f t="shared" si="1"/>
        <v>5.1595931252192209E-2</v>
      </c>
      <c r="AJ111" s="6">
        <f t="shared" si="2"/>
        <v>2.8989828130480535E-2</v>
      </c>
      <c r="AK111" s="6">
        <f t="shared" si="3"/>
        <v>2.2693791652051914E-2</v>
      </c>
      <c r="AL111" s="6">
        <f t="shared" si="4"/>
        <v>6.818660119256402E-2</v>
      </c>
      <c r="AM111" s="6">
        <f t="shared" si="5"/>
        <v>5.4752718344440544E-2</v>
      </c>
      <c r="AN111" s="6">
        <f t="shared" si="6"/>
        <v>0.56902841108383018</v>
      </c>
      <c r="AO111" s="7">
        <v>5</v>
      </c>
      <c r="AP111" s="7">
        <v>2</v>
      </c>
      <c r="AQ111" s="7">
        <v>1</v>
      </c>
      <c r="AR111" s="10">
        <v>0</v>
      </c>
      <c r="AS111" s="7">
        <v>0</v>
      </c>
      <c r="AT111" s="7">
        <v>0</v>
      </c>
      <c r="AU111" s="7">
        <v>0</v>
      </c>
      <c r="AV111" s="7">
        <v>0</v>
      </c>
      <c r="AW111" s="7">
        <v>31</v>
      </c>
      <c r="AX111" s="7">
        <v>1</v>
      </c>
      <c r="AY111" s="5">
        <v>5</v>
      </c>
      <c r="AZ111" s="7">
        <v>0</v>
      </c>
      <c r="BA111" s="7">
        <v>0</v>
      </c>
      <c r="BB111" s="7">
        <v>0</v>
      </c>
      <c r="BC111" s="7">
        <v>1</v>
      </c>
      <c r="BD111" s="7">
        <v>1</v>
      </c>
      <c r="BE111" s="7">
        <v>0</v>
      </c>
      <c r="BF111" s="7">
        <v>0</v>
      </c>
      <c r="BG111" s="7">
        <v>0</v>
      </c>
      <c r="BH111" s="7">
        <v>0</v>
      </c>
      <c r="BI111" s="7">
        <v>0</v>
      </c>
      <c r="BJ111" s="7">
        <v>1</v>
      </c>
    </row>
    <row r="112" spans="1:62" ht="20.100000000000001" customHeight="1" x14ac:dyDescent="0.3">
      <c r="A112" s="3" t="s">
        <v>17</v>
      </c>
      <c r="B112" s="3">
        <v>5</v>
      </c>
      <c r="C112" s="8">
        <v>44321</v>
      </c>
      <c r="D112" s="9">
        <v>0.30208333333333331</v>
      </c>
      <c r="E112" s="4">
        <v>61</v>
      </c>
      <c r="F112" s="3">
        <v>0</v>
      </c>
      <c r="G112" s="3">
        <v>0</v>
      </c>
      <c r="H112" s="3">
        <v>0</v>
      </c>
      <c r="I112" s="3">
        <v>0</v>
      </c>
      <c r="J112" s="9">
        <v>0.30208333333333331</v>
      </c>
      <c r="K112" s="3">
        <v>136.4</v>
      </c>
      <c r="L112" s="11">
        <f t="shared" ref="L112" si="182">K112-K111</f>
        <v>0</v>
      </c>
      <c r="M112" s="5">
        <f t="shared" ref="M112" si="183">AB111</f>
        <v>2851</v>
      </c>
      <c r="N112" s="11">
        <v>30</v>
      </c>
      <c r="O112" s="11">
        <v>31.625</v>
      </c>
      <c r="P112" s="11">
        <v>10.5</v>
      </c>
      <c r="Q112" s="11">
        <v>10.75</v>
      </c>
      <c r="R112" s="11">
        <v>19.5</v>
      </c>
      <c r="S112" s="11">
        <v>19.5</v>
      </c>
      <c r="T112" s="11">
        <v>11</v>
      </c>
      <c r="U112" s="11">
        <v>12</v>
      </c>
      <c r="V112" s="11">
        <v>15</v>
      </c>
      <c r="W112" s="11">
        <v>15</v>
      </c>
      <c r="X112" s="11">
        <v>7</v>
      </c>
      <c r="Y112" s="11">
        <v>7</v>
      </c>
      <c r="Z112" s="3" t="s">
        <v>672</v>
      </c>
      <c r="AA112" s="10" t="s">
        <v>673</v>
      </c>
      <c r="AB112" s="5">
        <f>305.1+80+240+30+92+800+450</f>
        <v>1997.1</v>
      </c>
      <c r="AC112" s="6">
        <f>3.6+6+5+2.5+0+48+30</f>
        <v>95.1</v>
      </c>
      <c r="AD112" s="6">
        <f>0.65+3+0+0+0+28+3</f>
        <v>34.65</v>
      </c>
      <c r="AE112" s="6">
        <f>17.7+6+40+1+2+12+6</f>
        <v>84.7</v>
      </c>
      <c r="AF112" s="6">
        <f>55.4+2+10+1+24+80+45</f>
        <v>217.4</v>
      </c>
      <c r="AG112" s="6">
        <f>9.1+0+4+1+2+0+3</f>
        <v>19.100000000000001</v>
      </c>
      <c r="AH112" s="6">
        <f>601.3+180+680+170+0+200+405</f>
        <v>2236.3000000000002</v>
      </c>
      <c r="AI112" s="6">
        <f t="shared" si="1"/>
        <v>4.7619047619047616E-2</v>
      </c>
      <c r="AJ112" s="6">
        <f t="shared" si="2"/>
        <v>1.7350157728706624E-2</v>
      </c>
      <c r="AK112" s="6">
        <f t="shared" si="3"/>
        <v>4.2411496670171751E-2</v>
      </c>
      <c r="AL112" s="6">
        <f t="shared" si="4"/>
        <v>0.10885784387361676</v>
      </c>
      <c r="AM112" s="6">
        <f t="shared" si="5"/>
        <v>9.5638676080316478E-3</v>
      </c>
      <c r="AN112" s="6">
        <f t="shared" si="6"/>
        <v>1.1197736718241451</v>
      </c>
      <c r="AO112" s="7">
        <v>5</v>
      </c>
      <c r="AP112" s="7">
        <v>1</v>
      </c>
      <c r="AQ112" s="7">
        <v>1</v>
      </c>
      <c r="AR112" s="10">
        <v>0</v>
      </c>
      <c r="AS112" s="7">
        <v>0</v>
      </c>
      <c r="AT112" s="7">
        <v>0</v>
      </c>
      <c r="AU112" s="7">
        <v>0</v>
      </c>
      <c r="AV112" s="7">
        <v>0</v>
      </c>
      <c r="AW112" s="7">
        <v>31</v>
      </c>
      <c r="AX112" s="7">
        <v>1</v>
      </c>
      <c r="AY112" s="5">
        <v>6</v>
      </c>
      <c r="AZ112" s="7">
        <v>0</v>
      </c>
      <c r="BA112" s="7">
        <v>0</v>
      </c>
      <c r="BB112" s="7">
        <v>0</v>
      </c>
      <c r="BC112" s="7">
        <v>1</v>
      </c>
      <c r="BD112" s="7">
        <v>1</v>
      </c>
      <c r="BE112" s="7">
        <v>2</v>
      </c>
      <c r="BF112" s="7">
        <v>0</v>
      </c>
      <c r="BG112" s="7">
        <v>0</v>
      </c>
      <c r="BH112" s="7">
        <v>0</v>
      </c>
      <c r="BI112" s="7">
        <v>0</v>
      </c>
      <c r="BJ112" s="7">
        <v>1</v>
      </c>
    </row>
    <row r="113" spans="1:62" ht="20.100000000000001" customHeight="1" x14ac:dyDescent="0.3">
      <c r="A113" s="3" t="s">
        <v>18</v>
      </c>
      <c r="B113" s="3">
        <v>6</v>
      </c>
      <c r="C113" s="8">
        <v>44322</v>
      </c>
      <c r="D113" s="9">
        <v>0.62013888888888891</v>
      </c>
      <c r="E113" s="4">
        <v>80</v>
      </c>
      <c r="F113" s="3">
        <v>0</v>
      </c>
      <c r="G113" s="3">
        <v>0</v>
      </c>
      <c r="H113" s="3">
        <v>0</v>
      </c>
      <c r="I113" s="3">
        <v>0</v>
      </c>
      <c r="J113" s="9">
        <v>0.61944444444444446</v>
      </c>
      <c r="K113" s="3">
        <v>138.19999999999999</v>
      </c>
      <c r="L113" s="11">
        <f t="shared" ref="L113" si="184">K113-K112</f>
        <v>1.7999999999999829</v>
      </c>
      <c r="M113" s="5">
        <f t="shared" ref="M113" si="185">AB112</f>
        <v>1997.1</v>
      </c>
      <c r="N113" s="11">
        <v>29.375</v>
      </c>
      <c r="O113" s="11">
        <v>31.75</v>
      </c>
      <c r="P113" s="11">
        <v>10.25</v>
      </c>
      <c r="Q113" s="11">
        <v>10.375</v>
      </c>
      <c r="R113" s="11">
        <v>19.75</v>
      </c>
      <c r="S113" s="11">
        <v>19.75</v>
      </c>
      <c r="T113" s="11">
        <v>13</v>
      </c>
      <c r="U113" s="11">
        <v>11</v>
      </c>
      <c r="V113" s="11">
        <v>14</v>
      </c>
      <c r="W113" s="11">
        <v>15</v>
      </c>
      <c r="X113" s="11">
        <v>7</v>
      </c>
      <c r="Y113" s="11">
        <v>7</v>
      </c>
      <c r="Z113" s="3" t="s">
        <v>674</v>
      </c>
      <c r="AA113" s="10" t="s">
        <v>676</v>
      </c>
      <c r="AB113" s="5">
        <f>400+800+120+30+849.33+240+160+280+120+200</f>
        <v>3199.33</v>
      </c>
      <c r="AC113" s="6">
        <f>10+48+2.5+2.5+54.4+20+12+14+8.5+9.6</f>
        <v>181.5</v>
      </c>
      <c r="AD113" s="6">
        <f>5+28+0+0+15.07+14+6+10+0+3.5</f>
        <v>81.569999999999993</v>
      </c>
      <c r="AE113" s="6">
        <f>4+12+20+1+62.7+4+12+4+2+3.2</f>
        <v>124.9</v>
      </c>
      <c r="AF113" s="6">
        <f>4+12+20+1+62.7+4+12+4+2+3.2</f>
        <v>124.9</v>
      </c>
      <c r="AG113" s="6">
        <f>1+0+2+1+10.5+0+0+4+1+0.8</f>
        <v>20.3</v>
      </c>
      <c r="AH113" s="6">
        <f>240+200+340+170+1056.9+60+360+180+160+96</f>
        <v>2862.9</v>
      </c>
      <c r="AI113" s="6">
        <f t="shared" si="1"/>
        <v>5.6730627975232317E-2</v>
      </c>
      <c r="AJ113" s="6">
        <f t="shared" si="2"/>
        <v>2.549596321729862E-2</v>
      </c>
      <c r="AK113" s="6">
        <f t="shared" si="3"/>
        <v>3.9039423879374743E-2</v>
      </c>
      <c r="AL113" s="6">
        <f t="shared" si="4"/>
        <v>3.9039423879374743E-2</v>
      </c>
      <c r="AM113" s="6">
        <f t="shared" si="5"/>
        <v>6.3450785008111075E-3</v>
      </c>
      <c r="AN113" s="6">
        <f t="shared" si="6"/>
        <v>0.89484360788039996</v>
      </c>
      <c r="AO113" s="7">
        <v>5</v>
      </c>
      <c r="AP113" s="7">
        <v>1</v>
      </c>
      <c r="AQ113" s="7">
        <v>0</v>
      </c>
      <c r="AR113" s="10">
        <v>0</v>
      </c>
      <c r="AS113" s="7">
        <v>0</v>
      </c>
      <c r="AT113" s="7">
        <v>0</v>
      </c>
      <c r="AU113" s="7">
        <v>0</v>
      </c>
      <c r="AV113" s="7">
        <v>0</v>
      </c>
      <c r="AW113" s="7">
        <v>31</v>
      </c>
      <c r="AX113" s="7">
        <v>1</v>
      </c>
      <c r="AY113" s="5">
        <v>6.5</v>
      </c>
      <c r="AZ113" s="7">
        <v>0</v>
      </c>
      <c r="BA113" s="7">
        <v>0</v>
      </c>
      <c r="BB113" s="7">
        <v>0</v>
      </c>
      <c r="BC113" s="7">
        <v>1</v>
      </c>
      <c r="BD113" s="7">
        <v>1</v>
      </c>
      <c r="BE113" s="7">
        <v>1</v>
      </c>
      <c r="BF113" s="7">
        <v>0</v>
      </c>
      <c r="BG113" s="7">
        <v>0</v>
      </c>
      <c r="BH113" s="7">
        <v>0</v>
      </c>
      <c r="BI113" s="7">
        <v>0</v>
      </c>
      <c r="BJ113" s="7">
        <v>1</v>
      </c>
    </row>
    <row r="114" spans="1:62" ht="20.100000000000001" customHeight="1" x14ac:dyDescent="0.3">
      <c r="A114" s="3" t="s">
        <v>137</v>
      </c>
      <c r="B114" s="3">
        <v>7</v>
      </c>
      <c r="C114" s="8">
        <v>44323</v>
      </c>
      <c r="D114" s="9">
        <v>0.77986111111111101</v>
      </c>
      <c r="E114" s="4">
        <v>60</v>
      </c>
      <c r="F114" s="3">
        <v>0</v>
      </c>
      <c r="G114" s="3">
        <v>0</v>
      </c>
      <c r="H114" s="3">
        <v>0</v>
      </c>
      <c r="I114" s="3">
        <v>0</v>
      </c>
      <c r="J114" s="9">
        <v>0.33333333333333331</v>
      </c>
      <c r="K114" s="3">
        <v>138.19999999999999</v>
      </c>
      <c r="L114" s="11">
        <f t="shared" ref="L114" si="186">K114-K113</f>
        <v>0</v>
      </c>
      <c r="M114" s="5">
        <f t="shared" ref="M114" si="187">AB113</f>
        <v>3199.33</v>
      </c>
      <c r="N114" s="11">
        <v>30</v>
      </c>
      <c r="O114" s="11">
        <v>31.75</v>
      </c>
      <c r="P114" s="11">
        <v>10.5</v>
      </c>
      <c r="Q114" s="11">
        <v>10.375</v>
      </c>
      <c r="R114" s="11">
        <v>19.25</v>
      </c>
      <c r="S114" s="11">
        <v>19.5</v>
      </c>
      <c r="T114" s="11">
        <v>12</v>
      </c>
      <c r="U114" s="11">
        <v>9</v>
      </c>
      <c r="V114" s="11">
        <v>15</v>
      </c>
      <c r="W114" s="11">
        <v>16</v>
      </c>
      <c r="X114" s="11">
        <v>7</v>
      </c>
      <c r="Y114" s="11">
        <v>7</v>
      </c>
      <c r="Z114" s="3" t="s">
        <v>677</v>
      </c>
      <c r="AA114" s="10" t="s">
        <v>679</v>
      </c>
      <c r="AB114" s="5">
        <f>240+424.7+140+80+180+400+500+200+240+125</f>
        <v>2529.6999999999998</v>
      </c>
      <c r="AC114" s="6">
        <f>17+27.2+7+6+15+10+24+12+5+7.5</f>
        <v>130.69999999999999</v>
      </c>
      <c r="AD114" s="6">
        <f>0+7.5+5+3+10.5+5+9+7+0+3.3</f>
        <v>50.3</v>
      </c>
      <c r="AE114" s="6">
        <f>4+31.4+2+6+3+4+8+3+40+1.7</f>
        <v>103.10000000000001</v>
      </c>
      <c r="AF114" s="6">
        <f>44+14.7+18+2+6+74+66+20+10+15.8</f>
        <v>270.5</v>
      </c>
      <c r="AG114" s="6">
        <f>2+5.27+2+0+0+1+2+0+4+2.5</f>
        <v>18.77</v>
      </c>
      <c r="AH114" s="6">
        <f>320+528.5+90+180+45+240+240+50+680+141.7</f>
        <v>2515.1999999999998</v>
      </c>
      <c r="AI114" s="6">
        <f t="shared" si="1"/>
        <v>5.1666205478910543E-2</v>
      </c>
      <c r="AJ114" s="6">
        <f t="shared" si="2"/>
        <v>1.9883780685456775E-2</v>
      </c>
      <c r="AK114" s="6">
        <f t="shared" si="3"/>
        <v>4.0755820848321939E-2</v>
      </c>
      <c r="AL114" s="6">
        <f t="shared" si="4"/>
        <v>0.10692967545558762</v>
      </c>
      <c r="AM114" s="6">
        <f t="shared" si="5"/>
        <v>7.41985215638218E-3</v>
      </c>
      <c r="AN114" s="6">
        <f t="shared" si="6"/>
        <v>0.99426809503103131</v>
      </c>
      <c r="AO114" s="7">
        <v>3</v>
      </c>
      <c r="AP114" s="7">
        <v>1</v>
      </c>
      <c r="AQ114" s="7">
        <v>0</v>
      </c>
      <c r="AR114" s="10">
        <v>0</v>
      </c>
      <c r="AS114" s="7">
        <v>0</v>
      </c>
      <c r="AT114" s="7">
        <v>0</v>
      </c>
      <c r="AU114" s="7">
        <v>0</v>
      </c>
      <c r="AV114" s="7">
        <v>0</v>
      </c>
      <c r="AW114" s="7">
        <v>31</v>
      </c>
      <c r="AX114" s="7">
        <v>1</v>
      </c>
      <c r="AY114" s="5">
        <v>6.75</v>
      </c>
      <c r="AZ114" s="7">
        <v>0</v>
      </c>
      <c r="BA114" s="7">
        <v>0</v>
      </c>
      <c r="BB114" s="7">
        <v>0</v>
      </c>
      <c r="BC114" s="7">
        <v>1</v>
      </c>
      <c r="BD114" s="7">
        <v>1</v>
      </c>
      <c r="BE114" s="7">
        <v>1</v>
      </c>
      <c r="BF114" s="7">
        <v>0</v>
      </c>
      <c r="BG114" s="7">
        <v>0</v>
      </c>
      <c r="BH114" s="7">
        <v>0</v>
      </c>
      <c r="BI114" s="7">
        <v>0</v>
      </c>
      <c r="BJ114" s="7">
        <v>1</v>
      </c>
    </row>
    <row r="115" spans="1:62" ht="20.100000000000001" customHeight="1" x14ac:dyDescent="0.3">
      <c r="A115" s="3" t="s">
        <v>19</v>
      </c>
      <c r="B115" s="3">
        <v>8</v>
      </c>
      <c r="C115" s="8">
        <v>44324</v>
      </c>
      <c r="D115" s="9">
        <v>0.62013888888888891</v>
      </c>
      <c r="E115" s="4">
        <v>79</v>
      </c>
      <c r="F115" s="3">
        <v>0</v>
      </c>
      <c r="G115" s="3">
        <v>0</v>
      </c>
      <c r="H115" s="3">
        <v>0</v>
      </c>
      <c r="I115" s="3">
        <v>0</v>
      </c>
      <c r="J115" s="9">
        <v>0.27430555555555552</v>
      </c>
      <c r="K115" s="3">
        <v>138.19999999999999</v>
      </c>
      <c r="L115" s="11">
        <f t="shared" ref="L115" si="188">K115-K114</f>
        <v>0</v>
      </c>
      <c r="M115" s="5">
        <f t="shared" ref="M115" si="189">AB114</f>
        <v>2529.6999999999998</v>
      </c>
      <c r="N115" s="11">
        <v>29.5</v>
      </c>
      <c r="O115" s="11">
        <v>31.5</v>
      </c>
      <c r="P115" s="11">
        <v>10.5</v>
      </c>
      <c r="Q115" s="11">
        <v>10.625</v>
      </c>
      <c r="R115" s="11">
        <v>19.5</v>
      </c>
      <c r="S115" s="11">
        <v>19.25</v>
      </c>
      <c r="T115" s="11">
        <v>11</v>
      </c>
      <c r="U115" s="11">
        <v>10</v>
      </c>
      <c r="V115" s="11">
        <v>13</v>
      </c>
      <c r="W115" s="11">
        <v>13</v>
      </c>
      <c r="X115" s="11">
        <v>7</v>
      </c>
      <c r="Y115" s="11">
        <v>7</v>
      </c>
      <c r="Z115" s="3" t="s">
        <v>683</v>
      </c>
      <c r="AA115" s="10" t="s">
        <v>682</v>
      </c>
      <c r="AB115" s="5">
        <f>120+300+480+220+216+160+390.3+160+180+70</f>
        <v>2296.3000000000002</v>
      </c>
      <c r="AC115" s="6">
        <f>2.5+18+26+14+0+12+5+12+15+1.5</f>
        <v>106</v>
      </c>
      <c r="AD115" s="6">
        <f>0+10.5+5+9+0+6+3.5+6+10.5+0.5</f>
        <v>51</v>
      </c>
      <c r="AE115" s="6">
        <f>20+4.5+6+1+6+12+1+12+3+2</f>
        <v>67.5</v>
      </c>
      <c r="AF115" s="6">
        <f>5+30+59+22+42+4+2+4+6+11</f>
        <v>185</v>
      </c>
      <c r="AG115" s="6">
        <f>2+0+0+0+6+0+0+0+0+1</f>
        <v>9</v>
      </c>
      <c r="AH115" s="6">
        <f>340+75+590+200+108+360+15+360+45+480</f>
        <v>2573</v>
      </c>
      <c r="AI115" s="6">
        <f t="shared" si="1"/>
        <v>4.6161215869006657E-2</v>
      </c>
      <c r="AJ115" s="6">
        <f t="shared" si="2"/>
        <v>2.220964159735226E-2</v>
      </c>
      <c r="AK115" s="6">
        <f t="shared" si="3"/>
        <v>2.9395113878848581E-2</v>
      </c>
      <c r="AL115" s="6">
        <f t="shared" si="4"/>
        <v>8.056438618647388E-2</v>
      </c>
      <c r="AM115" s="6">
        <f t="shared" si="5"/>
        <v>3.9193485171798107E-3</v>
      </c>
      <c r="AN115" s="6">
        <f t="shared" si="6"/>
        <v>1.1204981927448503</v>
      </c>
      <c r="AO115" s="7">
        <v>4</v>
      </c>
      <c r="AP115" s="7">
        <v>1</v>
      </c>
      <c r="AQ115" s="7">
        <v>0</v>
      </c>
      <c r="AR115" s="10">
        <v>0</v>
      </c>
      <c r="AS115" s="7">
        <v>0</v>
      </c>
      <c r="AT115" s="7">
        <v>0</v>
      </c>
      <c r="AU115" s="7">
        <v>0</v>
      </c>
      <c r="AV115" s="7">
        <v>0</v>
      </c>
      <c r="AW115" s="7">
        <v>31</v>
      </c>
      <c r="AX115" s="7">
        <v>1</v>
      </c>
      <c r="AY115" s="5">
        <v>7.5</v>
      </c>
      <c r="AZ115" s="7">
        <v>0</v>
      </c>
      <c r="BA115" s="7">
        <v>0</v>
      </c>
      <c r="BB115" s="7">
        <v>0</v>
      </c>
      <c r="BC115" s="7">
        <v>1</v>
      </c>
      <c r="BD115" s="7">
        <v>1</v>
      </c>
      <c r="BE115" s="7">
        <v>1</v>
      </c>
      <c r="BF115" s="7">
        <v>0</v>
      </c>
      <c r="BG115" s="7">
        <v>0</v>
      </c>
      <c r="BH115" s="7">
        <v>0</v>
      </c>
      <c r="BI115" s="7">
        <v>0</v>
      </c>
      <c r="BJ115" s="7">
        <v>1</v>
      </c>
    </row>
    <row r="116" spans="1:62" ht="20.100000000000001" customHeight="1" x14ac:dyDescent="0.3">
      <c r="A116" s="3" t="s">
        <v>23</v>
      </c>
      <c r="B116" s="3">
        <v>9</v>
      </c>
      <c r="C116" s="8">
        <v>44325</v>
      </c>
      <c r="D116" s="9">
        <v>0.82638888888888884</v>
      </c>
      <c r="E116" s="4">
        <v>67</v>
      </c>
      <c r="F116" s="3">
        <v>0</v>
      </c>
      <c r="G116" s="3">
        <v>0</v>
      </c>
      <c r="H116" s="3">
        <v>0</v>
      </c>
      <c r="I116" s="3">
        <v>0</v>
      </c>
      <c r="J116" s="9">
        <v>0.32222222222222224</v>
      </c>
      <c r="K116" s="3">
        <v>139.19999999999999</v>
      </c>
      <c r="L116" s="11">
        <f t="shared" ref="L116" si="190">K116-K115</f>
        <v>1</v>
      </c>
      <c r="M116" s="5">
        <f t="shared" ref="M116" si="191">AB115</f>
        <v>2296.3000000000002</v>
      </c>
      <c r="N116" s="11">
        <v>30</v>
      </c>
      <c r="O116" s="11">
        <v>31.5</v>
      </c>
      <c r="P116" s="11">
        <v>10.375</v>
      </c>
      <c r="Q116" s="11">
        <v>10.5</v>
      </c>
      <c r="R116" s="11">
        <v>19.125</v>
      </c>
      <c r="S116" s="11">
        <v>19.25</v>
      </c>
      <c r="T116" s="11">
        <v>11</v>
      </c>
      <c r="U116" s="11">
        <v>9</v>
      </c>
      <c r="V116" s="11">
        <v>14</v>
      </c>
      <c r="W116" s="11">
        <v>15</v>
      </c>
      <c r="X116" s="11">
        <v>7</v>
      </c>
      <c r="Y116" s="11">
        <v>7</v>
      </c>
      <c r="Z116" s="3" t="s">
        <v>688</v>
      </c>
      <c r="AA116" s="10" t="s">
        <v>689</v>
      </c>
      <c r="AB116" s="5">
        <f>780.7+240+160+280+120+450+150+140+66+150+57</f>
        <v>2593.6999999999998</v>
      </c>
      <c r="AC116" s="6">
        <f>10+20+12+14+8.5+0+0+6+1.95+8+2</f>
        <v>82.45</v>
      </c>
      <c r="AD116" s="6">
        <f>7+14+6+1+0+0+0+0+0.45+0.5+0.1</f>
        <v>29.05</v>
      </c>
      <c r="AE116" s="6">
        <f>2+4+12+4+2+9+3+0+2.7+2+1</f>
        <v>41.7</v>
      </c>
      <c r="AF116" s="6">
        <f>4+8+4+32+22+103.5+34.5+20+9.75+17+9</f>
        <v>263.75</v>
      </c>
      <c r="AG116" s="6">
        <f>0+0+0+2+1+0+0+0+0.9+1+0.8</f>
        <v>5.7</v>
      </c>
      <c r="AH116" s="6">
        <f>30+60+360+160+160+22.5+7.5+60+184.5+170+55</f>
        <v>1269.5</v>
      </c>
      <c r="AI116" s="6">
        <f t="shared" si="1"/>
        <v>3.1788564598835646E-2</v>
      </c>
      <c r="AJ116" s="6">
        <f t="shared" si="2"/>
        <v>1.1200215907776536E-2</v>
      </c>
      <c r="AK116" s="6">
        <f t="shared" si="3"/>
        <v>1.6077418359872E-2</v>
      </c>
      <c r="AL116" s="6">
        <f t="shared" si="4"/>
        <v>0.101688707252188</v>
      </c>
      <c r="AM116" s="6">
        <f t="shared" si="5"/>
        <v>2.1976327254501294E-3</v>
      </c>
      <c r="AN116" s="6">
        <f t="shared" si="6"/>
        <v>0.48945521841384898</v>
      </c>
      <c r="AO116" s="7">
        <v>4</v>
      </c>
      <c r="AP116" s="7">
        <v>1</v>
      </c>
      <c r="AQ116" s="7">
        <v>0</v>
      </c>
      <c r="AR116" s="10">
        <v>0</v>
      </c>
      <c r="AS116" s="7">
        <v>0</v>
      </c>
      <c r="AT116" s="7">
        <v>0</v>
      </c>
      <c r="AU116" s="7">
        <v>0</v>
      </c>
      <c r="AV116" s="7">
        <v>0</v>
      </c>
      <c r="AW116" s="7">
        <v>31</v>
      </c>
      <c r="AX116" s="7">
        <v>1</v>
      </c>
      <c r="AY116" s="5">
        <v>5</v>
      </c>
      <c r="AZ116" s="7">
        <v>0</v>
      </c>
      <c r="BA116" s="7">
        <v>1</v>
      </c>
      <c r="BB116" s="7">
        <v>0</v>
      </c>
      <c r="BC116" s="7">
        <v>1</v>
      </c>
      <c r="BD116" s="7">
        <v>1</v>
      </c>
      <c r="BE116" s="7">
        <v>0</v>
      </c>
      <c r="BF116" s="7">
        <v>0</v>
      </c>
      <c r="BG116" s="7">
        <v>0</v>
      </c>
      <c r="BH116" s="7">
        <v>0</v>
      </c>
      <c r="BI116" s="7">
        <v>0</v>
      </c>
      <c r="BJ116" s="7">
        <v>1</v>
      </c>
    </row>
    <row r="117" spans="1:62" ht="20.100000000000001" customHeight="1" x14ac:dyDescent="0.3">
      <c r="A117" s="3" t="s">
        <v>15</v>
      </c>
      <c r="B117" s="3">
        <v>10</v>
      </c>
      <c r="C117" s="8">
        <v>44326</v>
      </c>
      <c r="D117" s="9">
        <v>0.23958333333333334</v>
      </c>
      <c r="E117" s="4">
        <v>59</v>
      </c>
      <c r="F117" s="3">
        <v>0</v>
      </c>
      <c r="G117" s="3">
        <v>0</v>
      </c>
      <c r="H117" s="3">
        <v>0</v>
      </c>
      <c r="I117" s="3">
        <v>0</v>
      </c>
      <c r="J117" s="9">
        <v>0.29305555555555557</v>
      </c>
      <c r="K117" s="3">
        <v>140</v>
      </c>
      <c r="L117" s="11">
        <f t="shared" ref="L117" si="192">K117-K116</f>
        <v>0.80000000000001137</v>
      </c>
      <c r="M117" s="5">
        <f t="shared" ref="M117" si="193">AB116</f>
        <v>2593.6999999999998</v>
      </c>
      <c r="N117" s="11">
        <v>30.75</v>
      </c>
      <c r="O117" s="11">
        <v>32</v>
      </c>
      <c r="P117" s="11">
        <v>10.5</v>
      </c>
      <c r="Q117" s="11">
        <v>10.375</v>
      </c>
      <c r="R117" s="11">
        <v>19.5</v>
      </c>
      <c r="S117" s="11">
        <v>19.5</v>
      </c>
      <c r="T117" s="11">
        <v>14</v>
      </c>
      <c r="U117" s="11">
        <v>11</v>
      </c>
      <c r="V117" s="11">
        <v>15</v>
      </c>
      <c r="W117" s="11">
        <v>14</v>
      </c>
      <c r="X117" s="11">
        <v>7</v>
      </c>
      <c r="Y117" s="11">
        <v>7</v>
      </c>
      <c r="Z117" s="3" t="s">
        <v>695</v>
      </c>
      <c r="AA117" s="10" t="s">
        <v>694</v>
      </c>
      <c r="AB117" s="5">
        <f>400+260+106+27+40+20+120+80+280+900+200+42+8.3+161+27+57+40+50</f>
        <v>2818.3</v>
      </c>
      <c r="AC117" s="6">
        <f>10+17+0.4+0.6+0+0.2+10+6+14+0+12+0.7+0.15+14.5+0.2+0.2+4.5+0.5</f>
        <v>90.950000000000017</v>
      </c>
      <c r="AD117" s="6">
        <f>5+11+0.1+0.1+0+0.1+7+3+10+0+7+0.1+0.03+2+0.1+0.1+1+0</f>
        <v>46.63000000000001</v>
      </c>
      <c r="AE117" s="6">
        <f>4+2+8+2.1+1+0.8+2+6+4+18+3+8.1+0.4+2+1.5+3.8+0+1</f>
        <v>67.7</v>
      </c>
      <c r="AF117" s="6">
        <f>74+26+16.7+4.8+10+4.7+4+2+36+207+20+0.4+1.8+8.5+6.2+10.2+0+10.5</f>
        <v>442.79999999999995</v>
      </c>
      <c r="AG117" s="6">
        <f>1+1+0.6+1.8+3+2.8+0+0+4+126+0+0+0.7+6.5+1.6+3.75+0+1</f>
        <v>153.74999999999997</v>
      </c>
      <c r="AH117" s="6">
        <f>240+200+186+5.4+0+2+30+180+180+45+50+59+3+7+594+0.5+40+10</f>
        <v>1831.9</v>
      </c>
      <c r="AI117" s="6">
        <f t="shared" si="1"/>
        <v>3.2271227335627865E-2</v>
      </c>
      <c r="AJ117" s="6">
        <f t="shared" si="2"/>
        <v>1.6545435191427458E-2</v>
      </c>
      <c r="AK117" s="6">
        <f t="shared" si="3"/>
        <v>2.4021573288862081E-2</v>
      </c>
      <c r="AL117" s="6">
        <f t="shared" si="4"/>
        <v>0.15711599191001666</v>
      </c>
      <c r="AM117" s="6">
        <f t="shared" si="5"/>
        <v>5.4554163857644666E-2</v>
      </c>
      <c r="AN117" s="6">
        <f t="shared" si="6"/>
        <v>0.65000177411914983</v>
      </c>
      <c r="AO117" s="7">
        <v>4</v>
      </c>
      <c r="AP117" s="7">
        <v>1</v>
      </c>
      <c r="AQ117" s="7">
        <v>0</v>
      </c>
      <c r="AR117" s="10">
        <v>0</v>
      </c>
      <c r="AS117" s="7">
        <v>0</v>
      </c>
      <c r="AT117" s="7">
        <v>0</v>
      </c>
      <c r="AU117" s="7">
        <v>0</v>
      </c>
      <c r="AV117" s="7">
        <v>0</v>
      </c>
      <c r="AW117" s="7">
        <v>31</v>
      </c>
      <c r="AX117" s="7">
        <v>1</v>
      </c>
      <c r="AY117" s="5">
        <v>8</v>
      </c>
      <c r="AZ117" s="7">
        <v>0</v>
      </c>
      <c r="BA117" s="7">
        <v>0</v>
      </c>
      <c r="BB117" s="7">
        <v>0</v>
      </c>
      <c r="BC117" s="7">
        <v>1</v>
      </c>
      <c r="BD117" s="7">
        <v>1</v>
      </c>
      <c r="BE117" s="7">
        <v>0</v>
      </c>
      <c r="BF117" s="7">
        <v>0</v>
      </c>
      <c r="BG117" s="7">
        <v>0</v>
      </c>
      <c r="BH117" s="7">
        <v>0</v>
      </c>
      <c r="BI117" s="7">
        <v>0</v>
      </c>
      <c r="BJ117" s="7">
        <v>1</v>
      </c>
    </row>
    <row r="118" spans="1:62" ht="20.100000000000001" customHeight="1" x14ac:dyDescent="0.3">
      <c r="A118" s="3" t="s">
        <v>16</v>
      </c>
      <c r="B118" s="3">
        <v>11</v>
      </c>
      <c r="C118" s="8">
        <v>44327</v>
      </c>
      <c r="D118" s="9">
        <v>0.82500000000000007</v>
      </c>
      <c r="E118" s="4">
        <v>70</v>
      </c>
      <c r="F118" s="3">
        <v>0</v>
      </c>
      <c r="G118" s="3">
        <v>0</v>
      </c>
      <c r="H118" s="3">
        <v>0</v>
      </c>
      <c r="I118" s="3">
        <v>0</v>
      </c>
      <c r="J118" s="9">
        <v>0.46527777777777773</v>
      </c>
      <c r="K118" s="3">
        <v>140</v>
      </c>
      <c r="L118" s="11">
        <f t="shared" ref="L118" si="194">K118-K117</f>
        <v>0</v>
      </c>
      <c r="M118" s="5">
        <f t="shared" ref="M118" si="195">AB117</f>
        <v>2818.3</v>
      </c>
      <c r="N118" s="11">
        <v>30</v>
      </c>
      <c r="O118" s="11">
        <v>31.5</v>
      </c>
      <c r="P118" s="11">
        <v>10.5</v>
      </c>
      <c r="Q118" s="11">
        <v>10.5</v>
      </c>
      <c r="R118" s="11">
        <v>19.5</v>
      </c>
      <c r="S118" s="11">
        <v>19.5</v>
      </c>
      <c r="T118" s="11">
        <v>13</v>
      </c>
      <c r="U118" s="11">
        <v>9</v>
      </c>
      <c r="V118" s="11">
        <v>15</v>
      </c>
      <c r="W118" s="11">
        <v>12</v>
      </c>
      <c r="X118" s="11">
        <v>7</v>
      </c>
      <c r="Y118" s="11">
        <v>7</v>
      </c>
      <c r="Z118" s="3" t="s">
        <v>698</v>
      </c>
      <c r="AA118" s="10" t="s">
        <v>697</v>
      </c>
      <c r="AB118" s="5">
        <f>520+133.3+373.3+216+240+300+35+120+140</f>
        <v>2077.6</v>
      </c>
      <c r="AC118" s="6">
        <f>34+8+24+0+18+25+0.75+8.5+7</f>
        <v>125.25</v>
      </c>
      <c r="AD118" s="6">
        <f>22+4.67+6.67+0+9+17.5+0.25+0+5</f>
        <v>65.09</v>
      </c>
      <c r="AE118" s="6">
        <f>4+2+27.3+6+18+5+1+2+2</f>
        <v>67.3</v>
      </c>
      <c r="AF118" s="6">
        <f>52+13.3+13.3+42+6+10+5.5+22+18</f>
        <v>182.1</v>
      </c>
      <c r="AG118" s="6">
        <f>2+0+4.7+6+0+0+0.5+1+2</f>
        <v>16.2</v>
      </c>
      <c r="AH118" s="6">
        <f>400+33.3+466.7+108+540+75+240+160+90</f>
        <v>2113</v>
      </c>
      <c r="AI118" s="6">
        <f t="shared" si="1"/>
        <v>6.0285906815556414E-2</v>
      </c>
      <c r="AJ118" s="6">
        <f t="shared" si="2"/>
        <v>3.1329418559876782E-2</v>
      </c>
      <c r="AK118" s="6">
        <f t="shared" si="3"/>
        <v>3.2393145937620334E-2</v>
      </c>
      <c r="AL118" s="6">
        <f t="shared" si="4"/>
        <v>8.7649210627647287E-2</v>
      </c>
      <c r="AM118" s="6">
        <f t="shared" si="5"/>
        <v>7.7974586060839427E-3</v>
      </c>
      <c r="AN118" s="6">
        <f t="shared" si="6"/>
        <v>1.0170388910281094</v>
      </c>
      <c r="AO118" s="7">
        <v>4</v>
      </c>
      <c r="AP118" s="7">
        <v>2</v>
      </c>
      <c r="AQ118" s="7">
        <v>0</v>
      </c>
      <c r="AR118" s="10">
        <v>0</v>
      </c>
      <c r="AS118" s="7">
        <v>0</v>
      </c>
      <c r="AT118" s="7">
        <v>0</v>
      </c>
      <c r="AU118" s="7">
        <v>0</v>
      </c>
      <c r="AV118" s="7">
        <v>0</v>
      </c>
      <c r="AW118" s="7">
        <v>31</v>
      </c>
      <c r="AX118" s="7">
        <v>1</v>
      </c>
      <c r="AY118" s="5">
        <v>6</v>
      </c>
      <c r="AZ118" s="7">
        <v>0</v>
      </c>
      <c r="BA118" s="7">
        <v>0</v>
      </c>
      <c r="BB118" s="7">
        <v>0</v>
      </c>
      <c r="BC118" s="7">
        <v>1</v>
      </c>
      <c r="BD118" s="7">
        <v>1</v>
      </c>
      <c r="BE118" s="7">
        <v>0</v>
      </c>
      <c r="BF118" s="7">
        <v>0</v>
      </c>
      <c r="BG118" s="7">
        <v>0</v>
      </c>
      <c r="BH118" s="7">
        <v>0</v>
      </c>
      <c r="BI118" s="7">
        <v>0</v>
      </c>
      <c r="BJ118" s="7">
        <v>1</v>
      </c>
    </row>
    <row r="119" spans="1:62" ht="20.100000000000001" customHeight="1" x14ac:dyDescent="0.3">
      <c r="A119" s="3" t="s">
        <v>17</v>
      </c>
      <c r="B119" s="3">
        <v>12</v>
      </c>
      <c r="C119" s="8">
        <v>44328</v>
      </c>
      <c r="D119" s="9">
        <v>0.30208333333333331</v>
      </c>
      <c r="E119" s="4">
        <v>59</v>
      </c>
      <c r="F119" s="3">
        <v>0</v>
      </c>
      <c r="G119" s="3">
        <v>0</v>
      </c>
      <c r="H119" s="3">
        <v>0</v>
      </c>
      <c r="I119" s="3">
        <v>0</v>
      </c>
      <c r="J119" s="9">
        <v>0.30208333333333331</v>
      </c>
      <c r="K119" s="3">
        <v>142.19999999999999</v>
      </c>
      <c r="L119" s="11">
        <f t="shared" ref="L119" si="196">K119-K118</f>
        <v>2.1999999999999886</v>
      </c>
      <c r="M119" s="5">
        <f t="shared" ref="M119" si="197">AB118</f>
        <v>2077.6</v>
      </c>
      <c r="N119" s="11">
        <v>30.25</v>
      </c>
      <c r="O119" s="11">
        <v>31.75</v>
      </c>
      <c r="P119" s="11">
        <v>10.5</v>
      </c>
      <c r="Q119" s="11">
        <v>10.5</v>
      </c>
      <c r="R119" s="11">
        <v>19.5</v>
      </c>
      <c r="S119" s="11">
        <v>19.5</v>
      </c>
      <c r="T119" s="11">
        <v>13</v>
      </c>
      <c r="U119" s="11">
        <v>11</v>
      </c>
      <c r="V119" s="11">
        <v>16</v>
      </c>
      <c r="W119" s="11">
        <v>15</v>
      </c>
      <c r="X119" s="11">
        <v>7</v>
      </c>
      <c r="Y119" s="11">
        <v>7</v>
      </c>
      <c r="Z119" s="3" t="s">
        <v>699</v>
      </c>
      <c r="AA119" s="10" t="s">
        <v>701</v>
      </c>
      <c r="AB119" s="5">
        <f>560+450+216+240+300+35+120+140+450</f>
        <v>2511</v>
      </c>
      <c r="AC119" s="6">
        <f>36+23+0+18+25+0.75+8.5+7+0</f>
        <v>118.25</v>
      </c>
      <c r="AD119" s="6">
        <f>10+14+0+9+17.5+0.25+0+5+0</f>
        <v>55.75</v>
      </c>
      <c r="AE119" s="6">
        <f>41+7+6+18+5+1+2+2+9</f>
        <v>91</v>
      </c>
      <c r="AF119" s="6">
        <f>20+54+42+6+10+5.5+22+18+103.5</f>
        <v>281</v>
      </c>
      <c r="AG119" s="6">
        <f>7+0+6+0+0+0.5+1+2+0</f>
        <v>16.5</v>
      </c>
      <c r="AH119" s="6">
        <f>700+320+108+540+75+240+160+90+22.5</f>
        <v>2255.5</v>
      </c>
      <c r="AI119" s="6">
        <f t="shared" si="1"/>
        <v>4.7092791716447632E-2</v>
      </c>
      <c r="AJ119" s="6">
        <f t="shared" si="2"/>
        <v>2.2202309836718438E-2</v>
      </c>
      <c r="AK119" s="6">
        <f t="shared" si="3"/>
        <v>3.6240541616885703E-2</v>
      </c>
      <c r="AL119" s="6">
        <f t="shared" si="4"/>
        <v>0.11190760653126244</v>
      </c>
      <c r="AM119" s="6">
        <f t="shared" si="5"/>
        <v>6.5710872162485067E-3</v>
      </c>
      <c r="AN119" s="6">
        <f t="shared" si="6"/>
        <v>0.89824771007566706</v>
      </c>
      <c r="AO119" s="7">
        <v>4</v>
      </c>
      <c r="AP119" s="7">
        <v>1</v>
      </c>
      <c r="AQ119" s="7">
        <v>0</v>
      </c>
      <c r="AR119" s="10">
        <v>0</v>
      </c>
      <c r="AS119" s="7">
        <v>0</v>
      </c>
      <c r="AT119" s="7">
        <v>0</v>
      </c>
      <c r="AU119" s="7">
        <v>0</v>
      </c>
      <c r="AV119" s="7">
        <v>0</v>
      </c>
      <c r="AW119" s="7">
        <v>31</v>
      </c>
      <c r="AX119" s="7">
        <v>1</v>
      </c>
      <c r="AY119" s="5">
        <v>7</v>
      </c>
      <c r="AZ119" s="7">
        <v>0</v>
      </c>
      <c r="BA119" s="7">
        <v>0</v>
      </c>
      <c r="BB119" s="7">
        <v>0</v>
      </c>
      <c r="BC119" s="7">
        <v>1</v>
      </c>
      <c r="BD119" s="7">
        <v>1</v>
      </c>
      <c r="BE119" s="7">
        <v>0</v>
      </c>
      <c r="BF119" s="7">
        <v>0</v>
      </c>
      <c r="BG119" s="7">
        <v>0</v>
      </c>
      <c r="BH119" s="7">
        <v>0</v>
      </c>
      <c r="BI119" s="7">
        <v>0</v>
      </c>
      <c r="BJ119" s="7">
        <v>1</v>
      </c>
    </row>
    <row r="120" spans="1:62" ht="20.100000000000001" customHeight="1" x14ac:dyDescent="0.3">
      <c r="A120" s="3" t="s">
        <v>18</v>
      </c>
      <c r="B120" s="3">
        <v>13</v>
      </c>
      <c r="C120" s="8">
        <v>44329</v>
      </c>
      <c r="D120" s="9">
        <v>0.31597222222222221</v>
      </c>
      <c r="E120" s="4">
        <v>59</v>
      </c>
      <c r="F120" s="3">
        <v>0</v>
      </c>
      <c r="G120" s="3">
        <v>0</v>
      </c>
      <c r="H120" s="3">
        <v>0</v>
      </c>
      <c r="I120" s="3">
        <v>0</v>
      </c>
      <c r="J120" s="9">
        <v>0.31597222222222221</v>
      </c>
      <c r="K120" s="3">
        <v>142.19999999999999</v>
      </c>
      <c r="L120" s="11">
        <f t="shared" ref="L120" si="198">K120-K119</f>
        <v>0</v>
      </c>
      <c r="M120" s="5">
        <f t="shared" ref="M120" si="199">AB119</f>
        <v>2511</v>
      </c>
      <c r="N120" s="11">
        <v>31</v>
      </c>
      <c r="O120" s="11">
        <v>32</v>
      </c>
      <c r="P120" s="11">
        <v>10.375</v>
      </c>
      <c r="Q120" s="11">
        <v>10.5</v>
      </c>
      <c r="R120" s="11">
        <v>19.25</v>
      </c>
      <c r="S120" s="11">
        <v>19.5</v>
      </c>
      <c r="T120" s="11">
        <v>13</v>
      </c>
      <c r="U120" s="11">
        <v>11</v>
      </c>
      <c r="V120" s="11">
        <v>15</v>
      </c>
      <c r="W120" s="11">
        <v>15</v>
      </c>
      <c r="X120" s="11">
        <v>7</v>
      </c>
      <c r="Y120" s="11">
        <v>7</v>
      </c>
      <c r="Z120" s="3" t="s">
        <v>707</v>
      </c>
      <c r="AA120" s="10" t="s">
        <v>706</v>
      </c>
      <c r="AB120" s="5">
        <f>400+780+658.5+160+120+130+260</f>
        <v>2508.5</v>
      </c>
      <c r="AC120" s="6">
        <f>10+51+21.5+10+2.5+4+8</f>
        <v>107</v>
      </c>
      <c r="AD120" s="6">
        <f>5+33+5.65+7+0+2+4</f>
        <v>56.65</v>
      </c>
      <c r="AE120" s="6">
        <f>4+6+29.5+12+20+3+6</f>
        <v>80.5</v>
      </c>
      <c r="AF120" s="6">
        <f>74+78+90.2+2+5+22+44</f>
        <v>315.2</v>
      </c>
      <c r="AG120" s="6">
        <f>1+3+7.95+0+2+1+2</f>
        <v>16.95</v>
      </c>
      <c r="AH120" s="6">
        <f>240+600+952.6+380+340+55+110</f>
        <v>2677.6</v>
      </c>
      <c r="AI120" s="6">
        <f t="shared" si="1"/>
        <v>4.265497309148894E-2</v>
      </c>
      <c r="AJ120" s="6">
        <f t="shared" si="2"/>
        <v>2.2583217061989236E-2</v>
      </c>
      <c r="AK120" s="6">
        <f t="shared" si="3"/>
        <v>3.2090890970699622E-2</v>
      </c>
      <c r="AL120" s="6">
        <f t="shared" si="4"/>
        <v>0.12565278054614312</v>
      </c>
      <c r="AM120" s="6">
        <f t="shared" si="5"/>
        <v>6.7570261112218453E-3</v>
      </c>
      <c r="AN120" s="6">
        <f t="shared" si="6"/>
        <v>1.0674108032688858</v>
      </c>
      <c r="AO120" s="7">
        <v>5</v>
      </c>
      <c r="AP120" s="7">
        <v>0</v>
      </c>
      <c r="AQ120" s="7">
        <v>0</v>
      </c>
      <c r="AR120" s="10">
        <v>0</v>
      </c>
      <c r="AS120" s="7">
        <v>0</v>
      </c>
      <c r="AT120" s="7">
        <v>0</v>
      </c>
      <c r="AU120" s="7">
        <v>0</v>
      </c>
      <c r="AV120" s="7">
        <v>0</v>
      </c>
      <c r="AW120" s="7">
        <v>31</v>
      </c>
      <c r="AX120" s="7">
        <v>1</v>
      </c>
      <c r="AY120" s="5">
        <v>7</v>
      </c>
      <c r="AZ120" s="7">
        <v>0</v>
      </c>
      <c r="BA120" s="7">
        <v>0</v>
      </c>
      <c r="BB120" s="7">
        <v>0</v>
      </c>
      <c r="BC120" s="7">
        <v>1</v>
      </c>
      <c r="BD120" s="7">
        <v>1</v>
      </c>
      <c r="BE120" s="7">
        <v>1</v>
      </c>
      <c r="BF120" s="7">
        <v>0</v>
      </c>
      <c r="BG120" s="7">
        <v>0</v>
      </c>
      <c r="BH120" s="7">
        <v>0</v>
      </c>
      <c r="BI120" s="7">
        <v>0</v>
      </c>
      <c r="BJ120" s="7">
        <v>1</v>
      </c>
    </row>
    <row r="121" spans="1:62" ht="20.100000000000001" customHeight="1" x14ac:dyDescent="0.3">
      <c r="A121" s="3" t="s">
        <v>137</v>
      </c>
      <c r="B121" s="3">
        <v>14</v>
      </c>
      <c r="C121" s="8">
        <v>44330</v>
      </c>
      <c r="D121" s="9">
        <v>0.24305555555555555</v>
      </c>
      <c r="E121" s="4">
        <v>57</v>
      </c>
      <c r="F121" s="3">
        <v>0</v>
      </c>
      <c r="G121" s="3">
        <v>0</v>
      </c>
      <c r="H121" s="3">
        <v>0</v>
      </c>
      <c r="I121" s="3">
        <v>0</v>
      </c>
      <c r="J121" s="9">
        <v>0.27777777777777779</v>
      </c>
      <c r="K121" s="3">
        <v>142.19999999999999</v>
      </c>
      <c r="L121" s="11">
        <f t="shared" ref="L121" si="200">K121-K120</f>
        <v>0</v>
      </c>
      <c r="M121" s="5">
        <f t="shared" ref="M121" si="201">AB120</f>
        <v>2508.5</v>
      </c>
      <c r="N121" s="11">
        <v>31.5</v>
      </c>
      <c r="O121" s="11">
        <v>32.5</v>
      </c>
      <c r="P121" s="11">
        <v>10.375</v>
      </c>
      <c r="Q121" s="11">
        <v>10.5</v>
      </c>
      <c r="R121" s="11">
        <v>19.5</v>
      </c>
      <c r="S121" s="11">
        <v>19.75</v>
      </c>
      <c r="T121" s="11">
        <v>13</v>
      </c>
      <c r="U121" s="11">
        <v>11</v>
      </c>
      <c r="V121" s="11">
        <v>15</v>
      </c>
      <c r="W121" s="11">
        <v>15</v>
      </c>
      <c r="X121" s="11">
        <v>7</v>
      </c>
      <c r="Y121" s="11">
        <v>7</v>
      </c>
      <c r="Z121" s="3" t="s">
        <v>709</v>
      </c>
      <c r="AA121" s="10" t="s">
        <v>710</v>
      </c>
      <c r="AB121" s="5">
        <f>1317+160+160+240+60+80+540</f>
        <v>2557</v>
      </c>
      <c r="AC121" s="6">
        <f>43.05+10+12+5+5+5+12</f>
        <v>92.05</v>
      </c>
      <c r="AD121" s="6">
        <f>11.3+7+8+0+0+1+0</f>
        <v>27.3</v>
      </c>
      <c r="AE121" s="6">
        <f>59.05+12+16+40+2+1+12</f>
        <v>142.05000000000001</v>
      </c>
      <c r="AF121" s="6">
        <f>180.4+2+0+10+2+20+96</f>
        <v>310.39999999999998</v>
      </c>
      <c r="AG121" s="6">
        <f>15.9+0+0+4+2+9+0</f>
        <v>30.9</v>
      </c>
      <c r="AH121" s="6">
        <f>1905.2+380+800+680+340+0+1200</f>
        <v>5305.2</v>
      </c>
      <c r="AI121" s="6">
        <f t="shared" si="1"/>
        <v>3.599921783339851E-2</v>
      </c>
      <c r="AJ121" s="6">
        <f t="shared" si="2"/>
        <v>1.067657411028549E-2</v>
      </c>
      <c r="AK121" s="6">
        <f t="shared" si="3"/>
        <v>5.5553382870551435E-2</v>
      </c>
      <c r="AL121" s="6">
        <f t="shared" si="4"/>
        <v>0.12139225655064528</v>
      </c>
      <c r="AM121" s="6">
        <f t="shared" si="5"/>
        <v>1.20844739929605E-2</v>
      </c>
      <c r="AN121" s="6">
        <f t="shared" si="6"/>
        <v>2.0747751271020727</v>
      </c>
      <c r="AO121" s="7">
        <v>4</v>
      </c>
      <c r="AP121" s="7">
        <v>0</v>
      </c>
      <c r="AQ121" s="7">
        <v>0</v>
      </c>
      <c r="AR121" s="10">
        <v>0</v>
      </c>
      <c r="AS121" s="7">
        <v>0</v>
      </c>
      <c r="AT121" s="7">
        <v>0</v>
      </c>
      <c r="AU121" s="7">
        <v>0</v>
      </c>
      <c r="AV121" s="7">
        <v>0</v>
      </c>
      <c r="AW121" s="7">
        <v>31</v>
      </c>
      <c r="AX121" s="7">
        <v>1</v>
      </c>
      <c r="AY121" s="5">
        <v>4</v>
      </c>
      <c r="AZ121" s="7">
        <v>1</v>
      </c>
      <c r="BA121" s="7">
        <v>0</v>
      </c>
      <c r="BB121" s="7">
        <v>1</v>
      </c>
      <c r="BC121" s="7">
        <v>1</v>
      </c>
      <c r="BD121" s="7">
        <v>1</v>
      </c>
      <c r="BE121" s="7">
        <v>2</v>
      </c>
      <c r="BF121" s="7">
        <v>0</v>
      </c>
      <c r="BG121" s="7">
        <v>0</v>
      </c>
      <c r="BH121" s="7">
        <v>0</v>
      </c>
      <c r="BI121" s="7">
        <v>0</v>
      </c>
      <c r="BJ121" s="7">
        <v>1</v>
      </c>
    </row>
    <row r="122" spans="1:62" ht="20.100000000000001" customHeight="1" x14ac:dyDescent="0.3">
      <c r="A122" s="3" t="s">
        <v>19</v>
      </c>
      <c r="B122" s="3">
        <v>15</v>
      </c>
      <c r="C122" s="8">
        <v>44331</v>
      </c>
      <c r="D122" s="9">
        <v>0.64236111111111105</v>
      </c>
      <c r="E122" s="4">
        <v>70</v>
      </c>
      <c r="F122" s="3">
        <v>0</v>
      </c>
      <c r="G122" s="3">
        <v>0</v>
      </c>
      <c r="H122" s="3">
        <v>0</v>
      </c>
      <c r="I122" s="3">
        <v>0</v>
      </c>
      <c r="J122" s="9">
        <v>0.29722222222222222</v>
      </c>
      <c r="K122" s="3">
        <v>143</v>
      </c>
      <c r="L122" s="11">
        <f t="shared" ref="L122" si="202">K122-K121</f>
        <v>0.80000000000001137</v>
      </c>
      <c r="M122" s="5">
        <f t="shared" ref="M122" si="203">AB121</f>
        <v>2557</v>
      </c>
      <c r="N122" s="11">
        <v>31</v>
      </c>
      <c r="O122" s="11">
        <v>32</v>
      </c>
      <c r="P122" s="11">
        <v>10.5</v>
      </c>
      <c r="Q122" s="11">
        <v>10.5</v>
      </c>
      <c r="R122" s="11">
        <v>19.75</v>
      </c>
      <c r="S122" s="11">
        <v>19.75</v>
      </c>
      <c r="T122" s="11">
        <v>13</v>
      </c>
      <c r="U122" s="11">
        <v>12</v>
      </c>
      <c r="V122" s="11">
        <v>15</v>
      </c>
      <c r="W122" s="11">
        <v>15</v>
      </c>
      <c r="X122" s="11">
        <v>7</v>
      </c>
      <c r="Y122" s="11">
        <v>7</v>
      </c>
      <c r="Z122" s="3" t="s">
        <v>711</v>
      </c>
      <c r="AA122" s="10" t="s">
        <v>715</v>
      </c>
      <c r="AB122" s="5">
        <f>658.5+160+450+240+60+375+927</f>
        <v>2870.5</v>
      </c>
      <c r="AC122" s="6">
        <f>21.5+10+0+5+5+22.5+37.3</f>
        <v>101.3</v>
      </c>
      <c r="AD122" s="6">
        <f>5.7+7+0+0+0+10+10.4</f>
        <v>33.1</v>
      </c>
      <c r="AE122" s="6">
        <f>29.5+12+9+40+2+5+52.8</f>
        <v>150.30000000000001</v>
      </c>
      <c r="AF122" s="6">
        <f>90.2+2+103.5+10+2+47.5+101.74</f>
        <v>356.94</v>
      </c>
      <c r="AG122" s="6">
        <f>7.95+0+0+4+2+7.5+18.54</f>
        <v>39.989999999999995</v>
      </c>
      <c r="AH122" s="6">
        <f>952.6+380+22.5+680+340+425+964.75</f>
        <v>3764.85</v>
      </c>
      <c r="AI122" s="6">
        <f t="shared" si="1"/>
        <v>3.5290019160425012E-2</v>
      </c>
      <c r="AJ122" s="6">
        <f t="shared" si="2"/>
        <v>1.1531092144225746E-2</v>
      </c>
      <c r="AK122" s="6">
        <f t="shared" si="3"/>
        <v>5.2360215990245602E-2</v>
      </c>
      <c r="AL122" s="6">
        <f t="shared" si="4"/>
        <v>0.12434767462114614</v>
      </c>
      <c r="AM122" s="6">
        <f t="shared" si="5"/>
        <v>1.3931370841316843E-2</v>
      </c>
      <c r="AN122" s="6">
        <f t="shared" si="6"/>
        <v>1.311565929280613</v>
      </c>
      <c r="AO122" s="7">
        <v>3</v>
      </c>
      <c r="AP122" s="7">
        <v>1</v>
      </c>
      <c r="AQ122" s="7">
        <v>0</v>
      </c>
      <c r="AR122" s="10">
        <v>0</v>
      </c>
      <c r="AS122" s="7">
        <v>0</v>
      </c>
      <c r="AT122" s="7">
        <v>0</v>
      </c>
      <c r="AU122" s="7">
        <v>0</v>
      </c>
      <c r="AV122" s="7">
        <v>0</v>
      </c>
      <c r="AW122" s="7">
        <v>31</v>
      </c>
      <c r="AX122" s="7">
        <v>1</v>
      </c>
      <c r="AY122" s="5">
        <v>6.5</v>
      </c>
      <c r="AZ122" s="7">
        <v>0</v>
      </c>
      <c r="BA122" s="7">
        <v>0</v>
      </c>
      <c r="BB122" s="7">
        <v>0</v>
      </c>
      <c r="BC122" s="7">
        <v>1</v>
      </c>
      <c r="BD122" s="7">
        <v>1</v>
      </c>
      <c r="BE122" s="7">
        <v>2</v>
      </c>
      <c r="BF122" s="7">
        <v>0</v>
      </c>
      <c r="BG122" s="7">
        <v>0</v>
      </c>
      <c r="BH122" s="7">
        <v>0</v>
      </c>
      <c r="BI122" s="7">
        <v>0</v>
      </c>
      <c r="BJ122" s="7">
        <v>1</v>
      </c>
    </row>
    <row r="123" spans="1:62" ht="20.100000000000001" customHeight="1" x14ac:dyDescent="0.3">
      <c r="A123" s="3" t="s">
        <v>23</v>
      </c>
      <c r="B123" s="3">
        <v>16</v>
      </c>
      <c r="C123" s="8">
        <v>44332</v>
      </c>
      <c r="D123" s="9">
        <v>0.31527777777777777</v>
      </c>
      <c r="E123" s="4">
        <v>58</v>
      </c>
      <c r="F123" s="3">
        <v>0</v>
      </c>
      <c r="G123" s="3">
        <v>0</v>
      </c>
      <c r="H123" s="3">
        <v>0</v>
      </c>
      <c r="I123" s="3">
        <v>0</v>
      </c>
      <c r="J123" s="9">
        <v>0.3125</v>
      </c>
      <c r="K123" s="3">
        <v>141</v>
      </c>
      <c r="L123" s="11">
        <f t="shared" ref="L123" si="204">K123-K122</f>
        <v>-2</v>
      </c>
      <c r="M123" s="5">
        <f t="shared" ref="M123" si="205">AB122</f>
        <v>2870.5</v>
      </c>
      <c r="N123" s="11">
        <v>30.75</v>
      </c>
      <c r="O123" s="11">
        <v>31.75</v>
      </c>
      <c r="P123" s="11">
        <v>10.5</v>
      </c>
      <c r="Q123" s="11">
        <v>10.625</v>
      </c>
      <c r="R123" s="11">
        <v>19.5</v>
      </c>
      <c r="S123" s="11">
        <v>19.5</v>
      </c>
      <c r="T123" s="11">
        <v>13</v>
      </c>
      <c r="U123" s="11">
        <v>11</v>
      </c>
      <c r="V123" s="11">
        <v>17</v>
      </c>
      <c r="W123" s="11">
        <v>15</v>
      </c>
      <c r="X123" s="11">
        <v>7</v>
      </c>
      <c r="Y123" s="11">
        <v>7</v>
      </c>
      <c r="Z123" s="3" t="s">
        <v>712</v>
      </c>
      <c r="AA123" s="10" t="s">
        <v>719</v>
      </c>
      <c r="AB123" s="5">
        <f>160+240+60+1853+55+370+450+180+140+80+40</f>
        <v>3628</v>
      </c>
      <c r="AC123" s="6">
        <f>10+5+5+75.7+3.25+15+257.7+15+6+0+3</f>
        <v>395.65</v>
      </c>
      <c r="AD123" s="6">
        <f>7+0+0+20.8+2+15+44+10.5+0+0+2</f>
        <v>101.3</v>
      </c>
      <c r="AE123" s="6">
        <f>12+40+2+20.8+9.5+0+10.33+3+0+2+4</f>
        <v>103.63</v>
      </c>
      <c r="AF123" s="6">
        <f>2+10+2+203.48+6+60+4.3+6+20+16+0</f>
        <v>329.78000000000003</v>
      </c>
      <c r="AG123" s="6">
        <f>0+4+2+37.08+0.5+0+12.33+0+0+0+0</f>
        <v>55.91</v>
      </c>
      <c r="AH123" s="6">
        <f>380+680+340+1929.5+0+25+71.7+45+60+30+200</f>
        <v>3761.2</v>
      </c>
      <c r="AI123" s="6">
        <f t="shared" si="1"/>
        <v>0.10905457552370451</v>
      </c>
      <c r="AJ123" s="6">
        <f t="shared" si="2"/>
        <v>2.7921719955898566E-2</v>
      </c>
      <c r="AK123" s="6">
        <f t="shared" si="3"/>
        <v>2.8563947078280041E-2</v>
      </c>
      <c r="AL123" s="6">
        <f t="shared" si="4"/>
        <v>9.0898566703417866E-2</v>
      </c>
      <c r="AM123" s="6">
        <f t="shared" si="5"/>
        <v>1.541069459757442E-2</v>
      </c>
      <c r="AN123" s="6">
        <f t="shared" si="6"/>
        <v>1.0367144432194046</v>
      </c>
      <c r="AO123" s="7">
        <v>4</v>
      </c>
      <c r="AP123" s="7">
        <v>1</v>
      </c>
      <c r="AQ123" s="7">
        <v>0</v>
      </c>
      <c r="AR123" s="10">
        <v>0</v>
      </c>
      <c r="AS123" s="7">
        <v>0</v>
      </c>
      <c r="AT123" s="7">
        <v>0</v>
      </c>
      <c r="AU123" s="7">
        <v>0</v>
      </c>
      <c r="AV123" s="7">
        <v>0</v>
      </c>
      <c r="AW123" s="7">
        <v>31</v>
      </c>
      <c r="AX123" s="7">
        <v>1</v>
      </c>
      <c r="AY123" s="5">
        <v>6.5</v>
      </c>
      <c r="AZ123" s="7">
        <v>0</v>
      </c>
      <c r="BA123" s="7">
        <v>0</v>
      </c>
      <c r="BB123" s="7">
        <v>0</v>
      </c>
      <c r="BC123" s="7">
        <v>1</v>
      </c>
      <c r="BD123" s="7">
        <v>1</v>
      </c>
      <c r="BE123" s="7">
        <v>2</v>
      </c>
      <c r="BF123" s="7">
        <v>0</v>
      </c>
      <c r="BG123" s="7">
        <v>0</v>
      </c>
      <c r="BH123" s="7">
        <v>0</v>
      </c>
      <c r="BI123" s="7">
        <v>0</v>
      </c>
      <c r="BJ123" s="7">
        <v>1</v>
      </c>
    </row>
    <row r="124" spans="1:62" ht="20.100000000000001" customHeight="1" x14ac:dyDescent="0.3">
      <c r="A124" s="3" t="s">
        <v>15</v>
      </c>
      <c r="B124" s="3">
        <v>17</v>
      </c>
      <c r="C124" s="8">
        <v>44333</v>
      </c>
      <c r="D124" s="9">
        <v>0.58333333333333337</v>
      </c>
      <c r="E124" s="4">
        <v>67</v>
      </c>
      <c r="F124" s="3">
        <v>0</v>
      </c>
      <c r="G124" s="3">
        <v>0</v>
      </c>
      <c r="H124" s="3">
        <v>0</v>
      </c>
      <c r="I124" s="3">
        <v>0</v>
      </c>
      <c r="J124" s="9">
        <v>0.3125</v>
      </c>
      <c r="K124" s="3">
        <v>141.80000000000001</v>
      </c>
      <c r="L124" s="11">
        <f t="shared" ref="L124" si="206">K124-K123</f>
        <v>0.80000000000001137</v>
      </c>
      <c r="M124" s="5">
        <f t="shared" ref="M124" si="207">AB123</f>
        <v>3628</v>
      </c>
      <c r="N124" s="11">
        <v>30.875</v>
      </c>
      <c r="O124" s="11">
        <v>31.75</v>
      </c>
      <c r="P124" s="11">
        <v>10.5</v>
      </c>
      <c r="Q124" s="11">
        <v>10.5</v>
      </c>
      <c r="R124" s="11">
        <v>19.5</v>
      </c>
      <c r="S124" s="11">
        <v>19.625</v>
      </c>
      <c r="T124" s="11">
        <v>12</v>
      </c>
      <c r="U124" s="11">
        <v>11</v>
      </c>
      <c r="V124" s="11">
        <v>17</v>
      </c>
      <c r="W124" s="11">
        <v>13</v>
      </c>
      <c r="X124" s="11">
        <v>7</v>
      </c>
      <c r="Y124" s="11">
        <v>7</v>
      </c>
      <c r="Z124" s="3" t="s">
        <v>720</v>
      </c>
      <c r="AA124" s="10" t="s">
        <v>721</v>
      </c>
      <c r="AB124" s="5">
        <f>926.5+370+900+240+60+130+554.5+51+140+165</f>
        <v>3537</v>
      </c>
      <c r="AC124" s="6">
        <f>37.34+15+513.3+5+5+4+11.18+5.1+6+9.75</f>
        <v>611.66999999999996</v>
      </c>
      <c r="AD124" s="6">
        <f>10.4+15+88+0+0+2+2.15+3.2+0+6</f>
        <v>126.75000000000001</v>
      </c>
      <c r="AE124" s="6">
        <f>52.84+0+20.67+40+2+3+17.8+1.1+0+1.5</f>
        <v>138.91</v>
      </c>
      <c r="AF124" s="6">
        <f>101.74+60+8.67+10+2+22+96.55+0.4+20+18</f>
        <v>339.35999999999996</v>
      </c>
      <c r="AG124" s="6">
        <f>18.54+0+24.67+4+2+1+8.35+0+0+1.5</f>
        <v>60.06</v>
      </c>
      <c r="AH124" s="6">
        <f>964.75+25+143.3+680+340+55+901+43+60+0</f>
        <v>3212.05</v>
      </c>
      <c r="AI124" s="6">
        <f t="shared" si="1"/>
        <v>0.17293469041560644</v>
      </c>
      <c r="AJ124" s="6">
        <f t="shared" si="2"/>
        <v>3.5835453774385073E-2</v>
      </c>
      <c r="AK124" s="6">
        <f t="shared" si="3"/>
        <v>3.9273395532937516E-2</v>
      </c>
      <c r="AL124" s="6">
        <f t="shared" si="4"/>
        <v>9.5945716709075479E-2</v>
      </c>
      <c r="AM124" s="6">
        <f t="shared" si="5"/>
        <v>1.6980491942324004E-2</v>
      </c>
      <c r="AN124" s="6">
        <f t="shared" si="6"/>
        <v>0.90812835736499864</v>
      </c>
      <c r="AO124" s="7">
        <v>5</v>
      </c>
      <c r="AP124" s="7">
        <v>2</v>
      </c>
      <c r="AQ124" s="7">
        <v>0</v>
      </c>
      <c r="AR124" s="10">
        <v>0</v>
      </c>
      <c r="AS124" s="7">
        <v>0</v>
      </c>
      <c r="AT124" s="7">
        <v>0</v>
      </c>
      <c r="AU124" s="7">
        <v>0</v>
      </c>
      <c r="AV124" s="7">
        <v>0</v>
      </c>
      <c r="AW124" s="7">
        <v>31</v>
      </c>
      <c r="AX124" s="7">
        <v>1</v>
      </c>
      <c r="AY124" s="5">
        <v>6</v>
      </c>
      <c r="AZ124" s="7">
        <v>0</v>
      </c>
      <c r="BA124" s="7">
        <v>0</v>
      </c>
      <c r="BB124" s="7">
        <v>0</v>
      </c>
      <c r="BC124" s="7">
        <v>1</v>
      </c>
      <c r="BD124" s="7">
        <v>1</v>
      </c>
      <c r="BE124" s="7">
        <v>2</v>
      </c>
      <c r="BF124" s="7">
        <v>0</v>
      </c>
      <c r="BG124" s="7">
        <v>0</v>
      </c>
      <c r="BH124" s="7">
        <v>0</v>
      </c>
      <c r="BI124" s="7">
        <v>0</v>
      </c>
      <c r="BJ124" s="7">
        <v>1</v>
      </c>
    </row>
    <row r="125" spans="1:62" ht="20.100000000000001" customHeight="1" x14ac:dyDescent="0.3">
      <c r="A125" s="3" t="s">
        <v>16</v>
      </c>
      <c r="B125" s="3">
        <v>18</v>
      </c>
      <c r="C125" s="8">
        <v>44334</v>
      </c>
      <c r="D125" s="9">
        <v>0.85069444444444453</v>
      </c>
      <c r="E125" s="4">
        <v>67</v>
      </c>
      <c r="F125" s="3">
        <v>0</v>
      </c>
      <c r="G125" s="3">
        <v>0</v>
      </c>
      <c r="H125" s="3">
        <v>0</v>
      </c>
      <c r="I125" s="3">
        <v>0</v>
      </c>
      <c r="J125" s="9">
        <v>0.43611111111111112</v>
      </c>
      <c r="K125" s="3">
        <v>141</v>
      </c>
      <c r="L125" s="11">
        <f t="shared" ref="L125" si="208">K125-K124</f>
        <v>-0.80000000000001137</v>
      </c>
      <c r="M125" s="5">
        <f t="shared" ref="M125" si="209">AB124</f>
        <v>3537</v>
      </c>
      <c r="N125" s="11">
        <v>31</v>
      </c>
      <c r="O125" s="11">
        <v>32</v>
      </c>
      <c r="P125" s="11">
        <v>10.5</v>
      </c>
      <c r="Q125" s="11">
        <v>10.625</v>
      </c>
      <c r="R125" s="11">
        <v>19.5</v>
      </c>
      <c r="S125" s="11">
        <v>20</v>
      </c>
      <c r="T125" s="11">
        <v>13</v>
      </c>
      <c r="U125" s="11">
        <v>13</v>
      </c>
      <c r="V125" s="11">
        <v>17</v>
      </c>
      <c r="W125" s="11">
        <v>17</v>
      </c>
      <c r="X125" s="11">
        <v>7</v>
      </c>
      <c r="Y125" s="11">
        <v>7</v>
      </c>
      <c r="Z125" s="3" t="s">
        <v>725</v>
      </c>
      <c r="AA125" s="10" t="s">
        <v>724</v>
      </c>
      <c r="AB125" s="5">
        <f>598.5+280+300+320+216+60+960+239+80</f>
        <v>3053.5</v>
      </c>
      <c r="AC125" s="6">
        <f>36.3+14+25+20+0+1+40+13.5+0</f>
        <v>149.80000000000001</v>
      </c>
      <c r="AD125" s="6">
        <f>10.05+10+17.5+14+0+0+24+9+0</f>
        <v>84.55</v>
      </c>
      <c r="AE125" s="6">
        <f>42.05+4+5+24+6+2+8+3+2</f>
        <v>96.05</v>
      </c>
      <c r="AF125" s="6">
        <f>28.4+36+10+4+42+12+136+30+16</f>
        <v>314.39999999999998</v>
      </c>
      <c r="AG125" s="6">
        <f>8.9+4+0+0+6+2+8+3+0</f>
        <v>31.9</v>
      </c>
      <c r="AH125" s="6">
        <f>702.7+180+75+760+108+420+800+60+30</f>
        <v>3135.7</v>
      </c>
      <c r="AI125" s="6">
        <f t="shared" si="1"/>
        <v>4.9058457507777965E-2</v>
      </c>
      <c r="AJ125" s="6">
        <f t="shared" si="2"/>
        <v>2.7689536597347304E-2</v>
      </c>
      <c r="AK125" s="6">
        <f t="shared" si="3"/>
        <v>3.1455706566235468E-2</v>
      </c>
      <c r="AL125" s="6">
        <f t="shared" si="4"/>
        <v>0.10296381201899459</v>
      </c>
      <c r="AM125" s="6">
        <f t="shared" si="5"/>
        <v>1.0447028000654985E-2</v>
      </c>
      <c r="AN125" s="6">
        <f t="shared" si="6"/>
        <v>1.0269199279515309</v>
      </c>
      <c r="AO125" s="7">
        <v>4</v>
      </c>
      <c r="AP125" s="7">
        <v>0</v>
      </c>
      <c r="AQ125" s="7">
        <v>0</v>
      </c>
      <c r="AR125" s="10">
        <v>0</v>
      </c>
      <c r="AS125" s="7">
        <v>0</v>
      </c>
      <c r="AT125" s="7">
        <v>0</v>
      </c>
      <c r="AU125" s="7">
        <v>0</v>
      </c>
      <c r="AV125" s="7">
        <v>0</v>
      </c>
      <c r="AW125" s="7">
        <v>31</v>
      </c>
      <c r="AX125" s="7">
        <v>1</v>
      </c>
      <c r="AY125" s="5">
        <v>4.66</v>
      </c>
      <c r="AZ125" s="7">
        <v>0</v>
      </c>
      <c r="BA125" s="7">
        <v>0</v>
      </c>
      <c r="BB125" s="7">
        <v>0</v>
      </c>
      <c r="BC125" s="7">
        <v>1</v>
      </c>
      <c r="BD125" s="7">
        <v>1</v>
      </c>
      <c r="BE125" s="7">
        <v>0</v>
      </c>
      <c r="BF125" s="7">
        <v>3</v>
      </c>
      <c r="BG125" s="3">
        <f>10+15+15</f>
        <v>40</v>
      </c>
      <c r="BH125" s="7">
        <v>0</v>
      </c>
      <c r="BI125" s="7">
        <v>0</v>
      </c>
      <c r="BJ125" s="7">
        <v>1</v>
      </c>
    </row>
    <row r="126" spans="1:62" ht="20.100000000000001" customHeight="1" x14ac:dyDescent="0.3">
      <c r="A126" s="3" t="s">
        <v>17</v>
      </c>
      <c r="B126" s="3">
        <v>19</v>
      </c>
      <c r="C126" s="8">
        <v>44335</v>
      </c>
      <c r="D126" s="9">
        <v>0.79166666666666663</v>
      </c>
      <c r="E126" s="4">
        <v>69</v>
      </c>
      <c r="F126" s="3">
        <v>0</v>
      </c>
      <c r="G126" s="3">
        <v>0</v>
      </c>
      <c r="H126" s="3">
        <v>0</v>
      </c>
      <c r="I126" s="3">
        <v>0</v>
      </c>
      <c r="J126" s="9">
        <v>0.31805555555555554</v>
      </c>
      <c r="K126" s="3">
        <v>141</v>
      </c>
      <c r="L126" s="11">
        <f t="shared" ref="L126" si="210">K126-K125</f>
        <v>0</v>
      </c>
      <c r="M126" s="5">
        <f t="shared" ref="M126" si="211">AB125</f>
        <v>3053.5</v>
      </c>
      <c r="N126" s="11">
        <v>30.75</v>
      </c>
      <c r="O126" s="11">
        <v>32</v>
      </c>
      <c r="P126" s="11">
        <v>10.5</v>
      </c>
      <c r="Q126" s="11">
        <v>10.5</v>
      </c>
      <c r="R126" s="11">
        <v>19.5</v>
      </c>
      <c r="S126" s="11">
        <v>19.5</v>
      </c>
      <c r="T126" s="11">
        <v>12</v>
      </c>
      <c r="U126" s="11">
        <v>12</v>
      </c>
      <c r="V126" s="11">
        <v>16</v>
      </c>
      <c r="W126" s="11">
        <v>15</v>
      </c>
      <c r="X126" s="11">
        <v>7</v>
      </c>
      <c r="Y126" s="11">
        <v>7</v>
      </c>
      <c r="Z126" s="11" t="s">
        <v>730</v>
      </c>
      <c r="AA126" s="10" t="s">
        <v>728</v>
      </c>
      <c r="AB126" s="5">
        <f>598.5+240+240+280+240+60+330+389.1+750+140</f>
        <v>3267.6</v>
      </c>
      <c r="AC126" s="6">
        <f>36.3+15+20+14+5+5+6+7.2+40+6</f>
        <v>154.5</v>
      </c>
      <c r="AD126" s="6">
        <f>10.05+10.5+14+10+0+0+6+1.29+12.5+0</f>
        <v>64.34</v>
      </c>
      <c r="AE126" s="6">
        <f>42.05+18+4+4+40+2+6+10.62+5+0</f>
        <v>131.67000000000002</v>
      </c>
      <c r="AF126" s="6">
        <f>28.4+3+8+36+10+2+60+72.45+100+20</f>
        <v>339.85</v>
      </c>
      <c r="AG126" s="6">
        <f>8.9+0+0+4+4+2+3+7.35+5+0</f>
        <v>34.25</v>
      </c>
      <c r="AH126" s="6">
        <f>702.7+570+60+180+680+340+1710+1038.6+375+60</f>
        <v>5716.2999999999993</v>
      </c>
      <c r="AI126" s="6">
        <f t="shared" si="1"/>
        <v>4.7282409107601911E-2</v>
      </c>
      <c r="AJ126" s="6">
        <f t="shared" si="2"/>
        <v>1.9690292569469948E-2</v>
      </c>
      <c r="AK126" s="6">
        <f t="shared" si="3"/>
        <v>4.0295629820051422E-2</v>
      </c>
      <c r="AL126" s="6">
        <f t="shared" si="4"/>
        <v>0.10400599828620395</v>
      </c>
      <c r="AM126" s="6">
        <f t="shared" si="5"/>
        <v>1.048169910637777E-2</v>
      </c>
      <c r="AN126" s="6">
        <f t="shared" si="6"/>
        <v>1.7493879299791895</v>
      </c>
      <c r="AO126" s="7">
        <v>4</v>
      </c>
      <c r="AP126" s="7">
        <v>2</v>
      </c>
      <c r="AQ126" s="7">
        <v>0</v>
      </c>
      <c r="AR126" s="10">
        <v>0</v>
      </c>
      <c r="AS126" s="7">
        <v>0</v>
      </c>
      <c r="AT126" s="7">
        <v>0</v>
      </c>
      <c r="AU126" s="7">
        <v>0</v>
      </c>
      <c r="AV126" s="7">
        <v>0</v>
      </c>
      <c r="AW126" s="7">
        <v>31</v>
      </c>
      <c r="AX126" s="7">
        <v>1</v>
      </c>
      <c r="AY126" s="5">
        <v>6</v>
      </c>
      <c r="AZ126" s="7">
        <v>0</v>
      </c>
      <c r="BA126" s="7">
        <v>0</v>
      </c>
      <c r="BB126" s="7">
        <v>0</v>
      </c>
      <c r="BC126" s="7">
        <v>1</v>
      </c>
      <c r="BD126" s="7">
        <v>1</v>
      </c>
      <c r="BE126" s="7">
        <v>2</v>
      </c>
      <c r="BF126" s="7">
        <v>0</v>
      </c>
      <c r="BG126" s="7">
        <v>0</v>
      </c>
      <c r="BH126" s="7">
        <v>0</v>
      </c>
      <c r="BI126" s="7">
        <v>0</v>
      </c>
      <c r="BJ126" s="7">
        <v>1</v>
      </c>
    </row>
    <row r="127" spans="1:62" ht="20.100000000000001" customHeight="1" x14ac:dyDescent="0.3">
      <c r="A127" s="3" t="s">
        <v>18</v>
      </c>
      <c r="B127" s="3">
        <v>20</v>
      </c>
      <c r="C127" s="8">
        <v>44336</v>
      </c>
      <c r="D127" s="9">
        <v>0.68194444444444446</v>
      </c>
      <c r="E127" s="4">
        <v>71</v>
      </c>
      <c r="F127" s="3">
        <v>0</v>
      </c>
      <c r="G127" s="3">
        <v>0</v>
      </c>
      <c r="H127" s="3">
        <v>0</v>
      </c>
      <c r="I127" s="3">
        <v>0</v>
      </c>
      <c r="J127" s="9">
        <v>0.69513888888888886</v>
      </c>
      <c r="K127" s="3">
        <v>143.4</v>
      </c>
      <c r="L127" s="11">
        <f t="shared" ref="L127" si="212">K127-K126</f>
        <v>2.4000000000000057</v>
      </c>
      <c r="M127" s="5">
        <f t="shared" ref="M127" si="213">AB126</f>
        <v>3267.6</v>
      </c>
      <c r="N127" s="11">
        <v>33</v>
      </c>
      <c r="O127" s="11">
        <v>31.5</v>
      </c>
      <c r="P127" s="11">
        <v>10.5</v>
      </c>
      <c r="Q127" s="11">
        <v>10.5</v>
      </c>
      <c r="R127" s="11">
        <v>19.75</v>
      </c>
      <c r="S127" s="11">
        <v>19.875</v>
      </c>
      <c r="T127" s="11">
        <v>13</v>
      </c>
      <c r="U127" s="11">
        <v>11</v>
      </c>
      <c r="V127" s="11">
        <v>15</v>
      </c>
      <c r="W127" s="11">
        <v>15</v>
      </c>
      <c r="X127" s="11">
        <v>7</v>
      </c>
      <c r="Y127" s="11">
        <v>7</v>
      </c>
      <c r="Z127" s="3" t="s">
        <v>731</v>
      </c>
      <c r="AA127" s="10" t="s">
        <v>729</v>
      </c>
      <c r="AB127" s="5">
        <f>110+360+60+180+140+10+750+260</f>
        <v>1870</v>
      </c>
      <c r="AC127" s="6">
        <f>2+0+1+15+10+0.75+40+28</f>
        <v>96.75</v>
      </c>
      <c r="AD127" s="6">
        <f>2+0+0+10.5+3+0+12.5+4</f>
        <v>32</v>
      </c>
      <c r="AE127" s="6">
        <f>2+10+2+3+12+0.25+5+0</f>
        <v>34.25</v>
      </c>
      <c r="AF127" s="6">
        <f>20+70+12+6+0+0.5+100+0</f>
        <v>208.5</v>
      </c>
      <c r="AG127" s="6">
        <f>1+10+2+0+0+0.25+5+0</f>
        <v>18.25</v>
      </c>
      <c r="AH127" s="6">
        <f>570+180+420+45+140+45+375+0</f>
        <v>1775</v>
      </c>
      <c r="AI127" s="6">
        <f t="shared" si="1"/>
        <v>5.17379679144385E-2</v>
      </c>
      <c r="AJ127" s="6">
        <f t="shared" si="2"/>
        <v>1.7112299465240642E-2</v>
      </c>
      <c r="AK127" s="6">
        <f t="shared" si="3"/>
        <v>1.8315508021390373E-2</v>
      </c>
      <c r="AL127" s="6">
        <f t="shared" si="4"/>
        <v>0.11149732620320855</v>
      </c>
      <c r="AM127" s="6">
        <f t="shared" si="5"/>
        <v>9.759358288770054E-3</v>
      </c>
      <c r="AN127" s="6">
        <f t="shared" si="6"/>
        <v>0.94919786096256686</v>
      </c>
      <c r="AO127" s="7">
        <v>4</v>
      </c>
      <c r="AP127" s="7">
        <v>1</v>
      </c>
      <c r="AQ127" s="7">
        <v>0</v>
      </c>
      <c r="AR127" s="10">
        <v>0</v>
      </c>
      <c r="AS127" s="7">
        <v>0</v>
      </c>
      <c r="AT127" s="7">
        <v>0</v>
      </c>
      <c r="AU127" s="7">
        <v>0</v>
      </c>
      <c r="AV127" s="7">
        <v>0</v>
      </c>
      <c r="AW127" s="7">
        <v>31</v>
      </c>
      <c r="AX127" s="7">
        <v>1</v>
      </c>
      <c r="AY127" s="5">
        <v>6</v>
      </c>
      <c r="AZ127" s="7">
        <v>0</v>
      </c>
      <c r="BA127" s="7">
        <v>1</v>
      </c>
      <c r="BB127" s="7">
        <v>0</v>
      </c>
      <c r="BC127" s="7">
        <v>1</v>
      </c>
      <c r="BD127" s="7">
        <v>1</v>
      </c>
      <c r="BE127" s="7">
        <v>0</v>
      </c>
      <c r="BF127" s="7">
        <v>0</v>
      </c>
      <c r="BG127" s="7">
        <v>0</v>
      </c>
      <c r="BH127" s="7">
        <v>0</v>
      </c>
      <c r="BI127" s="7">
        <v>0</v>
      </c>
      <c r="BJ127" s="7">
        <v>1</v>
      </c>
    </row>
    <row r="128" spans="1:62" ht="20.100000000000001" customHeight="1" x14ac:dyDescent="0.3">
      <c r="A128" s="3" t="s">
        <v>137</v>
      </c>
      <c r="B128" s="3">
        <v>21</v>
      </c>
      <c r="C128" s="8">
        <v>44337</v>
      </c>
      <c r="D128" s="9">
        <v>0.82847222222222217</v>
      </c>
      <c r="E128" s="4">
        <v>60</v>
      </c>
      <c r="F128" s="3">
        <v>0</v>
      </c>
      <c r="G128" s="3">
        <v>0</v>
      </c>
      <c r="H128" s="3">
        <v>0</v>
      </c>
      <c r="I128" s="3">
        <v>0</v>
      </c>
      <c r="J128" s="9">
        <v>0.81180555555555556</v>
      </c>
      <c r="K128" s="3">
        <v>143.4</v>
      </c>
      <c r="L128" s="11">
        <f t="shared" ref="L128" si="214">K128-K127</f>
        <v>0</v>
      </c>
      <c r="M128" s="5">
        <f t="shared" ref="M128" si="215">AB127</f>
        <v>1870</v>
      </c>
      <c r="N128" s="11">
        <v>31.25</v>
      </c>
      <c r="O128" s="11">
        <v>32</v>
      </c>
      <c r="P128" s="11">
        <v>10.5</v>
      </c>
      <c r="Q128" s="11">
        <v>10.5</v>
      </c>
      <c r="R128" s="11">
        <v>19.5</v>
      </c>
      <c r="S128" s="11">
        <v>19.5</v>
      </c>
      <c r="T128" s="11">
        <v>14</v>
      </c>
      <c r="U128" s="11">
        <v>13</v>
      </c>
      <c r="V128" s="11">
        <v>17</v>
      </c>
      <c r="W128" s="11">
        <v>16</v>
      </c>
      <c r="X128" s="11">
        <v>7</v>
      </c>
      <c r="Y128" s="11">
        <v>7</v>
      </c>
      <c r="Z128" s="3" t="s">
        <v>732</v>
      </c>
      <c r="AA128" s="10" t="s">
        <v>746</v>
      </c>
      <c r="AB128" s="5">
        <f>780+320+15+440+180+740+600+480+320+80+670</f>
        <v>4625</v>
      </c>
      <c r="AC128" s="6">
        <f>7.5+20+1.25+8+15+30+8+22+17+0+26</f>
        <v>154.75</v>
      </c>
      <c r="AD128" s="6">
        <f>4.5+14+0+8+10.5+30+3+11+10+0+8</f>
        <v>99</v>
      </c>
      <c r="AE128" s="6">
        <f>27+24+0.5+8+3+0+15+8+6+2+21</f>
        <v>114.5</v>
      </c>
      <c r="AF128" s="6">
        <f>144+4+0.5+80+6+120+120+56+35+16+88</f>
        <v>669.5</v>
      </c>
      <c r="AG128" s="6">
        <f>6+0+0.5+4+0+0+0+2+0+0+5</f>
        <v>17.5</v>
      </c>
      <c r="AH128" s="6">
        <f>1680+760+85+2280+45+50+600+390+430+30+1330</f>
        <v>7680</v>
      </c>
      <c r="AI128" s="6">
        <f t="shared" si="1"/>
        <v>3.345945945945946E-2</v>
      </c>
      <c r="AJ128" s="6">
        <f t="shared" si="2"/>
        <v>2.1405405405405406E-2</v>
      </c>
      <c r="AK128" s="6">
        <f t="shared" si="3"/>
        <v>2.4756756756756756E-2</v>
      </c>
      <c r="AL128" s="6">
        <f t="shared" si="4"/>
        <v>0.14475675675675675</v>
      </c>
      <c r="AM128" s="6">
        <f t="shared" si="5"/>
        <v>3.7837837837837837E-3</v>
      </c>
      <c r="AN128" s="6">
        <f t="shared" si="6"/>
        <v>1.6605405405405405</v>
      </c>
      <c r="AO128" s="7">
        <v>5</v>
      </c>
      <c r="AP128" s="7">
        <v>0</v>
      </c>
      <c r="AQ128" s="7">
        <v>0</v>
      </c>
      <c r="AR128" s="10">
        <v>0</v>
      </c>
      <c r="AS128" s="7">
        <v>0</v>
      </c>
      <c r="AT128" s="7">
        <v>0</v>
      </c>
      <c r="AU128" s="7">
        <v>0</v>
      </c>
      <c r="AV128" s="7">
        <v>0</v>
      </c>
      <c r="AW128" s="7">
        <v>31</v>
      </c>
      <c r="AX128" s="7">
        <v>1</v>
      </c>
      <c r="AY128" s="5">
        <v>4</v>
      </c>
      <c r="AZ128" s="7">
        <v>0</v>
      </c>
      <c r="BA128" s="7">
        <v>0</v>
      </c>
      <c r="BB128" s="7">
        <v>0</v>
      </c>
      <c r="BC128" s="7">
        <v>1</v>
      </c>
      <c r="BD128" s="7">
        <v>1</v>
      </c>
      <c r="BE128" s="7">
        <v>0</v>
      </c>
      <c r="BF128" s="7">
        <v>0</v>
      </c>
      <c r="BG128" s="7">
        <v>0</v>
      </c>
      <c r="BH128" s="7">
        <v>0</v>
      </c>
      <c r="BI128" s="7">
        <v>0</v>
      </c>
      <c r="BJ128" s="7">
        <v>1</v>
      </c>
    </row>
    <row r="129" spans="1:62" ht="20.100000000000001" customHeight="1" x14ac:dyDescent="0.3">
      <c r="A129" s="3" t="s">
        <v>19</v>
      </c>
      <c r="B129" s="3">
        <v>22</v>
      </c>
      <c r="C129" s="8">
        <v>44338</v>
      </c>
      <c r="D129" s="9">
        <v>0.28680555555555554</v>
      </c>
      <c r="E129" s="4">
        <v>53</v>
      </c>
      <c r="F129" s="3">
        <v>0</v>
      </c>
      <c r="G129" s="3">
        <v>0</v>
      </c>
      <c r="H129" s="3">
        <v>0</v>
      </c>
      <c r="I129" s="3">
        <v>0</v>
      </c>
      <c r="J129" s="9">
        <v>0.28611111111111115</v>
      </c>
      <c r="K129" s="3">
        <v>143.4</v>
      </c>
      <c r="L129" s="11">
        <f t="shared" ref="L129" si="216">K129-K128</f>
        <v>0</v>
      </c>
      <c r="M129" s="5">
        <f t="shared" ref="M129" si="217">AB128</f>
        <v>4625</v>
      </c>
      <c r="N129" s="11">
        <v>31</v>
      </c>
      <c r="O129" s="11">
        <v>32.5</v>
      </c>
      <c r="P129" s="11">
        <v>10.5</v>
      </c>
      <c r="Q129" s="11">
        <v>10.375</v>
      </c>
      <c r="R129" s="11">
        <v>19.625</v>
      </c>
      <c r="S129" s="11">
        <v>19.75</v>
      </c>
      <c r="T129" s="11">
        <v>14</v>
      </c>
      <c r="U129" s="11">
        <v>12</v>
      </c>
      <c r="V129" s="11">
        <v>15</v>
      </c>
      <c r="W129" s="11">
        <v>13</v>
      </c>
      <c r="X129" s="11">
        <v>7</v>
      </c>
      <c r="Y129" s="11">
        <v>7</v>
      </c>
      <c r="Z129" s="3" t="s">
        <v>736</v>
      </c>
      <c r="AA129" s="10" t="s">
        <v>744</v>
      </c>
      <c r="AB129" s="5">
        <f>55+100.75+175+90+120+204+267+480+300+160</f>
        <v>1951.75</v>
      </c>
      <c r="AC129" s="6">
        <f>3.25+7+8.75+0+0+20.4+16+12+24+10</f>
        <v>101.4</v>
      </c>
      <c r="AD129" s="6">
        <f>2+2.5+0.625+0+0+12.8+9.3+8+17.5+7</f>
        <v>59.725000000000001</v>
      </c>
      <c r="AE129" s="6">
        <f>0.5+5.04+2.5+0+3+4.4+4+8+5+12</f>
        <v>44.44</v>
      </c>
      <c r="AF129" s="6">
        <f>6+4.04+20+25+24+1.6+26.7+80+10+2</f>
        <v>199.33999999999997</v>
      </c>
      <c r="AG129" s="6">
        <f>0.5+1.29+1.25+0+0+0+0+4+0+0</f>
        <v>7.04</v>
      </c>
      <c r="AH129" s="6">
        <f>0+93.5+150+30+45+172+66.7+1640+75+380</f>
        <v>2652.2</v>
      </c>
      <c r="AI129" s="6">
        <f t="shared" ref="AI129:AI150" si="218">$AC129/$AB129</f>
        <v>5.1953375176123993E-2</v>
      </c>
      <c r="AJ129" s="6">
        <f t="shared" ref="AJ129:AJ150" si="219">$AD129/$AB129</f>
        <v>3.0600742923017805E-2</v>
      </c>
      <c r="AK129" s="6">
        <f t="shared" ref="AK129:AK150" si="220">$AE129/$AB129</f>
        <v>2.2769309593954144E-2</v>
      </c>
      <c r="AL129" s="6">
        <f t="shared" ref="AL129:AL150" si="221">$AF129/$AB129</f>
        <v>0.10213398232355576</v>
      </c>
      <c r="AM129" s="6">
        <f t="shared" ref="AM129:AM150" si="222">$AG129/$AB129</f>
        <v>3.607019341616498E-3</v>
      </c>
      <c r="AN129" s="6">
        <f t="shared" ref="AN129:AN150" si="223">$AH129/$AB129</f>
        <v>1.3588830536697833</v>
      </c>
      <c r="AO129" s="7">
        <v>3</v>
      </c>
      <c r="AP129" s="7">
        <v>1</v>
      </c>
      <c r="AQ129" s="7">
        <v>0</v>
      </c>
      <c r="AR129" s="10">
        <v>0</v>
      </c>
      <c r="AS129" s="7">
        <v>0</v>
      </c>
      <c r="AT129" s="7">
        <v>0</v>
      </c>
      <c r="AU129" s="7">
        <v>0</v>
      </c>
      <c r="AV129" s="7">
        <v>0</v>
      </c>
      <c r="AW129" s="7">
        <v>31</v>
      </c>
      <c r="AX129" s="7">
        <v>1</v>
      </c>
      <c r="AY129" s="5">
        <v>7</v>
      </c>
      <c r="AZ129" s="7">
        <v>0</v>
      </c>
      <c r="BA129" s="7">
        <v>0</v>
      </c>
      <c r="BB129" s="7">
        <v>0</v>
      </c>
      <c r="BC129" s="7">
        <v>1</v>
      </c>
      <c r="BD129" s="7">
        <v>1</v>
      </c>
      <c r="BE129" s="7">
        <v>0</v>
      </c>
      <c r="BF129" s="7">
        <v>0</v>
      </c>
      <c r="BG129" s="7">
        <v>0</v>
      </c>
      <c r="BH129" s="7">
        <v>0</v>
      </c>
      <c r="BI129" s="7">
        <v>0</v>
      </c>
      <c r="BJ129" s="7">
        <v>1</v>
      </c>
    </row>
    <row r="130" spans="1:62" ht="20.100000000000001" customHeight="1" x14ac:dyDescent="0.3">
      <c r="A130" s="3" t="s">
        <v>23</v>
      </c>
      <c r="B130" s="3">
        <v>23</v>
      </c>
      <c r="C130" s="8">
        <v>44339</v>
      </c>
      <c r="D130" s="9">
        <v>0.22222222222222221</v>
      </c>
      <c r="E130" s="4">
        <v>50</v>
      </c>
      <c r="F130" s="3">
        <v>0</v>
      </c>
      <c r="G130" s="3">
        <v>0</v>
      </c>
      <c r="H130" s="3">
        <v>0</v>
      </c>
      <c r="I130" s="3">
        <v>0</v>
      </c>
      <c r="J130" s="9">
        <v>0.28125</v>
      </c>
      <c r="K130" s="3">
        <v>142.6</v>
      </c>
      <c r="L130" s="11">
        <f t="shared" ref="L130" si="224">K130-K129</f>
        <v>-0.80000000000001137</v>
      </c>
      <c r="M130" s="5">
        <f t="shared" ref="M130" si="225">AB129</f>
        <v>1951.75</v>
      </c>
      <c r="N130" s="11">
        <v>31</v>
      </c>
      <c r="O130" s="11">
        <v>32</v>
      </c>
      <c r="P130" s="11">
        <v>10.5</v>
      </c>
      <c r="Q130" s="11">
        <v>10.5</v>
      </c>
      <c r="R130" s="11">
        <v>19.625</v>
      </c>
      <c r="S130" s="11">
        <v>19.75</v>
      </c>
      <c r="T130" s="11">
        <v>13</v>
      </c>
      <c r="U130" s="11">
        <v>11</v>
      </c>
      <c r="V130" s="11">
        <v>17</v>
      </c>
      <c r="W130" s="11">
        <v>15</v>
      </c>
      <c r="X130" s="11">
        <v>7</v>
      </c>
      <c r="Y130" s="11">
        <v>7</v>
      </c>
      <c r="Z130" s="3" t="s">
        <v>747</v>
      </c>
      <c r="AA130" s="10" t="s">
        <v>748</v>
      </c>
      <c r="AB130" s="5">
        <f>400+988.4+204+266.67+140+216+160</f>
        <v>2375.0700000000002</v>
      </c>
      <c r="AC130" s="6">
        <f>10+18.275+20.4+16+6+0+10</f>
        <v>80.674999999999997</v>
      </c>
      <c r="AD130" s="6">
        <f>5+3.3+12.8+9.3+0+0+7</f>
        <v>37.400000000000006</v>
      </c>
      <c r="AE130" s="6">
        <f>4+38.1+4+4+0+6+12</f>
        <v>68.099999999999994</v>
      </c>
      <c r="AF130" s="6">
        <f>74+132.5+1.6+26.7+20+42+2</f>
        <v>298.79999999999995</v>
      </c>
      <c r="AG130" s="6">
        <f>1+16.88+0+0+0+6+0</f>
        <v>23.88</v>
      </c>
      <c r="AH130" s="6">
        <f>240+2007+172+66.67+60+108+380</f>
        <v>3033.67</v>
      </c>
      <c r="AI130" s="6">
        <f t="shared" si="218"/>
        <v>3.3967419907623773E-2</v>
      </c>
      <c r="AJ130" s="6">
        <f t="shared" si="219"/>
        <v>1.574690430176795E-2</v>
      </c>
      <c r="AK130" s="6">
        <f t="shared" si="220"/>
        <v>2.8672839116320778E-2</v>
      </c>
      <c r="AL130" s="6">
        <f t="shared" si="221"/>
        <v>0.12580681832535459</v>
      </c>
      <c r="AM130" s="6">
        <f t="shared" si="222"/>
        <v>1.0054440500701031E-2</v>
      </c>
      <c r="AN130" s="6">
        <f t="shared" si="223"/>
        <v>1.2772970901910259</v>
      </c>
      <c r="AO130" s="7">
        <v>5</v>
      </c>
      <c r="AP130" s="7">
        <v>1</v>
      </c>
      <c r="AQ130" s="7">
        <v>0</v>
      </c>
      <c r="AR130" s="10">
        <v>0</v>
      </c>
      <c r="AS130" s="7">
        <v>0</v>
      </c>
      <c r="AT130" s="7">
        <v>0</v>
      </c>
      <c r="AU130" s="7">
        <v>0</v>
      </c>
      <c r="AV130" s="7">
        <v>0</v>
      </c>
      <c r="AW130" s="7">
        <v>31</v>
      </c>
      <c r="AX130" s="7">
        <v>1</v>
      </c>
      <c r="AY130" s="5">
        <v>7</v>
      </c>
      <c r="AZ130" s="7">
        <v>1</v>
      </c>
      <c r="BA130" s="7">
        <v>0</v>
      </c>
      <c r="BB130" s="7">
        <v>1</v>
      </c>
      <c r="BC130" s="7">
        <v>1</v>
      </c>
      <c r="BD130" s="7">
        <v>1</v>
      </c>
      <c r="BE130" s="7">
        <v>0</v>
      </c>
      <c r="BF130" s="7">
        <v>0</v>
      </c>
      <c r="BG130" s="7">
        <v>0</v>
      </c>
      <c r="BH130" s="7">
        <v>0</v>
      </c>
      <c r="BI130" s="7">
        <v>0</v>
      </c>
      <c r="BJ130" s="7">
        <v>1</v>
      </c>
    </row>
    <row r="131" spans="1:62" ht="20.100000000000001" customHeight="1" x14ac:dyDescent="0.3">
      <c r="A131" s="3" t="s">
        <v>15</v>
      </c>
      <c r="B131" s="3">
        <v>24</v>
      </c>
      <c r="C131" s="8">
        <v>44340</v>
      </c>
      <c r="D131" s="9">
        <v>0.54722222222222217</v>
      </c>
      <c r="E131" s="4">
        <v>91</v>
      </c>
      <c r="F131" s="3">
        <v>0</v>
      </c>
      <c r="G131" s="3">
        <v>0</v>
      </c>
      <c r="H131" s="3">
        <v>0</v>
      </c>
      <c r="I131" s="3">
        <v>0</v>
      </c>
      <c r="J131" s="9">
        <v>0.58611111111111114</v>
      </c>
      <c r="K131" s="3">
        <v>142.6</v>
      </c>
      <c r="L131" s="11">
        <f t="shared" ref="L131" si="226">K131-K130</f>
        <v>0</v>
      </c>
      <c r="M131" s="5">
        <f t="shared" ref="M131" si="227">AB130</f>
        <v>2375.0700000000002</v>
      </c>
      <c r="N131" s="11">
        <v>30</v>
      </c>
      <c r="O131" s="11">
        <v>31.75</v>
      </c>
      <c r="P131" s="11">
        <v>10.5</v>
      </c>
      <c r="Q131" s="11">
        <v>10.5</v>
      </c>
      <c r="R131" s="11">
        <v>20</v>
      </c>
      <c r="S131" s="11">
        <v>20</v>
      </c>
      <c r="T131" s="11">
        <v>15</v>
      </c>
      <c r="U131" s="11">
        <v>11</v>
      </c>
      <c r="V131" s="11">
        <v>16</v>
      </c>
      <c r="W131" s="11">
        <v>13</v>
      </c>
      <c r="X131" s="11">
        <v>7</v>
      </c>
      <c r="Y131" s="11">
        <v>7</v>
      </c>
      <c r="Z131" s="3" t="s">
        <v>752</v>
      </c>
      <c r="AA131" s="10" t="s">
        <v>751</v>
      </c>
      <c r="AB131" s="5">
        <f>160+240+360+140+144+160+160+100+30+240+267+110+7.5+988.4+204+140+140</f>
        <v>3590.9</v>
      </c>
      <c r="AC131" s="6">
        <f>4+15+30+10+0+10+160+8+0+14+16+6.5+0.63+18.275+20.4+7+6</f>
        <v>325.80499999999995</v>
      </c>
      <c r="AD131" s="6">
        <f>2.67+10.5+21+3+0+1.5+160+4.5+0+8+9.3+4+0+3.3+12.8+0.5+0</f>
        <v>241.07000000000005</v>
      </c>
      <c r="AE131" s="6">
        <f>2.67+18+6+12+4+1+160+5+0+19+4+1+0.25+38.1+4.4+2+0</f>
        <v>277.42</v>
      </c>
      <c r="AF131" s="6">
        <f>26.67+3+12+0+28+15+160+2+8+9+26.7+12+0.25+132.5+1.6+16+20</f>
        <v>472.72</v>
      </c>
      <c r="AG131" s="6">
        <f>1.33+0+0+0+4+1+160+0+1+3+0+1+0.25+16.9+0+1+0</f>
        <v>189.48000000000002</v>
      </c>
      <c r="AH131" s="6">
        <f>546.7+570+90+140+72+115+160+360+150+370+66.7+0+42.5+2007+172+120+60</f>
        <v>5041.8999999999996</v>
      </c>
      <c r="AI131" s="6">
        <f t="shared" si="218"/>
        <v>9.0730736027179806E-2</v>
      </c>
      <c r="AJ131" s="6">
        <f t="shared" si="219"/>
        <v>6.7133587679968826E-2</v>
      </c>
      <c r="AK131" s="6">
        <f t="shared" si="220"/>
        <v>7.7256398117463584E-2</v>
      </c>
      <c r="AL131" s="6">
        <f t="shared" si="221"/>
        <v>0.13164387757943691</v>
      </c>
      <c r="AM131" s="6">
        <f t="shared" si="222"/>
        <v>5.276671586510346E-2</v>
      </c>
      <c r="AN131" s="6">
        <f t="shared" si="223"/>
        <v>1.4040769723467652</v>
      </c>
      <c r="AO131" s="7">
        <v>4</v>
      </c>
      <c r="AP131" s="7">
        <v>2</v>
      </c>
      <c r="AQ131" s="7">
        <v>0</v>
      </c>
      <c r="AR131" s="10">
        <v>0</v>
      </c>
      <c r="AS131" s="7">
        <v>0</v>
      </c>
      <c r="AT131" s="7">
        <v>0</v>
      </c>
      <c r="AU131" s="7">
        <v>0</v>
      </c>
      <c r="AV131" s="7">
        <v>0</v>
      </c>
      <c r="AW131" s="7">
        <v>31</v>
      </c>
      <c r="AX131" s="7">
        <v>1</v>
      </c>
      <c r="AY131" s="5">
        <v>6</v>
      </c>
      <c r="AZ131" s="7">
        <v>1</v>
      </c>
      <c r="BA131" s="7">
        <v>0</v>
      </c>
      <c r="BB131" s="7">
        <v>1</v>
      </c>
      <c r="BC131" s="7">
        <v>1</v>
      </c>
      <c r="BD131" s="7">
        <v>1</v>
      </c>
      <c r="BE131" s="7">
        <v>0</v>
      </c>
      <c r="BF131" s="7">
        <v>0</v>
      </c>
      <c r="BG131" s="7">
        <v>0</v>
      </c>
      <c r="BH131" s="7">
        <v>0</v>
      </c>
      <c r="BI131" s="7">
        <v>0</v>
      </c>
      <c r="BJ131" s="7">
        <v>1</v>
      </c>
    </row>
    <row r="132" spans="1:62" ht="20.100000000000001" customHeight="1" x14ac:dyDescent="0.3">
      <c r="A132" s="3" t="s">
        <v>16</v>
      </c>
      <c r="B132" s="3">
        <v>0</v>
      </c>
      <c r="C132" s="8">
        <v>44341</v>
      </c>
      <c r="D132" s="9">
        <v>0.92013888888888884</v>
      </c>
      <c r="E132" s="4">
        <v>72</v>
      </c>
      <c r="F132" s="3">
        <v>0</v>
      </c>
      <c r="G132" s="3">
        <v>0</v>
      </c>
      <c r="H132" s="3">
        <v>0</v>
      </c>
      <c r="I132" s="3">
        <v>0</v>
      </c>
      <c r="J132" s="9">
        <v>0.45624999999999999</v>
      </c>
      <c r="K132" s="3">
        <v>140.80000000000001</v>
      </c>
      <c r="L132" s="11">
        <f t="shared" ref="L132" si="228">K132-K131</f>
        <v>-1.7999999999999829</v>
      </c>
      <c r="M132" s="5">
        <f t="shared" ref="M132" si="229">AB131</f>
        <v>3590.9</v>
      </c>
      <c r="N132" s="11">
        <v>30.75</v>
      </c>
      <c r="O132" s="11">
        <v>31.75</v>
      </c>
      <c r="P132" s="11">
        <v>10.625</v>
      </c>
      <c r="Q132" s="11">
        <v>10.625</v>
      </c>
      <c r="R132" s="11">
        <v>19.75</v>
      </c>
      <c r="S132" s="11">
        <v>19.75</v>
      </c>
      <c r="T132" s="11">
        <v>15</v>
      </c>
      <c r="U132" s="11">
        <v>12</v>
      </c>
      <c r="V132" s="11">
        <v>17</v>
      </c>
      <c r="W132" s="11">
        <v>15</v>
      </c>
      <c r="X132" s="11">
        <v>7</v>
      </c>
      <c r="Y132" s="11">
        <v>7</v>
      </c>
      <c r="Z132" s="3" t="s">
        <v>755</v>
      </c>
      <c r="AA132" s="10" t="s">
        <v>754</v>
      </c>
      <c r="AB132" s="5">
        <f>640+160+120+240+240+160+576+200+360+400+50+220</f>
        <v>3366</v>
      </c>
      <c r="AC132" s="6">
        <f>8+10+0+6+20+10+33.6+16+0+24+3+13</f>
        <v>143.6</v>
      </c>
      <c r="AD132" s="6">
        <f>0+7+0+4+14+1.5+19.2+9+0+14+3+8</f>
        <v>79.7</v>
      </c>
      <c r="AE132" s="6">
        <f>8+12+0+4+4+1+45.5+10+0+6+0+2</f>
        <v>92.5</v>
      </c>
      <c r="AF132" s="6">
        <f>128+2+32+40+8+15+21.6+4+100+40+6+24</f>
        <v>420.6</v>
      </c>
      <c r="AG132" s="6">
        <f>20+0+4+2+0+1+7.2+2+0+0+0+2</f>
        <v>38.200000000000003</v>
      </c>
      <c r="AH132" s="6">
        <f>800+380+600+820+60+115+888+720+120+100+0+0</f>
        <v>4603</v>
      </c>
      <c r="AI132" s="6">
        <f t="shared" si="218"/>
        <v>4.2661913250148543E-2</v>
      </c>
      <c r="AJ132" s="6">
        <f t="shared" si="219"/>
        <v>2.3677956030897208E-2</v>
      </c>
      <c r="AK132" s="6">
        <f t="shared" si="220"/>
        <v>2.7480689245395127E-2</v>
      </c>
      <c r="AL132" s="6">
        <f t="shared" si="221"/>
        <v>0.12495543672014262</v>
      </c>
      <c r="AM132" s="6">
        <f t="shared" si="222"/>
        <v>1.1348781937017232E-2</v>
      </c>
      <c r="AN132" s="6">
        <f t="shared" si="223"/>
        <v>1.3674985145573382</v>
      </c>
      <c r="AO132" s="7">
        <v>5</v>
      </c>
      <c r="AP132" s="7">
        <v>1</v>
      </c>
      <c r="AQ132" s="7">
        <v>1</v>
      </c>
      <c r="AR132" s="10">
        <v>0</v>
      </c>
      <c r="AS132" s="7">
        <v>0</v>
      </c>
      <c r="AT132" s="7">
        <v>0</v>
      </c>
      <c r="AU132" s="7">
        <v>0</v>
      </c>
      <c r="AV132" s="7">
        <v>0</v>
      </c>
      <c r="AW132" s="7">
        <v>0</v>
      </c>
      <c r="AX132" s="7">
        <v>1</v>
      </c>
      <c r="AY132" s="5">
        <v>5.5</v>
      </c>
      <c r="AZ132" s="7">
        <v>1</v>
      </c>
      <c r="BA132" s="7">
        <v>0</v>
      </c>
      <c r="BB132" s="7">
        <v>0</v>
      </c>
      <c r="BC132" s="7">
        <v>1</v>
      </c>
      <c r="BD132" s="7">
        <v>1</v>
      </c>
      <c r="BE132" s="7">
        <v>0</v>
      </c>
      <c r="BF132" s="7">
        <v>0</v>
      </c>
      <c r="BG132" s="7">
        <v>0</v>
      </c>
      <c r="BH132" s="7">
        <v>0</v>
      </c>
      <c r="BI132" s="7">
        <v>0</v>
      </c>
      <c r="BJ132" s="7">
        <v>1</v>
      </c>
    </row>
    <row r="133" spans="1:62" ht="20.100000000000001" customHeight="1" x14ac:dyDescent="0.3">
      <c r="A133" s="3" t="s">
        <v>17</v>
      </c>
      <c r="B133" s="3">
        <v>1</v>
      </c>
      <c r="C133" s="8">
        <v>44342</v>
      </c>
      <c r="D133" s="9">
        <v>0.87430555555555556</v>
      </c>
      <c r="E133" s="4">
        <v>66</v>
      </c>
      <c r="F133" s="3">
        <v>0</v>
      </c>
      <c r="G133" s="3">
        <v>0</v>
      </c>
      <c r="H133" s="3">
        <v>0</v>
      </c>
      <c r="I133" s="3">
        <v>0</v>
      </c>
      <c r="J133" s="9">
        <v>0.32361111111111113</v>
      </c>
      <c r="K133" s="3">
        <v>143.6</v>
      </c>
      <c r="L133" s="11">
        <f t="shared" ref="L133" si="230">K133-K132</f>
        <v>2.7999999999999829</v>
      </c>
      <c r="M133" s="5">
        <f t="shared" ref="M133" si="231">AB132</f>
        <v>3366</v>
      </c>
      <c r="N133" s="11">
        <v>31</v>
      </c>
      <c r="O133" s="11">
        <v>32</v>
      </c>
      <c r="P133" s="11">
        <v>10.625</v>
      </c>
      <c r="Q133" s="11">
        <v>10.625</v>
      </c>
      <c r="R133" s="11">
        <v>19.5</v>
      </c>
      <c r="S133" s="11">
        <v>19.875</v>
      </c>
      <c r="T133" s="11">
        <v>13</v>
      </c>
      <c r="U133" s="11">
        <v>10</v>
      </c>
      <c r="V133" s="11">
        <v>15</v>
      </c>
      <c r="W133" s="11">
        <v>15</v>
      </c>
      <c r="X133" s="11">
        <v>7</v>
      </c>
      <c r="Y133" s="11">
        <v>7</v>
      </c>
      <c r="Z133" s="3" t="s">
        <v>764</v>
      </c>
      <c r="AA133" s="10" t="s">
        <v>763</v>
      </c>
      <c r="AB133" s="5">
        <f>266.7+220+40+240+640+330+220+230+180+100+140+130+80+30+50+160+180</f>
        <v>3236.7</v>
      </c>
      <c r="AC133" s="6">
        <f>16+13+3+5+34+17+14+9+15+8+7+5+1+0+4+10+15</f>
        <v>176</v>
      </c>
      <c r="AD133" s="6">
        <f>9.3+8+0+0+20+10+8+2+10.5+4.5+0.5+0.5+0+0+2.25+1.5+10.5</f>
        <v>87.55</v>
      </c>
      <c r="AE133" s="6">
        <f>4+2+1+40+12+10+1+9+3+5+2+16+1+0+2.5+1+3</f>
        <v>112.5</v>
      </c>
      <c r="AF133" s="6">
        <f>26.7+24+2+10+70+34+34+40+6+2+16+8+16+8+1+15+6</f>
        <v>318.7</v>
      </c>
      <c r="AG133" s="6">
        <f>0+2+1+4+0+1+0+5+0+0+1+4+2.5+1+0+1+0</f>
        <v>22.5</v>
      </c>
      <c r="AH133" s="6">
        <f>66.7+0+180+680+860+270+180+580+45+360+120+390+100+150+180+115+45</f>
        <v>4321.7</v>
      </c>
      <c r="AI133" s="6">
        <f t="shared" si="218"/>
        <v>5.4376370995149387E-2</v>
      </c>
      <c r="AJ133" s="6">
        <f t="shared" si="219"/>
        <v>2.7049155003553003E-2</v>
      </c>
      <c r="AK133" s="6">
        <f t="shared" si="220"/>
        <v>3.4757623505422192E-2</v>
      </c>
      <c r="AL133" s="6">
        <f t="shared" si="221"/>
        <v>9.8464485432693802E-2</v>
      </c>
      <c r="AM133" s="6">
        <f t="shared" si="222"/>
        <v>6.9515247010844385E-3</v>
      </c>
      <c r="AN133" s="6">
        <f t="shared" si="223"/>
        <v>1.3352179689189607</v>
      </c>
      <c r="AO133" s="7">
        <v>5</v>
      </c>
      <c r="AP133" s="7">
        <v>2</v>
      </c>
      <c r="AQ133" s="7">
        <v>1</v>
      </c>
      <c r="AR133" s="10">
        <v>0</v>
      </c>
      <c r="AS133" s="7">
        <v>0</v>
      </c>
      <c r="AT133" s="7">
        <v>0</v>
      </c>
      <c r="AU133" s="7">
        <v>0</v>
      </c>
      <c r="AV133" s="7">
        <v>0</v>
      </c>
      <c r="AW133" s="7">
        <v>31</v>
      </c>
      <c r="AX133" s="7">
        <v>1</v>
      </c>
      <c r="AY133" s="5">
        <v>5.5</v>
      </c>
      <c r="AZ133" s="7">
        <v>0</v>
      </c>
      <c r="BA133" s="7">
        <v>0</v>
      </c>
      <c r="BB133" s="7">
        <v>0</v>
      </c>
      <c r="BC133" s="7">
        <v>1</v>
      </c>
      <c r="BD133" s="7">
        <v>1</v>
      </c>
      <c r="BE133" s="7">
        <v>2</v>
      </c>
      <c r="BF133" s="7">
        <v>0</v>
      </c>
      <c r="BG133" s="7">
        <v>0</v>
      </c>
      <c r="BH133" s="7">
        <v>0</v>
      </c>
      <c r="BI133" s="7">
        <v>0</v>
      </c>
      <c r="BJ133" s="7">
        <v>1</v>
      </c>
    </row>
    <row r="134" spans="1:62" ht="20.100000000000001" customHeight="1" x14ac:dyDescent="0.3">
      <c r="A134" s="3" t="s">
        <v>18</v>
      </c>
      <c r="B134" s="3">
        <v>2</v>
      </c>
      <c r="C134" s="8">
        <v>44343</v>
      </c>
      <c r="D134" s="9">
        <v>0.42291666666666666</v>
      </c>
      <c r="E134" s="4">
        <v>63</v>
      </c>
      <c r="F134" s="3">
        <v>0</v>
      </c>
      <c r="G134" s="3">
        <v>0</v>
      </c>
      <c r="H134" s="3">
        <v>0</v>
      </c>
      <c r="I134" s="3">
        <v>0</v>
      </c>
      <c r="J134" s="9">
        <v>0.83263888888888893</v>
      </c>
      <c r="K134" s="3">
        <v>142</v>
      </c>
      <c r="L134" s="11">
        <f t="shared" ref="L134" si="232">K134-K133</f>
        <v>-1.5999999999999943</v>
      </c>
      <c r="M134" s="5">
        <f t="shared" ref="M134" si="233">AB133</f>
        <v>3236.7</v>
      </c>
      <c r="N134" s="11">
        <v>31</v>
      </c>
      <c r="O134" s="11">
        <v>32</v>
      </c>
      <c r="P134" s="11">
        <v>10.5</v>
      </c>
      <c r="Q134" s="11">
        <v>10.625</v>
      </c>
      <c r="R134" s="11">
        <v>19.75</v>
      </c>
      <c r="S134" s="11">
        <v>19.875</v>
      </c>
      <c r="T134" s="11">
        <v>11</v>
      </c>
      <c r="U134" s="11">
        <v>16</v>
      </c>
      <c r="V134" s="11">
        <v>17</v>
      </c>
      <c r="W134" s="11">
        <v>15</v>
      </c>
      <c r="X134" s="11">
        <v>7</v>
      </c>
      <c r="Y134" s="11">
        <v>7</v>
      </c>
      <c r="Z134" s="3" t="s">
        <v>767</v>
      </c>
      <c r="AA134" s="10" t="s">
        <v>766</v>
      </c>
      <c r="AB134" s="5">
        <f>160+280+160+100+75+560+400+120+220+320+360</f>
        <v>2755</v>
      </c>
      <c r="AC134" s="6">
        <f>32+52+2+2+20+94+40+5+29+30+12</f>
        <v>318</v>
      </c>
      <c r="AD134" s="6">
        <f>0+0+7+4.5+0+6+14+0+7+3+21</f>
        <v>62.5</v>
      </c>
      <c r="AE134" s="6">
        <f>2+12+12+5+0+14+6+20+3+2+6</f>
        <v>82</v>
      </c>
      <c r="AF134" s="6">
        <f>32+52+2+2+20+94+40+5+29+30+12</f>
        <v>318</v>
      </c>
      <c r="AG134" s="6">
        <f>5+8+0+1+2.5+6+0+2+0+2+0</f>
        <v>26.5</v>
      </c>
      <c r="AH134" s="6">
        <f>200+420+380+375+1060+100+340+75+230+90</f>
        <v>3270</v>
      </c>
      <c r="AI134" s="6">
        <f t="shared" si="218"/>
        <v>0.11542649727767695</v>
      </c>
      <c r="AJ134" s="6">
        <f t="shared" si="219"/>
        <v>2.2686025408348458E-2</v>
      </c>
      <c r="AK134" s="6">
        <f t="shared" si="220"/>
        <v>2.9764065335753175E-2</v>
      </c>
      <c r="AL134" s="6">
        <f t="shared" si="221"/>
        <v>0.11542649727767695</v>
      </c>
      <c r="AM134" s="6">
        <f t="shared" si="222"/>
        <v>9.6188747731397461E-3</v>
      </c>
      <c r="AN134" s="6">
        <f t="shared" si="223"/>
        <v>1.1869328493647913</v>
      </c>
      <c r="AO134" s="7">
        <v>4</v>
      </c>
      <c r="AP134" s="7">
        <v>1</v>
      </c>
      <c r="AQ134" s="7">
        <v>1</v>
      </c>
      <c r="AR134" s="10">
        <v>0</v>
      </c>
      <c r="AS134" s="7">
        <v>0</v>
      </c>
      <c r="AT134" s="7">
        <v>0</v>
      </c>
      <c r="AU134" s="7">
        <v>0</v>
      </c>
      <c r="AV134" s="7">
        <v>0</v>
      </c>
      <c r="AW134" s="7">
        <v>0</v>
      </c>
      <c r="AX134" s="7">
        <v>0</v>
      </c>
      <c r="AY134" s="5">
        <v>6</v>
      </c>
      <c r="AZ134" s="7">
        <v>0</v>
      </c>
      <c r="BA134" s="7">
        <v>0</v>
      </c>
      <c r="BB134" s="7">
        <v>0</v>
      </c>
      <c r="BC134" s="7">
        <v>1</v>
      </c>
      <c r="BD134" s="7">
        <v>1</v>
      </c>
      <c r="BE134" s="7">
        <v>1</v>
      </c>
      <c r="BF134" s="7">
        <v>0</v>
      </c>
      <c r="BG134" s="7">
        <v>0</v>
      </c>
      <c r="BH134" s="7">
        <v>0</v>
      </c>
      <c r="BI134" s="7">
        <v>0</v>
      </c>
      <c r="BJ134" s="7">
        <v>1</v>
      </c>
    </row>
    <row r="135" spans="1:62" ht="20.100000000000001" customHeight="1" x14ac:dyDescent="0.3">
      <c r="A135" s="3" t="s">
        <v>137</v>
      </c>
      <c r="B135" s="3">
        <v>3</v>
      </c>
      <c r="C135" s="8">
        <v>44344</v>
      </c>
      <c r="D135" s="9">
        <v>0.78819444444444453</v>
      </c>
      <c r="E135" s="4">
        <v>76</v>
      </c>
      <c r="F135" s="3">
        <v>0</v>
      </c>
      <c r="G135" s="3">
        <v>0</v>
      </c>
      <c r="H135" s="3">
        <v>0</v>
      </c>
      <c r="I135" s="3">
        <v>0</v>
      </c>
      <c r="J135" s="9">
        <v>0.3125</v>
      </c>
      <c r="K135" s="3">
        <v>142</v>
      </c>
      <c r="L135" s="11">
        <f t="shared" ref="L135" si="234">K135-K134</f>
        <v>0</v>
      </c>
      <c r="M135" s="5">
        <f t="shared" ref="M135" si="235">AB134</f>
        <v>2755</v>
      </c>
      <c r="N135" s="11">
        <v>39.75</v>
      </c>
      <c r="O135" s="11">
        <v>32.25</v>
      </c>
      <c r="P135" s="11">
        <v>10.625</v>
      </c>
      <c r="Q135" s="11">
        <v>10.625</v>
      </c>
      <c r="R135" s="11">
        <v>19.875</v>
      </c>
      <c r="S135" s="11">
        <v>19.75</v>
      </c>
      <c r="T135" s="11">
        <v>14</v>
      </c>
      <c r="U135" s="11">
        <v>11</v>
      </c>
      <c r="V135" s="11">
        <v>16</v>
      </c>
      <c r="W135" s="11">
        <v>16</v>
      </c>
      <c r="X135" s="11">
        <v>7</v>
      </c>
      <c r="Y135" s="11">
        <v>7</v>
      </c>
      <c r="Z135" s="3" t="s">
        <v>768</v>
      </c>
      <c r="AA135" s="10" t="s">
        <v>774</v>
      </c>
      <c r="AB135" s="5">
        <f>120+220+30+410+150+140+100+40+160+180</f>
        <v>1550</v>
      </c>
      <c r="AC135" s="6">
        <f>2.5+13+2.5+28+8+2+8+2.5+10+15</f>
        <v>91.5</v>
      </c>
      <c r="AD135" s="6">
        <f>0+8+0+13.5+1+0+4.5+1.75+1.5+10.5</f>
        <v>40.75</v>
      </c>
      <c r="AE135" s="6">
        <f>20+3+1+19+16+6+5+3+1+3</f>
        <v>77</v>
      </c>
      <c r="AF135" s="6">
        <f>5+26+1+19+6+26+2+0.5+15+6</f>
        <v>106.5</v>
      </c>
      <c r="AG135" s="6">
        <f>2+1+1+6+3+4+0+0+1+0</f>
        <v>18</v>
      </c>
      <c r="AH135" s="6">
        <f>340+35+170+990+400+210+360+95+115+45</f>
        <v>2760</v>
      </c>
      <c r="AI135" s="6">
        <f t="shared" si="218"/>
        <v>5.9032258064516126E-2</v>
      </c>
      <c r="AJ135" s="6">
        <f t="shared" si="219"/>
        <v>2.6290322580645162E-2</v>
      </c>
      <c r="AK135" s="6">
        <f t="shared" si="220"/>
        <v>4.9677419354838707E-2</v>
      </c>
      <c r="AL135" s="6">
        <f t="shared" si="221"/>
        <v>6.8709677419354839E-2</v>
      </c>
      <c r="AM135" s="6">
        <f t="shared" si="222"/>
        <v>1.1612903225806452E-2</v>
      </c>
      <c r="AN135" s="6">
        <f t="shared" si="223"/>
        <v>1.7806451612903227</v>
      </c>
      <c r="AO135" s="7">
        <v>4</v>
      </c>
      <c r="AP135" s="7">
        <v>1</v>
      </c>
      <c r="AQ135" s="7">
        <v>1</v>
      </c>
      <c r="AR135" s="10">
        <v>0</v>
      </c>
      <c r="AS135" s="7">
        <v>0</v>
      </c>
      <c r="AT135" s="7">
        <v>0</v>
      </c>
      <c r="AU135" s="7">
        <v>0</v>
      </c>
      <c r="AV135" s="7">
        <v>0</v>
      </c>
      <c r="AW135" s="7">
        <v>31</v>
      </c>
      <c r="AX135" s="7">
        <v>1</v>
      </c>
      <c r="AY135" s="5">
        <v>6.5</v>
      </c>
      <c r="AZ135" s="7">
        <v>0</v>
      </c>
      <c r="BA135" s="7">
        <v>0</v>
      </c>
      <c r="BB135" s="7">
        <v>0</v>
      </c>
      <c r="BC135" s="7">
        <v>1</v>
      </c>
      <c r="BD135" s="7">
        <v>1</v>
      </c>
      <c r="BE135" s="7">
        <v>1</v>
      </c>
      <c r="BF135" s="7">
        <v>0</v>
      </c>
      <c r="BG135" s="7">
        <v>0</v>
      </c>
      <c r="BH135" s="7">
        <v>0</v>
      </c>
      <c r="BI135" s="7">
        <v>0</v>
      </c>
      <c r="BJ135" s="7">
        <v>1</v>
      </c>
    </row>
    <row r="136" spans="1:62" ht="20.100000000000001" customHeight="1" x14ac:dyDescent="0.3">
      <c r="A136" s="3" t="s">
        <v>19</v>
      </c>
      <c r="B136" s="3">
        <v>4</v>
      </c>
      <c r="C136" s="8">
        <v>44345</v>
      </c>
      <c r="D136" s="9">
        <v>0.81041666666666667</v>
      </c>
      <c r="E136" s="4">
        <v>71</v>
      </c>
      <c r="F136" s="3">
        <v>0</v>
      </c>
      <c r="G136" s="3">
        <v>0</v>
      </c>
      <c r="H136" s="3">
        <v>0</v>
      </c>
      <c r="I136" s="3">
        <v>0</v>
      </c>
      <c r="J136" s="9">
        <v>0.28819444444444448</v>
      </c>
      <c r="K136" s="3">
        <v>142</v>
      </c>
      <c r="L136" s="11">
        <f t="shared" ref="L136" si="236">K136-K135</f>
        <v>0</v>
      </c>
      <c r="M136" s="5">
        <f t="shared" ref="M136" si="237">AB135</f>
        <v>1550</v>
      </c>
      <c r="N136" s="11">
        <v>30.25</v>
      </c>
      <c r="O136" s="11">
        <v>31.75</v>
      </c>
      <c r="P136" s="11">
        <v>10.5</v>
      </c>
      <c r="Q136" s="11">
        <v>10.625</v>
      </c>
      <c r="R136" s="11">
        <v>19.625</v>
      </c>
      <c r="S136" s="11">
        <v>19.625</v>
      </c>
      <c r="T136" s="11">
        <v>15</v>
      </c>
      <c r="U136" s="11">
        <v>11</v>
      </c>
      <c r="V136" s="11">
        <v>17</v>
      </c>
      <c r="W136" s="11">
        <v>17</v>
      </c>
      <c r="X136" s="11">
        <v>7</v>
      </c>
      <c r="Y136" s="11">
        <v>7</v>
      </c>
      <c r="Z136" s="3" t="s">
        <v>778</v>
      </c>
      <c r="AA136" s="10" t="s">
        <v>777</v>
      </c>
      <c r="AB136" s="5">
        <f>400+320+330+480+105+160+150+580+100+80+75+210</f>
        <v>2990</v>
      </c>
      <c r="AC136" s="6">
        <f>10+17+21+26+4.5+6+8+7+8+5+0+9.5</f>
        <v>122</v>
      </c>
      <c r="AD136" s="6">
        <f>5+10+12+5+0+1+1+0+4.5+3.5+0+7.25</f>
        <v>49.25</v>
      </c>
      <c r="AE136" s="6">
        <f>4+6+5+6+0+9+16+8+5+6+0+6</f>
        <v>71</v>
      </c>
      <c r="AF136" s="6">
        <f>74+35+30+59+15+19+6+120+2+1+20+22.5</f>
        <v>403.5</v>
      </c>
      <c r="AG136" s="6">
        <f>1+0+2+0+0+3+3+14+1+0+2.5+1</f>
        <v>27.5</v>
      </c>
      <c r="AH136" s="6">
        <f>240+430+280+590+45+320+400+1420+360+190+375+680</f>
        <v>5330</v>
      </c>
      <c r="AI136" s="6">
        <f t="shared" si="218"/>
        <v>4.0802675585284283E-2</v>
      </c>
      <c r="AJ136" s="6">
        <f t="shared" si="219"/>
        <v>1.6471571906354517E-2</v>
      </c>
      <c r="AK136" s="6">
        <f t="shared" si="220"/>
        <v>2.374581939799331E-2</v>
      </c>
      <c r="AL136" s="6">
        <f t="shared" si="221"/>
        <v>0.13494983277591974</v>
      </c>
      <c r="AM136" s="6">
        <f t="shared" si="222"/>
        <v>9.1973244147157199E-3</v>
      </c>
      <c r="AN136" s="6">
        <f t="shared" si="223"/>
        <v>1.7826086956521738</v>
      </c>
      <c r="AO136" s="7">
        <v>5</v>
      </c>
      <c r="AP136" s="7">
        <v>1</v>
      </c>
      <c r="AQ136" s="7">
        <v>1</v>
      </c>
      <c r="AR136" s="10">
        <v>0</v>
      </c>
      <c r="AS136" s="7">
        <v>0</v>
      </c>
      <c r="AT136" s="7">
        <v>0</v>
      </c>
      <c r="AU136" s="7">
        <v>0</v>
      </c>
      <c r="AV136" s="7">
        <v>0</v>
      </c>
      <c r="AW136" s="7">
        <v>31</v>
      </c>
      <c r="AX136" s="7">
        <v>1</v>
      </c>
      <c r="AY136" s="5">
        <v>6</v>
      </c>
      <c r="AZ136" s="7">
        <v>0</v>
      </c>
      <c r="BA136" s="7">
        <v>0</v>
      </c>
      <c r="BB136" s="7">
        <v>0</v>
      </c>
      <c r="BC136" s="7">
        <v>1</v>
      </c>
      <c r="BD136" s="7">
        <v>1</v>
      </c>
      <c r="BE136" s="7">
        <v>0</v>
      </c>
      <c r="BF136" s="7">
        <v>0</v>
      </c>
      <c r="BG136" s="7">
        <v>0</v>
      </c>
      <c r="BH136" s="7">
        <v>0</v>
      </c>
      <c r="BI136" s="7">
        <v>0</v>
      </c>
      <c r="BJ136" s="7">
        <v>1</v>
      </c>
    </row>
    <row r="137" spans="1:62" ht="20.100000000000001" customHeight="1" x14ac:dyDescent="0.3">
      <c r="A137" s="3" t="s">
        <v>23</v>
      </c>
      <c r="B137" s="3">
        <v>5</v>
      </c>
      <c r="C137" s="8">
        <v>44346</v>
      </c>
      <c r="D137" s="9">
        <v>0.27083333333333331</v>
      </c>
      <c r="E137" s="4">
        <v>60</v>
      </c>
      <c r="F137" s="3">
        <v>0</v>
      </c>
      <c r="G137" s="3">
        <v>0</v>
      </c>
      <c r="H137" s="3">
        <v>0</v>
      </c>
      <c r="I137" s="3">
        <v>0</v>
      </c>
      <c r="J137" s="9">
        <v>0.27083333333333331</v>
      </c>
      <c r="K137" s="3">
        <v>142.80000000000001</v>
      </c>
      <c r="L137" s="11">
        <f t="shared" ref="L137" si="238">K137-K136</f>
        <v>0.80000000000001137</v>
      </c>
      <c r="M137" s="5">
        <f t="shared" ref="M137" si="239">AB136</f>
        <v>2990</v>
      </c>
      <c r="N137" s="11">
        <v>31</v>
      </c>
      <c r="O137" s="11">
        <v>32.5</v>
      </c>
      <c r="P137" s="11">
        <v>10.5</v>
      </c>
      <c r="Q137" s="11">
        <v>10.625</v>
      </c>
      <c r="R137" s="11">
        <v>19.75</v>
      </c>
      <c r="S137" s="11">
        <v>19.75</v>
      </c>
      <c r="T137" s="11">
        <v>15</v>
      </c>
      <c r="U137" s="11">
        <v>11</v>
      </c>
      <c r="V137" s="11">
        <v>17</v>
      </c>
      <c r="W137" s="11">
        <v>17</v>
      </c>
      <c r="X137" s="11">
        <v>7</v>
      </c>
      <c r="Y137" s="11">
        <v>7</v>
      </c>
      <c r="Z137" s="3" t="s">
        <v>784</v>
      </c>
      <c r="AA137" s="10" t="s">
        <v>783</v>
      </c>
      <c r="AB137" s="5">
        <f>210+320+30+290+160+75+120+670+450+170+80+20</f>
        <v>2595</v>
      </c>
      <c r="AC137" s="6">
        <f>9.5+12+0+3.5+10+0+8.5+26+30+2+1+0</f>
        <v>102.5</v>
      </c>
      <c r="AD137" s="6">
        <f>7.25+2+0+0+7+0+0+8+12.5+0+0+0</f>
        <v>36.75</v>
      </c>
      <c r="AE137" s="6">
        <f>6+18+2+4+12+0+2+21+10+2+1+0</f>
        <v>78</v>
      </c>
      <c r="AF137" s="6">
        <f>22.5+38+6+60+2+20+22+88+35+37+16+0</f>
        <v>346.5</v>
      </c>
      <c r="AG137" s="6">
        <f>1+6+2+7+0+2.5+1+5+5+4+2.5+0</f>
        <v>36</v>
      </c>
      <c r="AH137" s="6">
        <f>680+640+5+710+380+375+160+1330+50+340+100+200</f>
        <v>4970</v>
      </c>
      <c r="AI137" s="6">
        <f t="shared" si="218"/>
        <v>3.9499036608863197E-2</v>
      </c>
      <c r="AJ137" s="6">
        <f t="shared" si="219"/>
        <v>1.4161849710982659E-2</v>
      </c>
      <c r="AK137" s="6">
        <f t="shared" si="220"/>
        <v>3.0057803468208091E-2</v>
      </c>
      <c r="AL137" s="6">
        <f t="shared" si="221"/>
        <v>0.13352601156069363</v>
      </c>
      <c r="AM137" s="6">
        <f t="shared" si="222"/>
        <v>1.3872832369942197E-2</v>
      </c>
      <c r="AN137" s="6">
        <f t="shared" si="223"/>
        <v>1.9152215799614642</v>
      </c>
      <c r="AO137" s="7">
        <v>4</v>
      </c>
      <c r="AP137" s="7">
        <v>1</v>
      </c>
      <c r="AQ137" s="7">
        <v>1</v>
      </c>
      <c r="AR137" s="10">
        <v>0</v>
      </c>
      <c r="AS137" s="7">
        <v>0</v>
      </c>
      <c r="AT137" s="7">
        <v>0</v>
      </c>
      <c r="AU137" s="7">
        <v>0</v>
      </c>
      <c r="AV137" s="7">
        <v>0</v>
      </c>
      <c r="AW137" s="7">
        <v>31</v>
      </c>
      <c r="AX137" s="7">
        <v>1</v>
      </c>
      <c r="AY137" s="5">
        <v>7</v>
      </c>
      <c r="AZ137" s="7">
        <v>0</v>
      </c>
      <c r="BA137" s="7">
        <v>0</v>
      </c>
      <c r="BB137" s="7">
        <v>0</v>
      </c>
      <c r="BC137" s="7">
        <v>1</v>
      </c>
      <c r="BD137" s="7">
        <v>1</v>
      </c>
      <c r="BE137" s="7">
        <v>0</v>
      </c>
      <c r="BF137" s="7">
        <v>0</v>
      </c>
      <c r="BG137" s="7">
        <v>0</v>
      </c>
      <c r="BH137" s="7">
        <v>0</v>
      </c>
      <c r="BI137" s="7">
        <v>0</v>
      </c>
      <c r="BJ137" s="7">
        <v>1</v>
      </c>
    </row>
    <row r="138" spans="1:62" ht="20.100000000000001" customHeight="1" x14ac:dyDescent="0.3">
      <c r="A138" s="3" t="s">
        <v>15</v>
      </c>
      <c r="B138" s="3">
        <v>6</v>
      </c>
      <c r="C138" s="8">
        <v>44347</v>
      </c>
      <c r="D138" s="9">
        <v>0.81805555555555554</v>
      </c>
      <c r="E138" s="4">
        <v>74</v>
      </c>
      <c r="F138" s="3">
        <v>0</v>
      </c>
      <c r="G138" s="3">
        <v>0</v>
      </c>
      <c r="H138" s="3">
        <v>0</v>
      </c>
      <c r="I138" s="3">
        <v>0</v>
      </c>
      <c r="J138" s="9">
        <v>0.58819444444444446</v>
      </c>
      <c r="K138" s="3">
        <v>144.19999999999999</v>
      </c>
      <c r="L138" s="11">
        <f t="shared" ref="L138:L139" si="240">K138-K137</f>
        <v>1.3999999999999773</v>
      </c>
      <c r="M138" s="5">
        <f t="shared" ref="M138:M139" si="241">AB137</f>
        <v>2595</v>
      </c>
      <c r="N138" s="11">
        <v>30.5</v>
      </c>
      <c r="O138" s="11">
        <v>31.75</v>
      </c>
      <c r="P138" s="11">
        <v>10.5</v>
      </c>
      <c r="Q138" s="11">
        <v>10.5</v>
      </c>
      <c r="R138" s="11">
        <v>20.25</v>
      </c>
      <c r="S138" s="11">
        <v>20.25</v>
      </c>
      <c r="T138" s="11">
        <v>15</v>
      </c>
      <c r="U138" s="11">
        <v>12</v>
      </c>
      <c r="V138" s="11">
        <v>18</v>
      </c>
      <c r="W138" s="11">
        <v>15</v>
      </c>
      <c r="X138" s="11">
        <v>7</v>
      </c>
      <c r="Y138" s="11">
        <v>7</v>
      </c>
      <c r="Z138" s="3" t="s">
        <v>790</v>
      </c>
      <c r="AA138" s="10" t="s">
        <v>786</v>
      </c>
      <c r="AB138" s="5">
        <f>145+40+40+30+360+502.5+577.5+105+120+170+80+40+30+20+360</f>
        <v>2620</v>
      </c>
      <c r="AC138" s="6">
        <f>1.75+0.5+2.5+0+24+19.5+16.5+0+10+2+1+2.5+0+0+24</f>
        <v>104.25</v>
      </c>
      <c r="AD138" s="6">
        <f>0+0+1.75+0+10+6+2.75+0+7+0+0+1.75+0+0+10</f>
        <v>39.25</v>
      </c>
      <c r="AE138" s="6">
        <f>2+0.5+3+0+8+15.75+13.75+0+2+2+1+3+0+0+8</f>
        <v>59</v>
      </c>
      <c r="AF138" s="6">
        <f>30+8+0.5+8+28+66+88+27+4+37+16+0.5+8+0+28</f>
        <v>349</v>
      </c>
      <c r="AG138" s="6">
        <f>3.5+1.25+0+1+4+3.75+3.5+1.25+0+1+4+3.75+5.5+0+0+4+2.5+0+1+0+4+5.5+0+0</f>
        <v>49.5</v>
      </c>
      <c r="AH138" s="6">
        <f>355+50+95+150+40+997.5+1485+260+30+340+100+95+150+200+40</f>
        <v>4387.5</v>
      </c>
      <c r="AI138" s="6">
        <f t="shared" si="218"/>
        <v>3.9790076335877861E-2</v>
      </c>
      <c r="AJ138" s="6">
        <f t="shared" si="219"/>
        <v>1.4980916030534351E-2</v>
      </c>
      <c r="AK138" s="6">
        <f t="shared" si="220"/>
        <v>2.2519083969465649E-2</v>
      </c>
      <c r="AL138" s="6">
        <f t="shared" si="221"/>
        <v>0.13320610687022902</v>
      </c>
      <c r="AM138" s="6">
        <f t="shared" si="222"/>
        <v>1.8893129770992365E-2</v>
      </c>
      <c r="AN138" s="6">
        <f t="shared" si="223"/>
        <v>1.6746183206106871</v>
      </c>
      <c r="AO138" s="7">
        <v>3</v>
      </c>
      <c r="AP138" s="7">
        <v>1</v>
      </c>
      <c r="AQ138" s="7">
        <v>0</v>
      </c>
      <c r="AR138" s="10">
        <v>0</v>
      </c>
      <c r="AS138" s="7">
        <v>0</v>
      </c>
      <c r="AT138" s="7">
        <v>0</v>
      </c>
      <c r="AU138" s="7">
        <v>0</v>
      </c>
      <c r="AV138" s="7">
        <v>0</v>
      </c>
      <c r="AW138" s="7">
        <v>31</v>
      </c>
      <c r="AX138" s="7">
        <v>1</v>
      </c>
      <c r="AY138" s="5">
        <v>7.5</v>
      </c>
      <c r="AZ138" s="7">
        <v>0</v>
      </c>
      <c r="BA138" s="7">
        <v>0</v>
      </c>
      <c r="BB138" s="7">
        <v>0</v>
      </c>
      <c r="BC138" s="7">
        <v>1</v>
      </c>
      <c r="BD138" s="7">
        <v>1</v>
      </c>
      <c r="BE138" s="7">
        <v>0</v>
      </c>
      <c r="BF138" s="7">
        <v>1</v>
      </c>
      <c r="BG138" s="7">
        <v>15</v>
      </c>
      <c r="BH138" s="7">
        <v>0</v>
      </c>
      <c r="BI138" s="7">
        <v>0</v>
      </c>
      <c r="BJ138" s="7">
        <v>1</v>
      </c>
    </row>
    <row r="139" spans="1:62" ht="20.100000000000001" customHeight="1" x14ac:dyDescent="0.3">
      <c r="A139" s="3" t="s">
        <v>16</v>
      </c>
      <c r="B139" s="3">
        <v>7</v>
      </c>
      <c r="C139" s="8">
        <v>44348</v>
      </c>
      <c r="D139" s="9">
        <v>0.87986111111111109</v>
      </c>
      <c r="E139" s="4">
        <v>69</v>
      </c>
      <c r="F139" s="3">
        <v>0</v>
      </c>
      <c r="G139" s="3">
        <v>0</v>
      </c>
      <c r="H139" s="3">
        <v>0</v>
      </c>
      <c r="I139" s="3">
        <v>0</v>
      </c>
      <c r="J139" s="9">
        <v>0.63194444444444442</v>
      </c>
      <c r="K139" s="3">
        <v>144.19999999999999</v>
      </c>
      <c r="L139" s="11">
        <f t="shared" si="240"/>
        <v>0</v>
      </c>
      <c r="M139" s="5">
        <f t="shared" si="241"/>
        <v>2620</v>
      </c>
      <c r="N139" s="11">
        <v>32</v>
      </c>
      <c r="O139" s="11">
        <v>33.5</v>
      </c>
      <c r="P139" s="11">
        <v>10.5</v>
      </c>
      <c r="Q139" s="11">
        <v>10.5</v>
      </c>
      <c r="R139" s="11">
        <v>19.625</v>
      </c>
      <c r="S139" s="11">
        <v>19.75</v>
      </c>
      <c r="T139" s="11">
        <v>15</v>
      </c>
      <c r="U139" s="11">
        <v>15</v>
      </c>
      <c r="V139" s="11">
        <v>16</v>
      </c>
      <c r="W139" s="11">
        <v>13</v>
      </c>
      <c r="X139" s="11">
        <v>7</v>
      </c>
      <c r="Y139" s="11">
        <v>7</v>
      </c>
      <c r="Z139" s="3" t="s">
        <v>791</v>
      </c>
      <c r="AA139" s="10" t="s">
        <v>789</v>
      </c>
      <c r="AB139" s="5">
        <f>27.5+42.5+40+30+170+70+160+220+525+105+400+780+200+53.3</f>
        <v>2823.3</v>
      </c>
      <c r="AC139" s="6">
        <f>1.1+0.5+2.5+0+2+2.5+10+11+15+0+24+7.5+16.7+3.3</f>
        <v>96.1</v>
      </c>
      <c r="AD139" s="6">
        <f>0.1+0+1.75+0+0+0+7+7+2.5+0+14+4.5+11.7+2.3</f>
        <v>50.849999999999994</v>
      </c>
      <c r="AE139" s="6">
        <f>2.75+0.5+3+0+2+10+12+3+12.5+0+6+27+3.3+4</f>
        <v>86.05</v>
      </c>
      <c r="AF139" s="6">
        <f>2.25+9.25+0.5+8+37+4+2+29+80+27+40+144+6.67+0.67</f>
        <v>390.34000000000003</v>
      </c>
      <c r="AG139" s="6">
        <f>1+1+0+1+4+3+0+0+5+0+0+6+0+0</f>
        <v>21</v>
      </c>
      <c r="AH139" s="6">
        <f>97.5+85+95+150+340+210+380+75+1350+260+100+1680+50+126.7</f>
        <v>4999.2</v>
      </c>
      <c r="AI139" s="6">
        <f t="shared" si="218"/>
        <v>3.4038182268976015E-2</v>
      </c>
      <c r="AJ139" s="6">
        <f t="shared" si="219"/>
        <v>1.8010838380618423E-2</v>
      </c>
      <c r="AK139" s="6">
        <f t="shared" si="220"/>
        <v>3.0478518046257921E-2</v>
      </c>
      <c r="AL139" s="6">
        <f t="shared" si="221"/>
        <v>0.13825665001948076</v>
      </c>
      <c r="AM139" s="6">
        <f t="shared" si="222"/>
        <v>7.4381043459781099E-3</v>
      </c>
      <c r="AN139" s="6">
        <f t="shared" si="223"/>
        <v>1.7706938688768461</v>
      </c>
      <c r="AO139" s="7">
        <v>4</v>
      </c>
      <c r="AP139" s="7">
        <v>2</v>
      </c>
      <c r="AQ139" s="7">
        <v>0</v>
      </c>
      <c r="AR139" s="10">
        <v>0</v>
      </c>
      <c r="AS139" s="7">
        <v>0</v>
      </c>
      <c r="AT139" s="7">
        <v>0</v>
      </c>
      <c r="AU139" s="7">
        <v>0</v>
      </c>
      <c r="AV139" s="7">
        <v>0</v>
      </c>
      <c r="AW139" s="7">
        <v>0</v>
      </c>
      <c r="AX139" s="7">
        <v>0</v>
      </c>
      <c r="AY139" s="5">
        <v>7.5</v>
      </c>
      <c r="AZ139" s="7">
        <v>0</v>
      </c>
      <c r="BA139" s="7">
        <v>0</v>
      </c>
      <c r="BB139" s="7">
        <v>0</v>
      </c>
      <c r="BC139" s="7">
        <v>1</v>
      </c>
      <c r="BD139" s="7">
        <v>1</v>
      </c>
      <c r="BE139" s="7">
        <v>0</v>
      </c>
      <c r="BF139" s="7">
        <v>1</v>
      </c>
      <c r="BG139" s="7">
        <v>15</v>
      </c>
      <c r="BH139" s="7">
        <v>0</v>
      </c>
      <c r="BI139" s="7">
        <v>0</v>
      </c>
      <c r="BJ139" s="7">
        <v>1</v>
      </c>
    </row>
    <row r="140" spans="1:62" ht="20.100000000000001" customHeight="1" x14ac:dyDescent="0.3">
      <c r="A140" s="3" t="s">
        <v>17</v>
      </c>
      <c r="B140" s="3">
        <v>8</v>
      </c>
      <c r="C140" s="8">
        <v>44349</v>
      </c>
      <c r="D140" s="9">
        <v>0.91319444444444453</v>
      </c>
      <c r="E140" s="4">
        <v>67</v>
      </c>
      <c r="F140" s="3">
        <v>0</v>
      </c>
      <c r="G140" s="3">
        <v>0</v>
      </c>
      <c r="H140" s="3">
        <v>0</v>
      </c>
      <c r="I140" s="3">
        <v>0</v>
      </c>
      <c r="J140" s="9">
        <v>0.32083333333333336</v>
      </c>
      <c r="K140" s="3">
        <v>141.6</v>
      </c>
      <c r="L140" s="11">
        <f t="shared" ref="L140" si="242">K140-K139</f>
        <v>-2.5999999999999943</v>
      </c>
      <c r="M140" s="5">
        <f t="shared" ref="M140" si="243">AB139</f>
        <v>2823.3</v>
      </c>
      <c r="N140" s="11">
        <v>31</v>
      </c>
      <c r="O140" s="11">
        <v>32.25</v>
      </c>
      <c r="P140" s="11">
        <v>10.5</v>
      </c>
      <c r="Q140" s="11">
        <v>10.625</v>
      </c>
      <c r="R140" s="11">
        <v>19.75</v>
      </c>
      <c r="S140" s="11">
        <v>19.75</v>
      </c>
      <c r="T140" s="11">
        <v>14</v>
      </c>
      <c r="U140" s="11">
        <v>11</v>
      </c>
      <c r="V140" s="11">
        <v>16</v>
      </c>
      <c r="W140" s="11">
        <v>14</v>
      </c>
      <c r="X140" s="11">
        <v>7</v>
      </c>
      <c r="Y140" s="11">
        <v>7</v>
      </c>
      <c r="Z140" s="3" t="s">
        <v>792</v>
      </c>
      <c r="AA140" s="10" t="s">
        <v>796</v>
      </c>
      <c r="AB140" s="5">
        <f>513+70+979+220+220+204+670+240+140+140+540</f>
        <v>3936</v>
      </c>
      <c r="AC140" s="6">
        <f>22.5+2.5+13.9+11+13+20.4+26+20+6+7+16.8</f>
        <v>159.10000000000002</v>
      </c>
      <c r="AD140" s="6">
        <f>15.5+0+2.8+7+8+12.8+8+14+0+5+10.5</f>
        <v>83.6</v>
      </c>
      <c r="AE140" s="6">
        <f>16.3+10+29.9+3+3+4.4+21+4+0+2+12.5</f>
        <v>106.10000000000001</v>
      </c>
      <c r="AF140" s="6">
        <f>55.33+4+125.45+29+26+1.6+88+8+20+18+82.5</f>
        <v>457.88</v>
      </c>
      <c r="AG140" s="6">
        <f>2+3+14.1+0+1+0+5+0+0+2+1.75</f>
        <v>28.85</v>
      </c>
      <c r="AH140" s="6">
        <f>736.7+210+1997.5+75+35+172+1330+60+60+90+132.5</f>
        <v>4898.7</v>
      </c>
      <c r="AI140" s="6">
        <f t="shared" si="218"/>
        <v>4.0421747967479681E-2</v>
      </c>
      <c r="AJ140" s="6">
        <f t="shared" si="219"/>
        <v>2.1239837398373981E-2</v>
      </c>
      <c r="AK140" s="6">
        <f t="shared" si="220"/>
        <v>2.6956300813008132E-2</v>
      </c>
      <c r="AL140" s="6">
        <f t="shared" si="221"/>
        <v>0.11633130081300813</v>
      </c>
      <c r="AM140" s="6">
        <f t="shared" si="222"/>
        <v>7.3297764227642278E-3</v>
      </c>
      <c r="AN140" s="6">
        <f t="shared" si="223"/>
        <v>1.2445884146341464</v>
      </c>
      <c r="AO140" s="7">
        <v>4</v>
      </c>
      <c r="AP140" s="7">
        <v>1</v>
      </c>
      <c r="AQ140" s="7">
        <v>0</v>
      </c>
      <c r="AR140" s="10">
        <v>0</v>
      </c>
      <c r="AS140" s="7">
        <v>0</v>
      </c>
      <c r="AT140" s="7">
        <v>0</v>
      </c>
      <c r="AU140" s="7">
        <v>0</v>
      </c>
      <c r="AV140" s="7">
        <v>0</v>
      </c>
      <c r="AW140" s="7">
        <v>31</v>
      </c>
      <c r="AX140" s="7">
        <v>1</v>
      </c>
      <c r="AY140" s="5">
        <v>7</v>
      </c>
      <c r="AZ140" s="7">
        <v>1</v>
      </c>
      <c r="BA140" s="7">
        <v>0</v>
      </c>
      <c r="BB140" s="7">
        <v>0</v>
      </c>
      <c r="BC140" s="7">
        <v>1</v>
      </c>
      <c r="BD140" s="7">
        <v>1</v>
      </c>
      <c r="BE140" s="7">
        <v>0</v>
      </c>
      <c r="BF140" s="7">
        <v>0</v>
      </c>
      <c r="BG140" s="7">
        <v>0</v>
      </c>
      <c r="BH140" s="7">
        <v>0</v>
      </c>
      <c r="BI140" s="7">
        <v>0</v>
      </c>
      <c r="BJ140" s="7">
        <v>1</v>
      </c>
    </row>
    <row r="141" spans="1:62" ht="20.100000000000001" customHeight="1" x14ac:dyDescent="0.3">
      <c r="A141" s="3" t="s">
        <v>18</v>
      </c>
      <c r="B141" s="3">
        <v>9</v>
      </c>
      <c r="C141" s="8">
        <v>44350</v>
      </c>
      <c r="D141" s="9">
        <v>0.29652777777777778</v>
      </c>
      <c r="E141" s="4">
        <v>63</v>
      </c>
      <c r="F141" s="3">
        <v>0</v>
      </c>
      <c r="G141" s="3">
        <v>0</v>
      </c>
      <c r="H141" s="3">
        <v>0</v>
      </c>
      <c r="I141" s="3">
        <v>0</v>
      </c>
      <c r="J141" s="9">
        <v>0.52361111111111114</v>
      </c>
      <c r="K141" s="3">
        <v>142.4</v>
      </c>
      <c r="L141" s="11">
        <f t="shared" ref="L141" si="244">K141-K140</f>
        <v>0.80000000000001137</v>
      </c>
      <c r="M141" s="5">
        <f t="shared" ref="M141" si="245">AB140</f>
        <v>3936</v>
      </c>
      <c r="N141" s="11">
        <v>30.75</v>
      </c>
      <c r="O141" s="11">
        <v>32.5</v>
      </c>
      <c r="P141" s="11">
        <v>10.5</v>
      </c>
      <c r="Q141" s="11">
        <v>10.75</v>
      </c>
      <c r="R141" s="11">
        <v>19.875</v>
      </c>
      <c r="S141" s="11">
        <v>20</v>
      </c>
      <c r="T141" s="11">
        <v>14</v>
      </c>
      <c r="U141" s="11">
        <v>11</v>
      </c>
      <c r="V141" s="11">
        <v>17</v>
      </c>
      <c r="W141" s="11">
        <v>15</v>
      </c>
      <c r="X141" s="11">
        <v>7</v>
      </c>
      <c r="Y141" s="11">
        <v>7</v>
      </c>
      <c r="Z141" s="3" t="s">
        <v>800</v>
      </c>
      <c r="AA141" s="10" t="s">
        <v>799</v>
      </c>
      <c r="AB141" s="5">
        <f>1080+180+40+630+180+50+218</f>
        <v>2378</v>
      </c>
      <c r="AC141" s="6">
        <f>33.5+5+3+22+0+0.5+23.1</f>
        <v>87.1</v>
      </c>
      <c r="AD141" s="6">
        <f>21+1+2+7+0+0+3.6</f>
        <v>34.6</v>
      </c>
      <c r="AE141" s="6">
        <f>25+4+4+20+0+0+0.5</f>
        <v>53.5</v>
      </c>
      <c r="AF141" s="6">
        <f>165+20+0+86+50+11+3</f>
        <v>335</v>
      </c>
      <c r="AG141" s="6">
        <f>3.5+4+0+6+0+0+0.3</f>
        <v>13.8</v>
      </c>
      <c r="AH141" s="6">
        <f>265+1020+200+1390+60+25+367</f>
        <v>3327</v>
      </c>
      <c r="AI141" s="6">
        <f t="shared" si="218"/>
        <v>3.662741799831791E-2</v>
      </c>
      <c r="AJ141" s="6">
        <f t="shared" si="219"/>
        <v>1.4550042052144659E-2</v>
      </c>
      <c r="AK141" s="6">
        <f t="shared" si="220"/>
        <v>2.249789739276703E-2</v>
      </c>
      <c r="AL141" s="6">
        <f t="shared" si="221"/>
        <v>0.14087468460891506</v>
      </c>
      <c r="AM141" s="6">
        <f t="shared" si="222"/>
        <v>5.803195962994113E-3</v>
      </c>
      <c r="AN141" s="6">
        <f t="shared" si="223"/>
        <v>1.3990748528174937</v>
      </c>
      <c r="AO141" s="7">
        <v>5</v>
      </c>
      <c r="AP141" s="7">
        <v>1</v>
      </c>
      <c r="AQ141" s="7">
        <v>0</v>
      </c>
      <c r="AR141" s="10">
        <v>0</v>
      </c>
      <c r="AS141" s="7">
        <v>0</v>
      </c>
      <c r="AT141" s="7">
        <v>0</v>
      </c>
      <c r="AU141" s="7">
        <v>0</v>
      </c>
      <c r="AV141" s="7">
        <v>0</v>
      </c>
      <c r="AW141" s="7">
        <v>0</v>
      </c>
      <c r="AX141" s="7">
        <v>0</v>
      </c>
      <c r="AY141" s="5">
        <v>6.75</v>
      </c>
      <c r="AZ141" s="7">
        <v>0</v>
      </c>
      <c r="BA141" s="7">
        <v>1</v>
      </c>
      <c r="BB141" s="7">
        <v>0</v>
      </c>
      <c r="BC141" s="7">
        <v>1</v>
      </c>
      <c r="BD141" s="7">
        <v>1</v>
      </c>
      <c r="BE141" s="7">
        <v>0</v>
      </c>
      <c r="BF141" s="7">
        <v>1</v>
      </c>
      <c r="BG141" s="7">
        <v>20</v>
      </c>
      <c r="BH141" s="7">
        <v>0</v>
      </c>
      <c r="BI141" s="7">
        <v>0</v>
      </c>
      <c r="BJ141" s="7">
        <v>1</v>
      </c>
    </row>
    <row r="142" spans="1:62" ht="20.100000000000001" customHeight="1" x14ac:dyDescent="0.3">
      <c r="A142" s="3" t="s">
        <v>137</v>
      </c>
      <c r="B142" s="3">
        <v>10</v>
      </c>
      <c r="C142" s="8">
        <v>44351</v>
      </c>
      <c r="D142" s="9">
        <v>0.28819444444444448</v>
      </c>
      <c r="E142" s="4">
        <v>61</v>
      </c>
      <c r="F142" s="3">
        <v>0</v>
      </c>
      <c r="G142" s="3">
        <v>0</v>
      </c>
      <c r="H142" s="3">
        <v>0</v>
      </c>
      <c r="I142" s="3">
        <v>0</v>
      </c>
      <c r="J142" s="9">
        <v>0.2986111111111111</v>
      </c>
      <c r="K142" s="3">
        <v>141.4</v>
      </c>
      <c r="L142" s="11">
        <f t="shared" ref="L142" si="246">K142-K141</f>
        <v>-1</v>
      </c>
      <c r="M142" s="5">
        <f t="shared" ref="M142" si="247">AB141</f>
        <v>2378</v>
      </c>
      <c r="N142" s="11">
        <v>30.75</v>
      </c>
      <c r="O142" s="11">
        <v>32.25</v>
      </c>
      <c r="P142" s="11">
        <v>10.5</v>
      </c>
      <c r="Q142" s="11">
        <v>10.625</v>
      </c>
      <c r="R142" s="11">
        <v>19.625</v>
      </c>
      <c r="S142" s="11">
        <v>19.625</v>
      </c>
      <c r="T142" s="11">
        <v>13</v>
      </c>
      <c r="U142" s="11">
        <v>11</v>
      </c>
      <c r="V142" s="11">
        <v>17</v>
      </c>
      <c r="W142" s="11">
        <v>15</v>
      </c>
      <c r="X142" s="11">
        <v>7</v>
      </c>
      <c r="Y142" s="11">
        <v>7</v>
      </c>
      <c r="Z142" s="3" t="s">
        <v>805</v>
      </c>
      <c r="AA142" s="10" t="s">
        <v>807</v>
      </c>
      <c r="AB142" s="5">
        <f>540+70+90+20+80+1350+320+180+218+675+218+180+100</f>
        <v>4041</v>
      </c>
      <c r="AC142" s="6">
        <f>16.75+2.5+2.5+1.5+4+770+17+5+23.1+22.5+23.1+0+6</f>
        <v>893.95</v>
      </c>
      <c r="AD142" s="6">
        <f>10.5+0+0.5+1+0+132+10+2.5+3.6+11.25+3.6+0+3.3</f>
        <v>178.25</v>
      </c>
      <c r="AE142" s="6">
        <f>12.5+10+2+2+0+31+6+8+0.5+36+0.5+0+1.3</f>
        <v>109.8</v>
      </c>
      <c r="AF142" s="6">
        <f>82.5+4+10+0+8+13+35+25+3+83.25+3+50+11.3</f>
        <v>328.05</v>
      </c>
      <c r="AG142" s="6">
        <f>1.75+3+2+0+0+37+0+4+0.3+2.25+0.3+0+0.67</f>
        <v>51.269999999999996</v>
      </c>
      <c r="AH142" s="6">
        <f>132.5+210+510+100+0+215+430+310+367+1575+367+60+33.3</f>
        <v>4309.8</v>
      </c>
      <c r="AI142" s="6">
        <f t="shared" si="218"/>
        <v>0.22121999505073003</v>
      </c>
      <c r="AJ142" s="6">
        <f t="shared" si="219"/>
        <v>4.4110368720613712E-2</v>
      </c>
      <c r="AK142" s="6">
        <f t="shared" si="220"/>
        <v>2.7171492204899776E-2</v>
      </c>
      <c r="AL142" s="6">
        <f t="shared" si="221"/>
        <v>8.1180400890868601E-2</v>
      </c>
      <c r="AM142" s="6">
        <f t="shared" si="222"/>
        <v>1.2687453600593911E-2</v>
      </c>
      <c r="AN142" s="6">
        <f t="shared" si="223"/>
        <v>1.0665181885671864</v>
      </c>
      <c r="AO142" s="7">
        <v>4</v>
      </c>
      <c r="AP142" s="7">
        <v>1</v>
      </c>
      <c r="AQ142" s="7">
        <v>0</v>
      </c>
      <c r="AR142" s="10">
        <v>0</v>
      </c>
      <c r="AS142" s="7">
        <v>0</v>
      </c>
      <c r="AT142" s="7">
        <v>0</v>
      </c>
      <c r="AU142" s="7">
        <v>0</v>
      </c>
      <c r="AV142" s="7">
        <v>0</v>
      </c>
      <c r="AW142" s="7">
        <v>31</v>
      </c>
      <c r="AX142" s="7">
        <v>1</v>
      </c>
      <c r="AY142" s="5">
        <v>5</v>
      </c>
      <c r="AZ142" s="7">
        <v>0</v>
      </c>
      <c r="BA142" s="7">
        <v>0</v>
      </c>
      <c r="BB142" s="7">
        <v>0</v>
      </c>
      <c r="BC142" s="7">
        <v>1</v>
      </c>
      <c r="BD142" s="7">
        <v>1</v>
      </c>
      <c r="BE142" s="7">
        <v>0</v>
      </c>
      <c r="BF142" s="7">
        <v>0</v>
      </c>
      <c r="BG142" s="7">
        <v>0</v>
      </c>
      <c r="BH142" s="7">
        <v>0</v>
      </c>
      <c r="BI142" s="7">
        <v>0</v>
      </c>
      <c r="BJ142" s="7">
        <v>1</v>
      </c>
    </row>
    <row r="143" spans="1:62" ht="20.100000000000001" customHeight="1" x14ac:dyDescent="0.3">
      <c r="A143" s="3" t="s">
        <v>19</v>
      </c>
      <c r="B143" s="3">
        <v>11</v>
      </c>
      <c r="C143" s="8">
        <v>44352</v>
      </c>
      <c r="D143" s="9">
        <v>0.25</v>
      </c>
      <c r="E143" s="4">
        <v>60</v>
      </c>
      <c r="F143" s="3">
        <v>0</v>
      </c>
      <c r="G143" s="3">
        <v>0</v>
      </c>
      <c r="H143" s="3">
        <v>0</v>
      </c>
      <c r="I143" s="3">
        <v>0</v>
      </c>
      <c r="J143" s="9">
        <v>0.27083333333333331</v>
      </c>
      <c r="K143" s="3">
        <v>141.4</v>
      </c>
      <c r="L143" s="11">
        <f t="shared" ref="L143" si="248">K143-K142</f>
        <v>0</v>
      </c>
      <c r="M143" s="5">
        <f t="shared" ref="M143" si="249">AB142</f>
        <v>4041</v>
      </c>
      <c r="N143" s="11">
        <v>30.5</v>
      </c>
      <c r="O143" s="11">
        <v>32.25</v>
      </c>
      <c r="P143" s="11">
        <v>10.625</v>
      </c>
      <c r="Q143" s="11">
        <v>10.625</v>
      </c>
      <c r="R143" s="11">
        <v>19.75</v>
      </c>
      <c r="S143" s="11">
        <v>19.75</v>
      </c>
      <c r="T143" s="11">
        <v>15</v>
      </c>
      <c r="U143" s="11">
        <v>12</v>
      </c>
      <c r="V143" s="11">
        <v>16</v>
      </c>
      <c r="W143" s="11">
        <v>16</v>
      </c>
      <c r="X143" s="11">
        <v>7</v>
      </c>
      <c r="Y143" s="11">
        <v>7</v>
      </c>
      <c r="Z143" s="3" t="s">
        <v>813</v>
      </c>
      <c r="AA143" s="10" t="s">
        <v>812</v>
      </c>
      <c r="AB143" s="5">
        <f>1125+1090+574+100+40+110+180+70</f>
        <v>3289</v>
      </c>
      <c r="AC143" s="6">
        <f>37.5+115.5+29.6+0+0+0+0+5</f>
        <v>187.6</v>
      </c>
      <c r="AD143" s="6">
        <f>18.75+18+13.1+0+0+0+0+3.5</f>
        <v>53.35</v>
      </c>
      <c r="AE143" s="6">
        <f>60+2.5+26.8+25+4+0+0+1</f>
        <v>119.3</v>
      </c>
      <c r="AF143" s="6">
        <f>138.75+15+50.2+0+8+28+50+4</f>
        <v>293.95</v>
      </c>
      <c r="AG143" s="6">
        <f>3.75+1.5+3.8+0+6+0+0+0</f>
        <v>15.05</v>
      </c>
      <c r="AH143" s="6">
        <f>2625+1835+1098+150+40+175+60+20</f>
        <v>6003</v>
      </c>
      <c r="AI143" s="6">
        <f t="shared" si="218"/>
        <v>5.703861356035269E-2</v>
      </c>
      <c r="AJ143" s="6">
        <f t="shared" si="219"/>
        <v>1.6220735785953178E-2</v>
      </c>
      <c r="AK143" s="6">
        <f t="shared" si="220"/>
        <v>3.6272423228944965E-2</v>
      </c>
      <c r="AL143" s="6">
        <f t="shared" si="221"/>
        <v>8.9373669808452419E-2</v>
      </c>
      <c r="AM143" s="6">
        <f t="shared" si="222"/>
        <v>4.5758589236850108E-3</v>
      </c>
      <c r="AN143" s="6">
        <f t="shared" si="223"/>
        <v>1.8251748251748252</v>
      </c>
      <c r="AO143" s="7">
        <v>4</v>
      </c>
      <c r="AP143" s="7">
        <v>1</v>
      </c>
      <c r="AQ143" s="7">
        <v>0</v>
      </c>
      <c r="AR143" s="10">
        <v>0</v>
      </c>
      <c r="AS143" s="7">
        <v>0</v>
      </c>
      <c r="AT143" s="7">
        <v>0</v>
      </c>
      <c r="AU143" s="7">
        <v>0</v>
      </c>
      <c r="AV143" s="7">
        <v>0</v>
      </c>
      <c r="AW143" s="7">
        <v>31</v>
      </c>
      <c r="AX143" s="7">
        <v>1</v>
      </c>
      <c r="AY143" s="5">
        <v>7.5</v>
      </c>
      <c r="AZ143" s="7">
        <v>0</v>
      </c>
      <c r="BA143" s="7">
        <v>0</v>
      </c>
      <c r="BB143" s="7">
        <v>0</v>
      </c>
      <c r="BC143" s="7">
        <v>1</v>
      </c>
      <c r="BD143" s="7">
        <v>1</v>
      </c>
      <c r="BE143" s="7">
        <v>0</v>
      </c>
      <c r="BF143" s="7">
        <v>0</v>
      </c>
      <c r="BG143" s="7">
        <v>0</v>
      </c>
      <c r="BH143" s="7">
        <v>0</v>
      </c>
      <c r="BI143" s="7">
        <v>0</v>
      </c>
      <c r="BJ143" s="7">
        <v>1</v>
      </c>
    </row>
    <row r="144" spans="1:62" ht="20.100000000000001" customHeight="1" x14ac:dyDescent="0.3">
      <c r="A144" s="3" t="s">
        <v>23</v>
      </c>
      <c r="B144" s="3">
        <v>12</v>
      </c>
      <c r="C144" s="8">
        <v>44353</v>
      </c>
      <c r="D144" s="9">
        <v>0.26805555555555555</v>
      </c>
      <c r="E144" s="4">
        <v>60</v>
      </c>
      <c r="F144" s="3">
        <v>0</v>
      </c>
      <c r="G144" s="3">
        <v>0</v>
      </c>
      <c r="H144" s="3">
        <v>0</v>
      </c>
      <c r="I144" s="3">
        <v>0</v>
      </c>
      <c r="J144" s="9">
        <v>0.31805555555555554</v>
      </c>
      <c r="K144" s="3">
        <v>141.4</v>
      </c>
      <c r="L144" s="11">
        <f t="shared" ref="L144" si="250">K144-K143</f>
        <v>0</v>
      </c>
      <c r="M144" s="5">
        <f t="shared" ref="M144" si="251">AB143</f>
        <v>3289</v>
      </c>
      <c r="N144" s="11">
        <v>30.75</v>
      </c>
      <c r="O144" s="11">
        <v>31.75</v>
      </c>
      <c r="P144" s="11">
        <v>10.625</v>
      </c>
      <c r="Q144" s="11">
        <v>10.625</v>
      </c>
      <c r="R144" s="11">
        <v>19.75</v>
      </c>
      <c r="S144" s="11">
        <v>19.75</v>
      </c>
      <c r="T144" s="11">
        <v>15</v>
      </c>
      <c r="U144" s="11">
        <v>12</v>
      </c>
      <c r="V144" s="11">
        <v>17</v>
      </c>
      <c r="W144" s="11">
        <v>15</v>
      </c>
      <c r="X144" s="11">
        <v>7</v>
      </c>
      <c r="Y144" s="11">
        <v>7</v>
      </c>
      <c r="Z144" s="3" t="s">
        <v>814</v>
      </c>
      <c r="AA144" s="10" t="s">
        <v>820</v>
      </c>
      <c r="AB144" s="5">
        <f>1026.7+700+70+180+698+218+80</f>
        <v>2972.7</v>
      </c>
      <c r="AC144" s="6">
        <f>45+20+1.5+0+20.3+23+4</f>
        <v>113.8</v>
      </c>
      <c r="AD144" s="6">
        <f>31+5+1+0+10.1+3.6+0</f>
        <v>50.7</v>
      </c>
      <c r="AE144" s="6">
        <f>32.7+15+3+0+31.5+0.5+0</f>
        <v>82.7</v>
      </c>
      <c r="AF144" s="6">
        <f>110.67+110+13+50+94.5+3+8</f>
        <v>389.17</v>
      </c>
      <c r="AG144" s="6">
        <f>4+5+0+0+4.5+0.3+0</f>
        <v>13.8</v>
      </c>
      <c r="AH144" s="6">
        <f>1473.3+1200+45+60+1530+367+0</f>
        <v>4675.3</v>
      </c>
      <c r="AI144" s="6">
        <f t="shared" si="218"/>
        <v>3.8281696773976519E-2</v>
      </c>
      <c r="AJ144" s="6">
        <f t="shared" si="219"/>
        <v>1.7055202341305885E-2</v>
      </c>
      <c r="AK144" s="6">
        <f t="shared" si="220"/>
        <v>2.7819827093214924E-2</v>
      </c>
      <c r="AL144" s="6">
        <f t="shared" si="221"/>
        <v>0.13091465670938879</v>
      </c>
      <c r="AM144" s="6">
        <f t="shared" si="222"/>
        <v>4.6422444242607734E-3</v>
      </c>
      <c r="AN144" s="6">
        <f t="shared" si="223"/>
        <v>1.5727453157062605</v>
      </c>
      <c r="AO144" s="7">
        <v>4</v>
      </c>
      <c r="AP144" s="7">
        <v>1</v>
      </c>
      <c r="AQ144" s="7">
        <v>0</v>
      </c>
      <c r="AR144" s="10">
        <v>0</v>
      </c>
      <c r="AS144" s="7">
        <v>0</v>
      </c>
      <c r="AT144" s="7">
        <v>0</v>
      </c>
      <c r="AU144" s="7">
        <v>0</v>
      </c>
      <c r="AV144" s="7">
        <v>0</v>
      </c>
      <c r="AW144" s="7">
        <v>31</v>
      </c>
      <c r="AX144" s="7">
        <v>1</v>
      </c>
      <c r="AY144" s="5">
        <v>6.5</v>
      </c>
      <c r="AZ144" s="7">
        <v>0</v>
      </c>
      <c r="BA144" s="7">
        <v>0</v>
      </c>
      <c r="BB144" s="7">
        <v>0</v>
      </c>
      <c r="BC144" s="7">
        <v>1</v>
      </c>
      <c r="BD144" s="7">
        <v>1</v>
      </c>
      <c r="BE144" s="7">
        <v>0</v>
      </c>
      <c r="BF144" s="7">
        <v>0</v>
      </c>
      <c r="BG144" s="7">
        <v>0</v>
      </c>
      <c r="BH144" s="7">
        <v>0</v>
      </c>
      <c r="BI144" s="7">
        <v>0</v>
      </c>
      <c r="BJ144" s="7">
        <v>1</v>
      </c>
    </row>
    <row r="145" spans="1:62" ht="20.100000000000001" customHeight="1" x14ac:dyDescent="0.3">
      <c r="A145" s="3" t="s">
        <v>15</v>
      </c>
      <c r="B145" s="3">
        <v>13</v>
      </c>
      <c r="C145" s="8">
        <v>44354</v>
      </c>
      <c r="D145" s="9">
        <v>0.50902777777777775</v>
      </c>
      <c r="E145" s="4">
        <v>64</v>
      </c>
      <c r="F145" s="3">
        <v>0</v>
      </c>
      <c r="G145" s="3">
        <v>0</v>
      </c>
      <c r="H145" s="3">
        <v>0</v>
      </c>
      <c r="I145" s="3">
        <v>0</v>
      </c>
      <c r="J145" s="9">
        <v>0.52013888888888882</v>
      </c>
      <c r="K145" s="3">
        <v>143.80000000000001</v>
      </c>
      <c r="L145" s="11">
        <f t="shared" ref="L145" si="252">K145-K144</f>
        <v>2.4000000000000057</v>
      </c>
      <c r="M145" s="5">
        <f t="shared" ref="M145" si="253">AB144</f>
        <v>2972.7</v>
      </c>
      <c r="N145" s="11">
        <v>31.5</v>
      </c>
      <c r="O145" s="11">
        <v>32.625</v>
      </c>
      <c r="P145" s="11">
        <v>10.5</v>
      </c>
      <c r="Q145" s="11">
        <v>10.5</v>
      </c>
      <c r="R145" s="11">
        <v>19.875</v>
      </c>
      <c r="S145" s="11">
        <v>19.75</v>
      </c>
      <c r="T145" s="11">
        <v>14</v>
      </c>
      <c r="U145" s="11">
        <v>12</v>
      </c>
      <c r="V145" s="11">
        <v>16</v>
      </c>
      <c r="W145" s="11">
        <v>15</v>
      </c>
      <c r="X145" s="11">
        <v>7</v>
      </c>
      <c r="Y145" s="11">
        <v>7</v>
      </c>
      <c r="Z145" s="3" t="s">
        <v>822</v>
      </c>
      <c r="AA145" s="10" t="s">
        <v>821</v>
      </c>
      <c r="AB145" s="5">
        <f>1046.25+363.3+375+90+200+375+90+160+180</f>
        <v>2879.55</v>
      </c>
      <c r="AC145" s="6">
        <f>30.4+38.5+7.5+3.5+12+7.5+3.5+10+0</f>
        <v>112.9</v>
      </c>
      <c r="AD145" s="6">
        <f>15.19+6+3.75+1+7+3.75+1+7+0</f>
        <v>44.69</v>
      </c>
      <c r="AE145" s="6">
        <f>47.3+5+15+3+3+15+3+12+0</f>
        <v>103.3</v>
      </c>
      <c r="AF145" s="6">
        <f>141.8+5+63+12+20+63+12+2+50</f>
        <v>368.8</v>
      </c>
      <c r="AG145" s="6">
        <f>6.8+0.5+1.5+3+0+1.5+3+0+0</f>
        <v>16.3</v>
      </c>
      <c r="AH145" s="6">
        <f>2295+611.7+510+460+50+510+460+380+60</f>
        <v>5336.7</v>
      </c>
      <c r="AI145" s="6">
        <f t="shared" si="218"/>
        <v>3.9207515063117503E-2</v>
      </c>
      <c r="AJ145" s="6">
        <f t="shared" si="219"/>
        <v>1.5519786077685747E-2</v>
      </c>
      <c r="AK145" s="6">
        <f t="shared" si="220"/>
        <v>3.5873660815057905E-2</v>
      </c>
      <c r="AL145" s="6">
        <f t="shared" si="221"/>
        <v>0.128075567362956</v>
      </c>
      <c r="AM145" s="6">
        <f t="shared" si="222"/>
        <v>5.6606066920178496E-3</v>
      </c>
      <c r="AN145" s="6">
        <f t="shared" si="223"/>
        <v>1.8533104130853777</v>
      </c>
      <c r="AO145" s="7">
        <v>4</v>
      </c>
      <c r="AP145" s="7">
        <v>0</v>
      </c>
      <c r="AQ145" s="7">
        <v>0</v>
      </c>
      <c r="AR145" s="10">
        <v>0</v>
      </c>
      <c r="AS145" s="7">
        <v>0</v>
      </c>
      <c r="AT145" s="7">
        <v>0</v>
      </c>
      <c r="AU145" s="7">
        <v>0</v>
      </c>
      <c r="AV145" s="7">
        <v>0</v>
      </c>
      <c r="AW145" s="7">
        <v>31</v>
      </c>
      <c r="AX145" s="7">
        <v>1</v>
      </c>
      <c r="AY145" s="5">
        <v>7.5</v>
      </c>
      <c r="AZ145" s="7">
        <v>0</v>
      </c>
      <c r="BA145" s="7">
        <v>0</v>
      </c>
      <c r="BB145" s="7">
        <v>0</v>
      </c>
      <c r="BC145" s="7">
        <v>1</v>
      </c>
      <c r="BD145" s="7">
        <v>1</v>
      </c>
      <c r="BE145" s="7">
        <v>0</v>
      </c>
      <c r="BF145" s="7">
        <v>2</v>
      </c>
      <c r="BG145" s="7">
        <v>35</v>
      </c>
      <c r="BH145" s="7">
        <v>0</v>
      </c>
      <c r="BI145" s="7">
        <v>0</v>
      </c>
      <c r="BJ145" s="7">
        <v>1</v>
      </c>
    </row>
    <row r="146" spans="1:62" ht="20.100000000000001" customHeight="1" x14ac:dyDescent="0.3">
      <c r="A146" s="3" t="s">
        <v>16</v>
      </c>
      <c r="B146" s="3">
        <v>14</v>
      </c>
      <c r="C146" s="8">
        <v>44355</v>
      </c>
      <c r="D146" s="9">
        <v>0.40208333333333335</v>
      </c>
      <c r="E146" s="4">
        <v>63</v>
      </c>
      <c r="F146" s="3">
        <v>0</v>
      </c>
      <c r="G146" s="3">
        <v>0</v>
      </c>
      <c r="H146" s="3">
        <v>0</v>
      </c>
      <c r="I146" s="3">
        <v>0</v>
      </c>
      <c r="J146" s="9">
        <v>0.39999999999999997</v>
      </c>
      <c r="K146" s="3">
        <v>142.4</v>
      </c>
      <c r="L146" s="11">
        <f t="shared" ref="L146" si="254">K146-K145</f>
        <v>-1.4000000000000057</v>
      </c>
      <c r="M146" s="5">
        <f t="shared" ref="M146" si="255">AB145</f>
        <v>2879.55</v>
      </c>
      <c r="N146" s="11">
        <v>30.75</v>
      </c>
      <c r="O146" s="11">
        <v>31.75</v>
      </c>
      <c r="P146" s="11">
        <v>10.5</v>
      </c>
      <c r="Q146" s="11">
        <v>10.5</v>
      </c>
      <c r="R146" s="11">
        <v>19.875</v>
      </c>
      <c r="S146" s="11">
        <v>19.75</v>
      </c>
      <c r="T146" s="11">
        <v>15</v>
      </c>
      <c r="U146" s="11">
        <v>13</v>
      </c>
      <c r="V146" s="11">
        <v>16</v>
      </c>
      <c r="W146" s="11">
        <v>15</v>
      </c>
      <c r="X146" s="11">
        <v>7</v>
      </c>
      <c r="Y146" s="11">
        <v>7</v>
      </c>
      <c r="Z146" s="3" t="s">
        <v>824</v>
      </c>
      <c r="AA146" s="10" t="s">
        <v>826</v>
      </c>
      <c r="AB146" s="6">
        <f>700+140+260+120+80+20+250+90+700+110</f>
        <v>2470</v>
      </c>
      <c r="AC146" s="6">
        <f>20+10+28+10+5+1.5+5+3.5+0+6.5</f>
        <v>89.5</v>
      </c>
      <c r="AD146" s="6">
        <f>5+3+4+7+3.5+1+2.5+1+0+4</f>
        <v>31</v>
      </c>
      <c r="AE146" s="6">
        <f>15+12+0+2+6+2+10+3+10+1.5</f>
        <v>61.5</v>
      </c>
      <c r="AF146" s="6">
        <f>110+0+0+4+1+0+42+12+170+13</f>
        <v>352</v>
      </c>
      <c r="AG146" s="6">
        <f>5+0+0+0+0+0+1+3+0+0.5</f>
        <v>9.5</v>
      </c>
      <c r="AH146" s="6">
        <f>1200+140+0+30+190+100+340+460+250+17.5</f>
        <v>2727.5</v>
      </c>
      <c r="AI146" s="6">
        <f t="shared" si="218"/>
        <v>3.6234817813765183E-2</v>
      </c>
      <c r="AJ146" s="6">
        <f t="shared" si="219"/>
        <v>1.2550607287449392E-2</v>
      </c>
      <c r="AK146" s="6">
        <f t="shared" si="220"/>
        <v>2.4898785425101214E-2</v>
      </c>
      <c r="AL146" s="6">
        <f t="shared" si="221"/>
        <v>0.14251012145748987</v>
      </c>
      <c r="AM146" s="6">
        <f t="shared" si="222"/>
        <v>3.8461538461538464E-3</v>
      </c>
      <c r="AN146" s="6">
        <f t="shared" si="223"/>
        <v>1.1042510121457489</v>
      </c>
      <c r="AO146" s="7">
        <v>4</v>
      </c>
      <c r="AP146" s="7">
        <v>1</v>
      </c>
      <c r="AQ146" s="7">
        <v>0</v>
      </c>
      <c r="AR146" s="10">
        <v>0</v>
      </c>
      <c r="AS146" s="7">
        <v>0</v>
      </c>
      <c r="AT146" s="7">
        <v>0</v>
      </c>
      <c r="AU146" s="7">
        <v>0</v>
      </c>
      <c r="AV146" s="7">
        <v>0</v>
      </c>
      <c r="AW146" s="7">
        <v>0</v>
      </c>
      <c r="AX146" s="7">
        <v>0</v>
      </c>
      <c r="AY146" s="5">
        <v>7</v>
      </c>
      <c r="AZ146" s="7">
        <v>0</v>
      </c>
      <c r="BA146" s="7">
        <v>0</v>
      </c>
      <c r="BB146" s="7">
        <v>0</v>
      </c>
      <c r="BC146" s="7">
        <v>1</v>
      </c>
      <c r="BD146" s="7">
        <v>1</v>
      </c>
      <c r="BE146" s="7">
        <v>0</v>
      </c>
      <c r="BF146" s="7">
        <v>0</v>
      </c>
      <c r="BG146" s="7">
        <v>0</v>
      </c>
      <c r="BH146" s="7">
        <v>0</v>
      </c>
      <c r="BI146" s="7">
        <v>0</v>
      </c>
      <c r="BJ146" s="7">
        <v>1</v>
      </c>
    </row>
    <row r="147" spans="1:62" ht="20.100000000000001" customHeight="1" x14ac:dyDescent="0.3">
      <c r="A147" s="3" t="s">
        <v>17</v>
      </c>
      <c r="B147" s="3">
        <v>15</v>
      </c>
      <c r="C147" s="8">
        <v>44356</v>
      </c>
      <c r="D147" s="9">
        <v>0.31805555555555554</v>
      </c>
      <c r="E147" s="4">
        <v>61</v>
      </c>
      <c r="F147" s="3">
        <v>0</v>
      </c>
      <c r="G147" s="3">
        <v>0</v>
      </c>
      <c r="H147" s="3">
        <v>0</v>
      </c>
      <c r="I147" s="3">
        <v>0</v>
      </c>
      <c r="J147" s="9">
        <v>0.31875000000000003</v>
      </c>
      <c r="K147" s="3">
        <v>140.6</v>
      </c>
      <c r="L147" s="11">
        <f t="shared" ref="L147" si="256">K147-K146</f>
        <v>-1.8000000000000114</v>
      </c>
      <c r="M147" s="5">
        <f t="shared" ref="M147" si="257">AB146</f>
        <v>2470</v>
      </c>
      <c r="N147" s="11">
        <v>30.75</v>
      </c>
      <c r="O147" s="11">
        <v>31.75</v>
      </c>
      <c r="P147" s="11">
        <v>10.5</v>
      </c>
      <c r="Q147" s="11">
        <v>10.5</v>
      </c>
      <c r="R147" s="11">
        <v>19.75</v>
      </c>
      <c r="S147" s="11">
        <v>19.75</v>
      </c>
      <c r="T147" s="11">
        <v>15</v>
      </c>
      <c r="U147" s="11">
        <v>12</v>
      </c>
      <c r="V147" s="11">
        <v>16</v>
      </c>
      <c r="W147" s="11">
        <v>17</v>
      </c>
      <c r="X147" s="11">
        <v>7</v>
      </c>
      <c r="Y147" s="11">
        <v>7</v>
      </c>
      <c r="Z147" s="3" t="s">
        <v>827</v>
      </c>
      <c r="AA147" s="10" t="s">
        <v>825</v>
      </c>
      <c r="AB147" s="5">
        <f>840+1125+270+160+40+600+110+180</f>
        <v>3325</v>
      </c>
      <c r="AC147" s="6">
        <f>0+22.5+10.5+10+3+36+6.5+0</f>
        <v>88.5</v>
      </c>
      <c r="AD147" s="6">
        <f>0+11.25+3+7+2+21+4+0</f>
        <v>48.25</v>
      </c>
      <c r="AE147" s="6">
        <f>12+45+9+12+4+9+1.5+0</f>
        <v>92.5</v>
      </c>
      <c r="AF147" s="6">
        <f>204+189+36+2+0+60+13+50</f>
        <v>554</v>
      </c>
      <c r="AG147" s="6">
        <f>0+4.5+9+0+0+0+0.5+0</f>
        <v>14</v>
      </c>
      <c r="AH147" s="6">
        <f>300+1530+1380+380+200+150+17.5+60</f>
        <v>4017.5</v>
      </c>
      <c r="AI147" s="6">
        <f t="shared" si="218"/>
        <v>2.6616541353383458E-2</v>
      </c>
      <c r="AJ147" s="6">
        <f t="shared" si="219"/>
        <v>1.4511278195488721E-2</v>
      </c>
      <c r="AK147" s="6">
        <f t="shared" si="220"/>
        <v>2.7819548872180452E-2</v>
      </c>
      <c r="AL147" s="6">
        <f t="shared" si="221"/>
        <v>0.16661654135338347</v>
      </c>
      <c r="AM147" s="6">
        <f t="shared" si="222"/>
        <v>4.2105263157894736E-3</v>
      </c>
      <c r="AN147" s="6">
        <f t="shared" si="223"/>
        <v>1.2082706766917293</v>
      </c>
      <c r="AO147" s="7">
        <v>3</v>
      </c>
      <c r="AP147" s="7">
        <v>1</v>
      </c>
      <c r="AQ147" s="7">
        <v>0</v>
      </c>
      <c r="AR147" s="10">
        <v>0</v>
      </c>
      <c r="AS147" s="7">
        <v>0</v>
      </c>
      <c r="AT147" s="7">
        <v>0</v>
      </c>
      <c r="AU147" s="7">
        <v>0</v>
      </c>
      <c r="AV147" s="7">
        <v>0</v>
      </c>
      <c r="AW147" s="7">
        <v>0</v>
      </c>
      <c r="AX147" s="7">
        <v>0</v>
      </c>
      <c r="AY147" s="5">
        <v>6</v>
      </c>
      <c r="AZ147" s="7">
        <v>0</v>
      </c>
      <c r="BA147" s="7">
        <v>0</v>
      </c>
      <c r="BB147" s="7">
        <v>0</v>
      </c>
      <c r="BC147" s="7">
        <v>1</v>
      </c>
      <c r="BD147" s="7">
        <v>1</v>
      </c>
      <c r="BE147" s="7">
        <v>0</v>
      </c>
      <c r="BF147" s="7">
        <v>2</v>
      </c>
      <c r="BG147" s="7">
        <v>15</v>
      </c>
      <c r="BH147" s="7">
        <v>0</v>
      </c>
      <c r="BI147" s="7">
        <v>0</v>
      </c>
      <c r="BJ147" s="7">
        <v>1</v>
      </c>
    </row>
    <row r="148" spans="1:62" ht="20.100000000000001" customHeight="1" x14ac:dyDescent="0.3">
      <c r="A148" s="3" t="s">
        <v>18</v>
      </c>
      <c r="B148" s="3">
        <v>16</v>
      </c>
      <c r="C148" s="8">
        <v>44357</v>
      </c>
      <c r="D148" s="9">
        <v>0.61944444444444446</v>
      </c>
      <c r="E148" s="4">
        <v>82</v>
      </c>
      <c r="F148" s="3">
        <v>0</v>
      </c>
      <c r="G148" s="3">
        <v>0</v>
      </c>
      <c r="H148" s="3">
        <v>0</v>
      </c>
      <c r="I148" s="3">
        <v>0</v>
      </c>
      <c r="J148" s="9">
        <v>0.91527777777777775</v>
      </c>
      <c r="K148" s="3">
        <v>144.19999999999999</v>
      </c>
      <c r="L148" s="11">
        <f t="shared" ref="L148" si="258">K148-K147</f>
        <v>3.5999999999999943</v>
      </c>
      <c r="M148" s="5">
        <f t="shared" ref="M148" si="259">AB147</f>
        <v>3325</v>
      </c>
      <c r="N148" s="11">
        <v>31.25</v>
      </c>
      <c r="O148" s="11">
        <v>32.25</v>
      </c>
      <c r="P148" s="11">
        <v>10.5</v>
      </c>
      <c r="Q148" s="11">
        <v>10.625</v>
      </c>
      <c r="R148" s="11">
        <v>19.875</v>
      </c>
      <c r="S148" s="11">
        <v>19.625</v>
      </c>
      <c r="T148" s="11">
        <v>14</v>
      </c>
      <c r="U148" s="11">
        <v>11</v>
      </c>
      <c r="V148" s="11">
        <v>17</v>
      </c>
      <c r="W148" s="11">
        <v>16</v>
      </c>
      <c r="X148" s="11">
        <v>7</v>
      </c>
      <c r="Y148" s="11">
        <v>7</v>
      </c>
      <c r="Z148" s="3" t="s">
        <v>828</v>
      </c>
      <c r="AA148" s="10" t="s">
        <v>829</v>
      </c>
      <c r="AB148" s="5">
        <f>480+780+70+360+160+15+400+110+910+180</f>
        <v>3465</v>
      </c>
      <c r="AC148" s="6">
        <f>12+7.5+2.5+30+10+1.25+24+6.5+0+0</f>
        <v>93.75</v>
      </c>
      <c r="AD148" s="6">
        <f>8+4.5+0+21+7+0+14+4+0+0</f>
        <v>58.5</v>
      </c>
      <c r="AE148" s="6">
        <f>8+27+10+6+12+0.5+6+1.5+13+0</f>
        <v>84</v>
      </c>
      <c r="AF148" s="6">
        <f>80+144+4+12+2+0.5+40+13+221+48</f>
        <v>564.5</v>
      </c>
      <c r="AG148" s="6">
        <f>4+6+3+0+0+0.5+0+0.5+0+6</f>
        <v>20</v>
      </c>
      <c r="AH148" s="6">
        <f>1640+1680+210+90+380+85+100+17.5+325+900</f>
        <v>5427.5</v>
      </c>
      <c r="AI148" s="6">
        <f t="shared" si="218"/>
        <v>2.7056277056277056E-2</v>
      </c>
      <c r="AJ148" s="6">
        <f t="shared" si="219"/>
        <v>1.6883116883116882E-2</v>
      </c>
      <c r="AK148" s="6">
        <f t="shared" si="220"/>
        <v>2.4242424242424242E-2</v>
      </c>
      <c r="AL148" s="6">
        <f t="shared" si="221"/>
        <v>0.1629148629148629</v>
      </c>
      <c r="AM148" s="6">
        <f t="shared" si="222"/>
        <v>5.772005772005772E-3</v>
      </c>
      <c r="AN148" s="6">
        <f t="shared" si="223"/>
        <v>1.5663780663780664</v>
      </c>
      <c r="AO148" s="7">
        <v>4</v>
      </c>
      <c r="AP148" s="7">
        <v>1</v>
      </c>
      <c r="AQ148" s="7">
        <v>0</v>
      </c>
      <c r="AR148" s="10">
        <v>0</v>
      </c>
      <c r="AS148" s="7">
        <v>0</v>
      </c>
      <c r="AT148" s="7">
        <v>0</v>
      </c>
      <c r="AU148" s="7">
        <v>0</v>
      </c>
      <c r="AV148" s="7">
        <v>0</v>
      </c>
      <c r="AW148" s="7">
        <v>1</v>
      </c>
      <c r="AX148" s="7">
        <v>1</v>
      </c>
      <c r="AY148" s="5">
        <v>8.25</v>
      </c>
      <c r="AZ148" s="7">
        <v>0</v>
      </c>
      <c r="BA148" s="7">
        <v>0</v>
      </c>
      <c r="BB148" s="7">
        <v>0</v>
      </c>
      <c r="BC148" s="7">
        <v>1</v>
      </c>
      <c r="BD148" s="7">
        <v>1</v>
      </c>
      <c r="BE148" s="7">
        <v>0</v>
      </c>
      <c r="BF148" s="7">
        <v>1</v>
      </c>
      <c r="BG148" s="7">
        <v>15</v>
      </c>
      <c r="BH148" s="7">
        <v>0</v>
      </c>
      <c r="BI148" s="7">
        <v>0</v>
      </c>
      <c r="BJ148" s="7">
        <v>1</v>
      </c>
    </row>
    <row r="149" spans="1:62" ht="20.100000000000001" customHeight="1" x14ac:dyDescent="0.3">
      <c r="A149" s="3" t="s">
        <v>137</v>
      </c>
      <c r="B149" s="3">
        <v>17</v>
      </c>
      <c r="C149" s="8">
        <v>44358</v>
      </c>
      <c r="D149" s="9">
        <v>0.25555555555555559</v>
      </c>
      <c r="E149" s="4">
        <v>59</v>
      </c>
      <c r="F149" s="3">
        <v>0</v>
      </c>
      <c r="G149" s="3">
        <v>0</v>
      </c>
      <c r="H149" s="3">
        <v>0</v>
      </c>
      <c r="I149" s="3">
        <v>0</v>
      </c>
      <c r="J149" s="9">
        <v>0.2902777777777778</v>
      </c>
      <c r="K149" s="3">
        <v>142.19999999999999</v>
      </c>
      <c r="L149" s="11">
        <f t="shared" ref="L149" si="260">K149-K148</f>
        <v>-2</v>
      </c>
      <c r="M149" s="5">
        <f t="shared" ref="M149" si="261">AB148</f>
        <v>3465</v>
      </c>
      <c r="N149" s="11">
        <v>30.75</v>
      </c>
      <c r="O149" s="11">
        <v>31.75</v>
      </c>
      <c r="P149" s="11">
        <v>10.625</v>
      </c>
      <c r="Q149" s="11">
        <v>10.75</v>
      </c>
      <c r="R149" s="11">
        <v>20.125</v>
      </c>
      <c r="S149" s="11">
        <v>19.875</v>
      </c>
      <c r="T149" s="11">
        <v>13</v>
      </c>
      <c r="U149" s="11">
        <v>13</v>
      </c>
      <c r="V149" s="11">
        <v>17</v>
      </c>
      <c r="W149" s="11">
        <v>17</v>
      </c>
      <c r="X149" s="11">
        <v>7</v>
      </c>
      <c r="Y149" s="11">
        <v>7</v>
      </c>
      <c r="Z149" s="3" t="s">
        <v>831</v>
      </c>
      <c r="AA149" s="10" t="s">
        <v>832</v>
      </c>
      <c r="AB149" s="5">
        <f>570+225+70+120+260+180+80+20+35+210+220</f>
        <v>1990</v>
      </c>
      <c r="AC149" s="6">
        <f>13.5+8.75+5+3+2.5+5+1.5+1.25+0+0</f>
        <v>40.5</v>
      </c>
      <c r="AD149" s="6">
        <f>6+2.5+3.5+2+1.5+10.5+3.5+1+0+0+0</f>
        <v>30.5</v>
      </c>
      <c r="AE149" s="6">
        <f>33+7.5+1+2+9+3+6+2+5+3+0</f>
        <v>71.5</v>
      </c>
      <c r="AF149" s="6">
        <f>72+30+4+20+48+6+1+0+2+51+56</f>
        <v>290</v>
      </c>
      <c r="AG149" s="6">
        <f>3+7.5+0+1+2+0+0+0+1.5+0+0</f>
        <v>15</v>
      </c>
      <c r="AH149" s="6">
        <f>1290+1150+20+410+560+45+190+100+105+75+350</f>
        <v>4295</v>
      </c>
      <c r="AI149" s="6">
        <f t="shared" si="218"/>
        <v>2.0351758793969849E-2</v>
      </c>
      <c r="AJ149" s="6">
        <f t="shared" si="219"/>
        <v>1.5326633165829147E-2</v>
      </c>
      <c r="AK149" s="6">
        <f t="shared" si="220"/>
        <v>3.5929648241206029E-2</v>
      </c>
      <c r="AL149" s="6">
        <f t="shared" si="221"/>
        <v>0.14572864321608039</v>
      </c>
      <c r="AM149" s="6">
        <f t="shared" si="222"/>
        <v>7.537688442211055E-3</v>
      </c>
      <c r="AN149" s="6">
        <f t="shared" si="223"/>
        <v>2.158291457286432</v>
      </c>
      <c r="AO149" s="7">
        <v>4</v>
      </c>
      <c r="AP149" s="7">
        <v>1</v>
      </c>
      <c r="AQ149" s="7">
        <v>0</v>
      </c>
      <c r="AR149" s="10">
        <v>0</v>
      </c>
      <c r="AS149" s="7">
        <v>0</v>
      </c>
      <c r="AT149" s="7">
        <v>0</v>
      </c>
      <c r="AU149" s="7">
        <v>0</v>
      </c>
      <c r="AV149" s="7">
        <v>0</v>
      </c>
      <c r="AW149" s="7">
        <v>1</v>
      </c>
      <c r="AX149" s="7">
        <v>1</v>
      </c>
      <c r="AY149" s="5">
        <v>7.5</v>
      </c>
      <c r="AZ149" s="7">
        <v>0</v>
      </c>
      <c r="BA149" s="7">
        <v>0</v>
      </c>
      <c r="BB149" s="7">
        <v>0</v>
      </c>
      <c r="BC149" s="7">
        <v>1</v>
      </c>
      <c r="BD149" s="7">
        <v>1</v>
      </c>
      <c r="BE149" s="7">
        <v>0</v>
      </c>
      <c r="BF149" s="7">
        <v>0</v>
      </c>
      <c r="BG149" s="7">
        <v>0</v>
      </c>
      <c r="BH149" s="7">
        <v>0</v>
      </c>
      <c r="BI149" s="7">
        <v>0</v>
      </c>
      <c r="BJ149" s="7">
        <v>1</v>
      </c>
    </row>
    <row r="150" spans="1:62" ht="20.100000000000001" customHeight="1" x14ac:dyDescent="0.3">
      <c r="A150" s="3" t="s">
        <v>19</v>
      </c>
      <c r="B150" s="3">
        <v>18</v>
      </c>
      <c r="C150" s="8">
        <v>44359</v>
      </c>
      <c r="D150" s="9">
        <v>0.12083333333333333</v>
      </c>
      <c r="E150" s="4">
        <v>94</v>
      </c>
      <c r="F150" s="3">
        <v>0</v>
      </c>
      <c r="G150" s="3">
        <v>0</v>
      </c>
      <c r="H150" s="3">
        <v>0</v>
      </c>
      <c r="I150" s="3">
        <v>0</v>
      </c>
      <c r="J150" s="9">
        <v>0.29375000000000001</v>
      </c>
      <c r="K150" s="3">
        <v>141</v>
      </c>
      <c r="L150" s="11">
        <f t="shared" ref="L150" si="262">K150-K149</f>
        <v>-1.1999999999999886</v>
      </c>
      <c r="M150" s="5">
        <f t="shared" ref="M150" si="263">AB149</f>
        <v>1990</v>
      </c>
      <c r="N150" s="11">
        <v>30.25</v>
      </c>
      <c r="O150" s="11">
        <v>31.75</v>
      </c>
      <c r="P150" s="11">
        <v>10.625</v>
      </c>
      <c r="Q150" s="11">
        <v>10.625</v>
      </c>
      <c r="R150" s="11">
        <v>20</v>
      </c>
      <c r="S150" s="11">
        <v>20.25</v>
      </c>
      <c r="T150" s="11">
        <v>17</v>
      </c>
      <c r="U150" s="11">
        <v>13</v>
      </c>
      <c r="V150" s="11">
        <v>17</v>
      </c>
      <c r="W150" s="11">
        <v>17</v>
      </c>
      <c r="X150" s="11">
        <v>7</v>
      </c>
      <c r="Y150" s="11">
        <v>7</v>
      </c>
      <c r="Z150" s="3" t="s">
        <v>836</v>
      </c>
      <c r="AA150" s="10" t="s">
        <v>835</v>
      </c>
      <c r="AB150" s="5">
        <f>613.3+560+320+190+140+613+140</f>
        <v>2576.3000000000002</v>
      </c>
      <c r="AC150" s="6">
        <f>19.58+0+17+10+6+19.58+0</f>
        <v>72.16</v>
      </c>
      <c r="AD150" s="6">
        <f>12.75+0+10+6+0+12.75+0</f>
        <v>41.5</v>
      </c>
      <c r="AE150" s="6">
        <f>24.83+8+6+7+0+24.83+2</f>
        <v>72.66</v>
      </c>
      <c r="AF150" s="6">
        <f>78.33+136+35+34+20+78.33+34</f>
        <v>415.65999999999997</v>
      </c>
      <c r="AG150" s="6">
        <f>4+0+0+0+0+4+0</f>
        <v>8</v>
      </c>
      <c r="AH150" s="6">
        <f>1130+200+430+15+60+1130+50</f>
        <v>3015</v>
      </c>
      <c r="AI150" s="6">
        <f t="shared" si="218"/>
        <v>2.8009160423863678E-2</v>
      </c>
      <c r="AJ150" s="6">
        <f t="shared" si="219"/>
        <v>1.6108372472149982E-2</v>
      </c>
      <c r="AK150" s="6">
        <f t="shared" si="220"/>
        <v>2.8203237200636569E-2</v>
      </c>
      <c r="AL150" s="6">
        <f t="shared" si="221"/>
        <v>0.16133990606684001</v>
      </c>
      <c r="AM150" s="6">
        <f t="shared" si="222"/>
        <v>3.1052284283662615E-3</v>
      </c>
      <c r="AN150" s="6">
        <f t="shared" si="223"/>
        <v>1.1702829639405348</v>
      </c>
      <c r="AO150" s="7">
        <v>5</v>
      </c>
      <c r="AP150" s="7">
        <v>1</v>
      </c>
      <c r="AQ150" s="7">
        <v>0</v>
      </c>
      <c r="AR150" s="10">
        <v>0</v>
      </c>
      <c r="AS150" s="7">
        <v>0</v>
      </c>
      <c r="AT150" s="7">
        <v>0</v>
      </c>
      <c r="AU150" s="7">
        <v>0</v>
      </c>
      <c r="AV150" s="7">
        <v>0</v>
      </c>
      <c r="AW150" s="7">
        <v>31</v>
      </c>
      <c r="AX150" s="7">
        <v>1</v>
      </c>
      <c r="AY150" s="5">
        <v>5.5</v>
      </c>
      <c r="AZ150" s="7">
        <v>0</v>
      </c>
      <c r="BA150" s="7">
        <v>0</v>
      </c>
      <c r="BB150" s="7">
        <v>0</v>
      </c>
      <c r="BC150" s="7">
        <v>1</v>
      </c>
      <c r="BD150" s="7">
        <v>1</v>
      </c>
      <c r="BE150" s="7">
        <v>0</v>
      </c>
      <c r="BF150" s="7">
        <v>2</v>
      </c>
      <c r="BG150" s="7">
        <v>35</v>
      </c>
      <c r="BH150" s="7">
        <v>0</v>
      </c>
      <c r="BI150" s="7">
        <v>0</v>
      </c>
      <c r="BJ150" s="7">
        <v>0</v>
      </c>
    </row>
    <row r="151" spans="1:62" ht="20.100000000000001" customHeight="1" x14ac:dyDescent="0.3">
      <c r="A151" s="3" t="s">
        <v>23</v>
      </c>
      <c r="B151" s="3">
        <v>19</v>
      </c>
      <c r="C151" s="8">
        <v>44360</v>
      </c>
      <c r="D151" s="9">
        <v>0.25694444444444448</v>
      </c>
      <c r="E151" s="4">
        <v>64</v>
      </c>
      <c r="F151" s="3">
        <v>0</v>
      </c>
      <c r="G151" s="3">
        <v>0</v>
      </c>
      <c r="H151" s="3">
        <v>0</v>
      </c>
      <c r="I151" s="3">
        <v>0</v>
      </c>
      <c r="J151" s="9">
        <v>0.30624999999999997</v>
      </c>
      <c r="K151" s="3">
        <v>143.4</v>
      </c>
      <c r="L151" s="11">
        <f t="shared" ref="L151" si="264">K151-K150</f>
        <v>2.4000000000000057</v>
      </c>
      <c r="M151" s="5">
        <f t="shared" ref="M151" si="265">AB150</f>
        <v>2576.3000000000002</v>
      </c>
      <c r="N151" s="11">
        <v>31</v>
      </c>
      <c r="O151" s="11">
        <v>32</v>
      </c>
      <c r="P151" s="11">
        <v>10.5</v>
      </c>
      <c r="Q151" s="11">
        <v>10.625</v>
      </c>
      <c r="R151" s="11">
        <v>19.75</v>
      </c>
      <c r="S151" s="11">
        <v>19.75</v>
      </c>
      <c r="T151" s="11">
        <v>19</v>
      </c>
      <c r="U151" s="11">
        <v>20</v>
      </c>
      <c r="V151" s="11">
        <v>17</v>
      </c>
      <c r="W151" s="11">
        <v>15</v>
      </c>
      <c r="X151" s="11">
        <v>7</v>
      </c>
      <c r="Y151" s="11">
        <v>8</v>
      </c>
      <c r="Z151" s="3" t="s">
        <v>837</v>
      </c>
      <c r="AD151" s="19"/>
      <c r="AO151" s="7">
        <v>4</v>
      </c>
      <c r="AP151" s="7">
        <v>1</v>
      </c>
      <c r="AQ151" s="7">
        <v>0</v>
      </c>
      <c r="AR151" s="10">
        <v>0</v>
      </c>
      <c r="AS151" s="7">
        <v>0</v>
      </c>
      <c r="AT151" s="7">
        <v>0</v>
      </c>
      <c r="AU151" s="7">
        <v>0</v>
      </c>
      <c r="AV151" s="7">
        <v>0</v>
      </c>
      <c r="AW151" s="7">
        <v>31</v>
      </c>
      <c r="AX151" s="7">
        <v>1</v>
      </c>
      <c r="AY151" s="5">
        <v>7.166666666666667</v>
      </c>
      <c r="AZ151" s="7">
        <v>0</v>
      </c>
      <c r="BA151" s="7">
        <v>1</v>
      </c>
      <c r="BB151" s="7">
        <v>0</v>
      </c>
      <c r="BC151" s="7">
        <v>1</v>
      </c>
      <c r="BD151" s="7">
        <v>1</v>
      </c>
      <c r="BE151" s="7">
        <v>0</v>
      </c>
      <c r="BF151" s="7">
        <v>0</v>
      </c>
      <c r="BG151" s="7">
        <v>0</v>
      </c>
      <c r="BH151" s="7">
        <v>0</v>
      </c>
      <c r="BI151" s="7">
        <v>0</v>
      </c>
      <c r="BJ151" s="7">
        <v>0</v>
      </c>
    </row>
    <row r="152" spans="1:62" ht="20.100000000000001" customHeight="1" x14ac:dyDescent="0.3"/>
    <row r="153" spans="1:62" ht="20.100000000000001" customHeight="1" x14ac:dyDescent="0.3"/>
    <row r="154" spans="1:62" ht="20.100000000000001" customHeight="1" x14ac:dyDescent="0.3"/>
    <row r="155" spans="1:62" ht="20.100000000000001" customHeight="1" x14ac:dyDescent="0.3"/>
    <row r="156" spans="1:62" ht="20.100000000000001" customHeight="1" x14ac:dyDescent="0.3"/>
    <row r="157" spans="1:62" ht="20.100000000000001" customHeight="1" x14ac:dyDescent="0.3"/>
    <row r="158" spans="1:62" ht="20.100000000000001" customHeight="1" x14ac:dyDescent="0.3"/>
    <row r="159" spans="1:62" ht="20.100000000000001" customHeight="1" x14ac:dyDescent="0.3"/>
    <row r="160" spans="1:62" ht="20.100000000000001" customHeight="1" x14ac:dyDescent="0.3"/>
    <row r="161" ht="20.100000000000001" customHeight="1" x14ac:dyDescent="0.3"/>
    <row r="162" ht="20.100000000000001" customHeight="1" x14ac:dyDescent="0.3"/>
    <row r="163" ht="20.100000000000001" customHeight="1" x14ac:dyDescent="0.3"/>
    <row r="164" ht="20.100000000000001" customHeight="1" x14ac:dyDescent="0.3"/>
    <row r="165" ht="20.100000000000001" customHeight="1" x14ac:dyDescent="0.3"/>
    <row r="166" ht="20.100000000000001" customHeight="1" x14ac:dyDescent="0.3"/>
    <row r="167" ht="20.100000000000001" customHeight="1" x14ac:dyDescent="0.3"/>
    <row r="168" ht="20.100000000000001" customHeight="1" x14ac:dyDescent="0.3"/>
    <row r="169" ht="20.100000000000001" customHeight="1" x14ac:dyDescent="0.3"/>
    <row r="170" ht="20.100000000000001" customHeight="1" x14ac:dyDescent="0.3"/>
    <row r="171" ht="20.100000000000001" customHeight="1" x14ac:dyDescent="0.3"/>
    <row r="172" ht="20.100000000000001" customHeight="1" x14ac:dyDescent="0.3"/>
    <row r="173" ht="20.100000000000001" customHeight="1" x14ac:dyDescent="0.3"/>
    <row r="174" ht="20.100000000000001" customHeight="1" x14ac:dyDescent="0.3"/>
    <row r="175" ht="20.100000000000001" customHeight="1" x14ac:dyDescent="0.3"/>
    <row r="176" ht="20.100000000000001" customHeight="1" x14ac:dyDescent="0.3"/>
    <row r="177" ht="20.100000000000001" customHeight="1" x14ac:dyDescent="0.3"/>
    <row r="178" ht="20.100000000000001" customHeight="1" x14ac:dyDescent="0.3"/>
    <row r="179" ht="20.100000000000001" customHeight="1" x14ac:dyDescent="0.3"/>
    <row r="180" ht="20.100000000000001" customHeight="1" x14ac:dyDescent="0.3"/>
    <row r="181" ht="20.100000000000001" customHeight="1" x14ac:dyDescent="0.3"/>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B63" sqref="B63"/>
    </sheetView>
  </sheetViews>
  <sheetFormatPr defaultRowHeight="14.4" x14ac:dyDescent="0.3"/>
  <cols>
    <col min="1" max="1" width="29.33203125" style="13" customWidth="1"/>
    <col min="2" max="2" width="77.44140625" customWidth="1"/>
  </cols>
  <sheetData>
    <row r="1" spans="1:2" x14ac:dyDescent="0.3">
      <c r="A1" s="13" t="s">
        <v>0</v>
      </c>
      <c r="B1" t="s">
        <v>243</v>
      </c>
    </row>
    <row r="2" spans="1:2" x14ac:dyDescent="0.3">
      <c r="A2" s="13" t="s">
        <v>124</v>
      </c>
      <c r="B2" t="s">
        <v>300</v>
      </c>
    </row>
    <row r="3" spans="1:2" x14ac:dyDescent="0.3">
      <c r="A3" s="13" t="s">
        <v>1</v>
      </c>
      <c r="B3" t="s">
        <v>244</v>
      </c>
    </row>
    <row r="4" spans="1:2" x14ac:dyDescent="0.3">
      <c r="A4" s="13" t="s">
        <v>2</v>
      </c>
      <c r="B4" t="s">
        <v>245</v>
      </c>
    </row>
    <row r="5" spans="1:2" x14ac:dyDescent="0.3">
      <c r="A5" s="14" t="s">
        <v>25</v>
      </c>
      <c r="B5" t="s">
        <v>246</v>
      </c>
    </row>
    <row r="6" spans="1:2" x14ac:dyDescent="0.3">
      <c r="A6" s="13" t="s">
        <v>125</v>
      </c>
      <c r="B6" t="s">
        <v>247</v>
      </c>
    </row>
    <row r="7" spans="1:2" x14ac:dyDescent="0.3">
      <c r="A7" s="13" t="s">
        <v>126</v>
      </c>
      <c r="B7" t="s">
        <v>248</v>
      </c>
    </row>
    <row r="8" spans="1:2" x14ac:dyDescent="0.3">
      <c r="A8" s="13" t="s">
        <v>87</v>
      </c>
      <c r="B8" t="s">
        <v>242</v>
      </c>
    </row>
    <row r="9" spans="1:2" x14ac:dyDescent="0.3">
      <c r="A9" s="13" t="s">
        <v>250</v>
      </c>
      <c r="B9" t="s">
        <v>251</v>
      </c>
    </row>
    <row r="10" spans="1:2" x14ac:dyDescent="0.3">
      <c r="A10" s="13" t="s">
        <v>22</v>
      </c>
      <c r="B10" t="s">
        <v>241</v>
      </c>
    </row>
    <row r="11" spans="1:2" x14ac:dyDescent="0.3">
      <c r="A11" s="13" t="s">
        <v>3</v>
      </c>
      <c r="B11" t="s">
        <v>240</v>
      </c>
    </row>
    <row r="12" spans="1:2" x14ac:dyDescent="0.3">
      <c r="A12" s="15" t="s">
        <v>94</v>
      </c>
      <c r="B12" t="s">
        <v>239</v>
      </c>
    </row>
    <row r="13" spans="1:2" x14ac:dyDescent="0.3">
      <c r="A13" s="15" t="s">
        <v>93</v>
      </c>
      <c r="B13" t="s">
        <v>238</v>
      </c>
    </row>
    <row r="14" spans="1:2" x14ac:dyDescent="0.3">
      <c r="A14" s="15" t="s">
        <v>4</v>
      </c>
      <c r="B14" t="s">
        <v>237</v>
      </c>
    </row>
    <row r="15" spans="1:2" x14ac:dyDescent="0.3">
      <c r="A15" s="15" t="s">
        <v>117</v>
      </c>
      <c r="B15" t="s">
        <v>236</v>
      </c>
    </row>
    <row r="16" spans="1:2" x14ac:dyDescent="0.3">
      <c r="A16" s="15" t="s">
        <v>5</v>
      </c>
      <c r="B16" t="s">
        <v>235</v>
      </c>
    </row>
    <row r="17" spans="1:2" x14ac:dyDescent="0.3">
      <c r="A17" s="15" t="s">
        <v>6</v>
      </c>
      <c r="B17" t="s">
        <v>234</v>
      </c>
    </row>
    <row r="18" spans="1:2" x14ac:dyDescent="0.3">
      <c r="A18" s="15" t="s">
        <v>7</v>
      </c>
      <c r="B18" t="s">
        <v>233</v>
      </c>
    </row>
    <row r="19" spans="1:2" x14ac:dyDescent="0.3">
      <c r="A19" s="15" t="s">
        <v>8</v>
      </c>
      <c r="B19" t="s">
        <v>232</v>
      </c>
    </row>
    <row r="20" spans="1:2" x14ac:dyDescent="0.3">
      <c r="A20" s="15" t="s">
        <v>9</v>
      </c>
      <c r="B20" t="s">
        <v>228</v>
      </c>
    </row>
    <row r="21" spans="1:2" x14ac:dyDescent="0.3">
      <c r="A21" s="15" t="s">
        <v>10</v>
      </c>
      <c r="B21" t="s">
        <v>229</v>
      </c>
    </row>
    <row r="22" spans="1:2" x14ac:dyDescent="0.3">
      <c r="A22" s="15" t="s">
        <v>11</v>
      </c>
      <c r="B22" t="s">
        <v>226</v>
      </c>
    </row>
    <row r="23" spans="1:2" x14ac:dyDescent="0.3">
      <c r="A23" s="15" t="s">
        <v>12</v>
      </c>
      <c r="B23" t="s">
        <v>227</v>
      </c>
    </row>
    <row r="24" spans="1:2" x14ac:dyDescent="0.3">
      <c r="A24" s="15" t="s">
        <v>13</v>
      </c>
      <c r="B24" t="s">
        <v>230</v>
      </c>
    </row>
    <row r="25" spans="1:2" x14ac:dyDescent="0.3">
      <c r="A25" s="15" t="s">
        <v>14</v>
      </c>
      <c r="B25" t="s">
        <v>231</v>
      </c>
    </row>
    <row r="26" spans="1:2" x14ac:dyDescent="0.3">
      <c r="A26" s="13" t="s">
        <v>31</v>
      </c>
      <c r="B26" t="s">
        <v>225</v>
      </c>
    </row>
    <row r="27" spans="1:2" x14ac:dyDescent="0.3">
      <c r="A27" s="13" t="s">
        <v>86</v>
      </c>
      <c r="B27" t="s">
        <v>224</v>
      </c>
    </row>
    <row r="28" spans="1:2" x14ac:dyDescent="0.3">
      <c r="A28" s="15" t="s">
        <v>30</v>
      </c>
      <c r="B28" t="s">
        <v>222</v>
      </c>
    </row>
    <row r="29" spans="1:2" x14ac:dyDescent="0.3">
      <c r="A29" s="15" t="s">
        <v>26</v>
      </c>
      <c r="B29" t="s">
        <v>221</v>
      </c>
    </row>
    <row r="30" spans="1:2" x14ac:dyDescent="0.3">
      <c r="A30" s="15" t="s">
        <v>27</v>
      </c>
      <c r="B30" t="s">
        <v>220</v>
      </c>
    </row>
    <row r="31" spans="1:2" x14ac:dyDescent="0.3">
      <c r="A31" s="15" t="s">
        <v>28</v>
      </c>
      <c r="B31" t="s">
        <v>219</v>
      </c>
    </row>
    <row r="32" spans="1:2" x14ac:dyDescent="0.3">
      <c r="A32" s="15" t="s">
        <v>88</v>
      </c>
      <c r="B32" t="s">
        <v>223</v>
      </c>
    </row>
    <row r="33" spans="1:2" x14ac:dyDescent="0.3">
      <c r="A33" s="15" t="s">
        <v>89</v>
      </c>
      <c r="B33" t="s">
        <v>218</v>
      </c>
    </row>
    <row r="34" spans="1:2" x14ac:dyDescent="0.3">
      <c r="A34" s="15" t="s">
        <v>184</v>
      </c>
      <c r="B34" t="s">
        <v>217</v>
      </c>
    </row>
    <row r="35" spans="1:2" x14ac:dyDescent="0.3">
      <c r="A35" s="15" t="s">
        <v>185</v>
      </c>
      <c r="B35" t="s">
        <v>215</v>
      </c>
    </row>
    <row r="36" spans="1:2" x14ac:dyDescent="0.3">
      <c r="A36" s="15" t="s">
        <v>186</v>
      </c>
      <c r="B36" t="s">
        <v>214</v>
      </c>
    </row>
    <row r="37" spans="1:2" x14ac:dyDescent="0.3">
      <c r="A37" s="15" t="s">
        <v>187</v>
      </c>
      <c r="B37" t="s">
        <v>213</v>
      </c>
    </row>
    <row r="38" spans="1:2" x14ac:dyDescent="0.3">
      <c r="A38" s="15" t="s">
        <v>188</v>
      </c>
      <c r="B38" t="s">
        <v>216</v>
      </c>
    </row>
    <row r="39" spans="1:2" x14ac:dyDescent="0.3">
      <c r="A39" s="15" t="s">
        <v>189</v>
      </c>
      <c r="B39" t="s">
        <v>212</v>
      </c>
    </row>
    <row r="40" spans="1:2" x14ac:dyDescent="0.3">
      <c r="A40" s="15" t="s">
        <v>271</v>
      </c>
      <c r="B40" t="s">
        <v>211</v>
      </c>
    </row>
    <row r="41" spans="1:2" x14ac:dyDescent="0.3">
      <c r="A41" s="14" t="s">
        <v>47</v>
      </c>
      <c r="B41" t="s">
        <v>210</v>
      </c>
    </row>
    <row r="42" spans="1:2" x14ac:dyDescent="0.3">
      <c r="A42" s="14" t="s">
        <v>118</v>
      </c>
      <c r="B42" t="s">
        <v>209</v>
      </c>
    </row>
    <row r="43" spans="1:2" x14ac:dyDescent="0.3">
      <c r="A43" s="14" t="s">
        <v>85</v>
      </c>
      <c r="B43" t="s">
        <v>301</v>
      </c>
    </row>
    <row r="44" spans="1:2" x14ac:dyDescent="0.3">
      <c r="A44" s="13" t="s">
        <v>21</v>
      </c>
      <c r="B44" t="s">
        <v>208</v>
      </c>
    </row>
    <row r="45" spans="1:2" x14ac:dyDescent="0.3">
      <c r="A45" s="14" t="s">
        <v>91</v>
      </c>
      <c r="B45" t="s">
        <v>207</v>
      </c>
    </row>
    <row r="46" spans="1:2" x14ac:dyDescent="0.3">
      <c r="A46" s="14" t="s">
        <v>92</v>
      </c>
      <c r="B46" t="s">
        <v>206</v>
      </c>
    </row>
    <row r="47" spans="1:2" x14ac:dyDescent="0.3">
      <c r="A47" s="14" t="s">
        <v>98</v>
      </c>
      <c r="B47" t="s">
        <v>205</v>
      </c>
    </row>
    <row r="48" spans="1:2" x14ac:dyDescent="0.3">
      <c r="A48" s="14" t="s">
        <v>99</v>
      </c>
      <c r="B48" t="s">
        <v>204</v>
      </c>
    </row>
    <row r="49" spans="1:2" x14ac:dyDescent="0.3">
      <c r="A49" s="13" t="s">
        <v>24</v>
      </c>
      <c r="B49" t="s">
        <v>203</v>
      </c>
    </row>
    <row r="50" spans="1:2" x14ac:dyDescent="0.3">
      <c r="A50" s="13" t="s">
        <v>82</v>
      </c>
      <c r="B50" t="s">
        <v>202</v>
      </c>
    </row>
    <row r="51" spans="1:2" x14ac:dyDescent="0.3">
      <c r="A51" s="13" t="s">
        <v>105</v>
      </c>
      <c r="B51" t="s">
        <v>201</v>
      </c>
    </row>
    <row r="52" spans="1:2" x14ac:dyDescent="0.3">
      <c r="A52" s="13" t="s">
        <v>100</v>
      </c>
      <c r="B52" t="s">
        <v>200</v>
      </c>
    </row>
    <row r="53" spans="1:2" x14ac:dyDescent="0.3">
      <c r="A53" s="13" t="s">
        <v>101</v>
      </c>
      <c r="B53" t="s">
        <v>196</v>
      </c>
    </row>
    <row r="54" spans="1:2" x14ac:dyDescent="0.3">
      <c r="A54" s="13" t="s">
        <v>102</v>
      </c>
      <c r="B54" t="s">
        <v>197</v>
      </c>
    </row>
    <row r="55" spans="1:2" x14ac:dyDescent="0.3">
      <c r="A55" s="13" t="s">
        <v>103</v>
      </c>
      <c r="B55" t="s">
        <v>198</v>
      </c>
    </row>
    <row r="56" spans="1:2" x14ac:dyDescent="0.3">
      <c r="A56" s="13" t="s">
        <v>104</v>
      </c>
      <c r="B56" t="s">
        <v>199</v>
      </c>
    </row>
    <row r="57" spans="1:2" x14ac:dyDescent="0.3">
      <c r="A57" s="3" t="s">
        <v>381</v>
      </c>
      <c r="B57" t="s">
        <v>386</v>
      </c>
    </row>
    <row r="58" spans="1:2" x14ac:dyDescent="0.3">
      <c r="A58" s="3" t="s">
        <v>382</v>
      </c>
      <c r="B58" t="s">
        <v>387</v>
      </c>
    </row>
    <row r="59" spans="1:2" x14ac:dyDescent="0.3">
      <c r="A59" s="3" t="s">
        <v>383</v>
      </c>
      <c r="B59" t="s">
        <v>388</v>
      </c>
    </row>
    <row r="60" spans="1:2" x14ac:dyDescent="0.3">
      <c r="A60" s="3" t="s">
        <v>384</v>
      </c>
      <c r="B60" t="s">
        <v>389</v>
      </c>
    </row>
    <row r="61" spans="1:2" x14ac:dyDescent="0.3">
      <c r="A61" s="3" t="s">
        <v>385</v>
      </c>
      <c r="B61" t="s">
        <v>390</v>
      </c>
    </row>
    <row r="62" spans="1:2" x14ac:dyDescent="0.3">
      <c r="A62" s="13" t="s">
        <v>641</v>
      </c>
      <c r="B62" t="s">
        <v>642</v>
      </c>
    </row>
    <row r="16386" spans="1:1" x14ac:dyDescent="0.3">
      <c r="A16386" s="13" t="s">
        <v>0</v>
      </c>
    </row>
    <row r="16387" spans="1:1" x14ac:dyDescent="0.3">
      <c r="A16387" s="13" t="s">
        <v>124</v>
      </c>
    </row>
    <row r="16388" spans="1:1" x14ac:dyDescent="0.3">
      <c r="A16388" s="13" t="s">
        <v>1</v>
      </c>
    </row>
    <row r="16389" spans="1:1" x14ac:dyDescent="0.3">
      <c r="A16389" s="13" t="s">
        <v>2</v>
      </c>
    </row>
    <row r="16390" spans="1:1" x14ac:dyDescent="0.3">
      <c r="A16390" s="14" t="s">
        <v>25</v>
      </c>
    </row>
    <row r="16391" spans="1:1" x14ac:dyDescent="0.3">
      <c r="A16391" s="13" t="s">
        <v>125</v>
      </c>
    </row>
    <row r="16392" spans="1:1" x14ac:dyDescent="0.3">
      <c r="A16392" s="13" t="s">
        <v>126</v>
      </c>
    </row>
    <row r="16393" spans="1:1" x14ac:dyDescent="0.3">
      <c r="A16393" s="13" t="s">
        <v>87</v>
      </c>
    </row>
    <row r="16394" spans="1:1" x14ac:dyDescent="0.3">
      <c r="A16394" s="13" t="s">
        <v>22</v>
      </c>
    </row>
    <row r="16395" spans="1:1" x14ac:dyDescent="0.3">
      <c r="A16395" s="13" t="s">
        <v>3</v>
      </c>
    </row>
    <row r="16396" spans="1:1" x14ac:dyDescent="0.3">
      <c r="A16396" s="15" t="s">
        <v>94</v>
      </c>
    </row>
    <row r="16397" spans="1:1" x14ac:dyDescent="0.3">
      <c r="A16397" s="15" t="s">
        <v>93</v>
      </c>
    </row>
    <row r="16398" spans="1:1" x14ac:dyDescent="0.3">
      <c r="A16398" s="15" t="s">
        <v>4</v>
      </c>
    </row>
    <row r="16399" spans="1:1" x14ac:dyDescent="0.3">
      <c r="A16399" s="15" t="s">
        <v>117</v>
      </c>
    </row>
    <row r="16400" spans="1:1" x14ac:dyDescent="0.3">
      <c r="A16400" s="15" t="s">
        <v>5</v>
      </c>
    </row>
    <row r="16401" spans="1:1" x14ac:dyDescent="0.3">
      <c r="A16401" s="15" t="s">
        <v>6</v>
      </c>
    </row>
    <row r="16402" spans="1:1" x14ac:dyDescent="0.3">
      <c r="A16402" s="15" t="s">
        <v>7</v>
      </c>
    </row>
    <row r="16403" spans="1:1" x14ac:dyDescent="0.3">
      <c r="A16403" s="15" t="s">
        <v>8</v>
      </c>
    </row>
    <row r="16404" spans="1:1" x14ac:dyDescent="0.3">
      <c r="A16404" s="15" t="s">
        <v>9</v>
      </c>
    </row>
    <row r="16405" spans="1:1" x14ac:dyDescent="0.3">
      <c r="A16405" s="15" t="s">
        <v>10</v>
      </c>
    </row>
    <row r="16406" spans="1:1" x14ac:dyDescent="0.3">
      <c r="A16406" s="15" t="s">
        <v>11</v>
      </c>
    </row>
    <row r="16407" spans="1:1" x14ac:dyDescent="0.3">
      <c r="A16407" s="15" t="s">
        <v>12</v>
      </c>
    </row>
    <row r="16408" spans="1:1" x14ac:dyDescent="0.3">
      <c r="A16408" s="15" t="s">
        <v>13</v>
      </c>
    </row>
    <row r="16409" spans="1:1" x14ac:dyDescent="0.3">
      <c r="A16409" s="15" t="s">
        <v>14</v>
      </c>
    </row>
    <row r="16410" spans="1:1" x14ac:dyDescent="0.3">
      <c r="A16410" s="13" t="s">
        <v>31</v>
      </c>
    </row>
    <row r="16411" spans="1:1" x14ac:dyDescent="0.3">
      <c r="A16411" s="13" t="s">
        <v>86</v>
      </c>
    </row>
    <row r="16412" spans="1:1" x14ac:dyDescent="0.3">
      <c r="A16412" s="15" t="s">
        <v>30</v>
      </c>
    </row>
    <row r="16413" spans="1:1" x14ac:dyDescent="0.3">
      <c r="A16413" s="15" t="s">
        <v>26</v>
      </c>
    </row>
    <row r="16414" spans="1:1" x14ac:dyDescent="0.3">
      <c r="A16414" s="15" t="s">
        <v>27</v>
      </c>
    </row>
    <row r="16415" spans="1:1" x14ac:dyDescent="0.3">
      <c r="A16415" s="15" t="s">
        <v>28</v>
      </c>
    </row>
    <row r="16416" spans="1:1" x14ac:dyDescent="0.3">
      <c r="A16416" s="15" t="s">
        <v>88</v>
      </c>
    </row>
    <row r="16417" spans="1:1" x14ac:dyDescent="0.3">
      <c r="A16417" s="15" t="s">
        <v>89</v>
      </c>
    </row>
    <row r="16418" spans="1:1" x14ac:dyDescent="0.3">
      <c r="A16418" s="15" t="s">
        <v>184</v>
      </c>
    </row>
    <row r="16419" spans="1:1" x14ac:dyDescent="0.3">
      <c r="A16419" s="15" t="s">
        <v>185</v>
      </c>
    </row>
    <row r="16420" spans="1:1" x14ac:dyDescent="0.3">
      <c r="A16420" s="15" t="s">
        <v>186</v>
      </c>
    </row>
    <row r="16421" spans="1:1" x14ac:dyDescent="0.3">
      <c r="A16421" s="15" t="s">
        <v>187</v>
      </c>
    </row>
    <row r="16422" spans="1:1" x14ac:dyDescent="0.3">
      <c r="A16422" s="15" t="s">
        <v>188</v>
      </c>
    </row>
    <row r="16423" spans="1:1" x14ac:dyDescent="0.3">
      <c r="A16423" s="15" t="s">
        <v>189</v>
      </c>
    </row>
    <row r="16424" spans="1:1" x14ac:dyDescent="0.3">
      <c r="A16424" s="15" t="s">
        <v>190</v>
      </c>
    </row>
    <row r="16425" spans="1:1" x14ac:dyDescent="0.3">
      <c r="A16425" s="14" t="s">
        <v>47</v>
      </c>
    </row>
    <row r="16426" spans="1:1" x14ac:dyDescent="0.3">
      <c r="A16426" s="14" t="s">
        <v>118</v>
      </c>
    </row>
    <row r="16427" spans="1:1" x14ac:dyDescent="0.3">
      <c r="A16427" s="14" t="s">
        <v>85</v>
      </c>
    </row>
    <row r="16428" spans="1:1" x14ac:dyDescent="0.3">
      <c r="A16428" s="13" t="s">
        <v>21</v>
      </c>
    </row>
    <row r="16429" spans="1:1" x14ac:dyDescent="0.3">
      <c r="A16429" s="14" t="s">
        <v>91</v>
      </c>
    </row>
    <row r="16430" spans="1:1" x14ac:dyDescent="0.3">
      <c r="A16430" s="14" t="s">
        <v>92</v>
      </c>
    </row>
    <row r="16431" spans="1:1" x14ac:dyDescent="0.3">
      <c r="A16431" s="14" t="s">
        <v>98</v>
      </c>
    </row>
    <row r="16432" spans="1:1" x14ac:dyDescent="0.3">
      <c r="A16432" s="14" t="s">
        <v>99</v>
      </c>
    </row>
    <row r="16433" spans="1:1" x14ac:dyDescent="0.3">
      <c r="A16433" s="13" t="s">
        <v>24</v>
      </c>
    </row>
    <row r="16434" spans="1:1" x14ac:dyDescent="0.3">
      <c r="A16434" s="13" t="s">
        <v>82</v>
      </c>
    </row>
    <row r="16435" spans="1:1" x14ac:dyDescent="0.3">
      <c r="A16435" s="13" t="s">
        <v>105</v>
      </c>
    </row>
    <row r="16436" spans="1:1" x14ac:dyDescent="0.3">
      <c r="A16436" s="13" t="s">
        <v>100</v>
      </c>
    </row>
    <row r="16437" spans="1:1" x14ac:dyDescent="0.3">
      <c r="A16437" s="13" t="s">
        <v>101</v>
      </c>
    </row>
    <row r="16438" spans="1:1" x14ac:dyDescent="0.3">
      <c r="A16438" s="13" t="s">
        <v>102</v>
      </c>
    </row>
    <row r="16439" spans="1:1" x14ac:dyDescent="0.3">
      <c r="A16439" s="13" t="s">
        <v>103</v>
      </c>
    </row>
    <row r="16440" spans="1:1" x14ac:dyDescent="0.3">
      <c r="A16440" s="13" t="s">
        <v>104</v>
      </c>
    </row>
    <row r="32770" spans="1:1" x14ac:dyDescent="0.3">
      <c r="A32770" s="13" t="s">
        <v>0</v>
      </c>
    </row>
    <row r="32771" spans="1:1" x14ac:dyDescent="0.3">
      <c r="A32771" s="13" t="s">
        <v>124</v>
      </c>
    </row>
    <row r="32772" spans="1:1" x14ac:dyDescent="0.3">
      <c r="A32772" s="13" t="s">
        <v>1</v>
      </c>
    </row>
    <row r="32773" spans="1:1" x14ac:dyDescent="0.3">
      <c r="A32773" s="13" t="s">
        <v>2</v>
      </c>
    </row>
    <row r="32774" spans="1:1" x14ac:dyDescent="0.3">
      <c r="A32774" s="14" t="s">
        <v>25</v>
      </c>
    </row>
    <row r="32775" spans="1:1" x14ac:dyDescent="0.3">
      <c r="A32775" s="13" t="s">
        <v>125</v>
      </c>
    </row>
    <row r="32776" spans="1:1" x14ac:dyDescent="0.3">
      <c r="A32776" s="13" t="s">
        <v>126</v>
      </c>
    </row>
    <row r="32777" spans="1:1" x14ac:dyDescent="0.3">
      <c r="A32777" s="13" t="s">
        <v>87</v>
      </c>
    </row>
    <row r="32778" spans="1:1" x14ac:dyDescent="0.3">
      <c r="A32778" s="13" t="s">
        <v>22</v>
      </c>
    </row>
    <row r="32779" spans="1:1" x14ac:dyDescent="0.3">
      <c r="A32779" s="13" t="s">
        <v>3</v>
      </c>
    </row>
    <row r="32780" spans="1:1" x14ac:dyDescent="0.3">
      <c r="A32780" s="15" t="s">
        <v>94</v>
      </c>
    </row>
    <row r="32781" spans="1:1" x14ac:dyDescent="0.3">
      <c r="A32781" s="15" t="s">
        <v>93</v>
      </c>
    </row>
    <row r="32782" spans="1:1" x14ac:dyDescent="0.3">
      <c r="A32782" s="15" t="s">
        <v>4</v>
      </c>
    </row>
    <row r="32783" spans="1:1" x14ac:dyDescent="0.3">
      <c r="A32783" s="15" t="s">
        <v>117</v>
      </c>
    </row>
    <row r="32784" spans="1:1" x14ac:dyDescent="0.3">
      <c r="A32784" s="15" t="s">
        <v>5</v>
      </c>
    </row>
    <row r="32785" spans="1:1" x14ac:dyDescent="0.3">
      <c r="A32785" s="15" t="s">
        <v>6</v>
      </c>
    </row>
    <row r="32786" spans="1:1" x14ac:dyDescent="0.3">
      <c r="A32786" s="15" t="s">
        <v>7</v>
      </c>
    </row>
    <row r="32787" spans="1:1" x14ac:dyDescent="0.3">
      <c r="A32787" s="15" t="s">
        <v>8</v>
      </c>
    </row>
    <row r="32788" spans="1:1" x14ac:dyDescent="0.3">
      <c r="A32788" s="15" t="s">
        <v>9</v>
      </c>
    </row>
    <row r="32789" spans="1:1" x14ac:dyDescent="0.3">
      <c r="A32789" s="15" t="s">
        <v>10</v>
      </c>
    </row>
    <row r="32790" spans="1:1" x14ac:dyDescent="0.3">
      <c r="A32790" s="15" t="s">
        <v>11</v>
      </c>
    </row>
    <row r="32791" spans="1:1" x14ac:dyDescent="0.3">
      <c r="A32791" s="15" t="s">
        <v>12</v>
      </c>
    </row>
    <row r="32792" spans="1:1" x14ac:dyDescent="0.3">
      <c r="A32792" s="15" t="s">
        <v>13</v>
      </c>
    </row>
    <row r="32793" spans="1:1" x14ac:dyDescent="0.3">
      <c r="A32793" s="15" t="s">
        <v>14</v>
      </c>
    </row>
    <row r="32794" spans="1:1" x14ac:dyDescent="0.3">
      <c r="A32794" s="13" t="s">
        <v>31</v>
      </c>
    </row>
    <row r="32795" spans="1:1" x14ac:dyDescent="0.3">
      <c r="A32795" s="13" t="s">
        <v>86</v>
      </c>
    </row>
    <row r="32796" spans="1:1" x14ac:dyDescent="0.3">
      <c r="A32796" s="15" t="s">
        <v>30</v>
      </c>
    </row>
    <row r="32797" spans="1:1" x14ac:dyDescent="0.3">
      <c r="A32797" s="15" t="s">
        <v>26</v>
      </c>
    </row>
    <row r="32798" spans="1:1" x14ac:dyDescent="0.3">
      <c r="A32798" s="15" t="s">
        <v>27</v>
      </c>
    </row>
    <row r="32799" spans="1:1" x14ac:dyDescent="0.3">
      <c r="A32799" s="15" t="s">
        <v>28</v>
      </c>
    </row>
    <row r="32800" spans="1:1" x14ac:dyDescent="0.3">
      <c r="A32800" s="15" t="s">
        <v>88</v>
      </c>
    </row>
    <row r="32801" spans="1:1" x14ac:dyDescent="0.3">
      <c r="A32801" s="15" t="s">
        <v>89</v>
      </c>
    </row>
    <row r="32802" spans="1:1" x14ac:dyDescent="0.3">
      <c r="A32802" s="15" t="s">
        <v>184</v>
      </c>
    </row>
    <row r="32803" spans="1:1" x14ac:dyDescent="0.3">
      <c r="A32803" s="15" t="s">
        <v>185</v>
      </c>
    </row>
    <row r="32804" spans="1:1" x14ac:dyDescent="0.3">
      <c r="A32804" s="15" t="s">
        <v>186</v>
      </c>
    </row>
    <row r="32805" spans="1:1" x14ac:dyDescent="0.3">
      <c r="A32805" s="15" t="s">
        <v>187</v>
      </c>
    </row>
    <row r="32806" spans="1:1" x14ac:dyDescent="0.3">
      <c r="A32806" s="15" t="s">
        <v>188</v>
      </c>
    </row>
    <row r="32807" spans="1:1" x14ac:dyDescent="0.3">
      <c r="A32807" s="15" t="s">
        <v>189</v>
      </c>
    </row>
    <row r="32808" spans="1:1" x14ac:dyDescent="0.3">
      <c r="A32808" s="15" t="s">
        <v>190</v>
      </c>
    </row>
    <row r="32809" spans="1:1" x14ac:dyDescent="0.3">
      <c r="A32809" s="14" t="s">
        <v>47</v>
      </c>
    </row>
    <row r="32810" spans="1:1" x14ac:dyDescent="0.3">
      <c r="A32810" s="14" t="s">
        <v>118</v>
      </c>
    </row>
    <row r="32811" spans="1:1" x14ac:dyDescent="0.3">
      <c r="A32811" s="14" t="s">
        <v>85</v>
      </c>
    </row>
    <row r="32812" spans="1:1" x14ac:dyDescent="0.3">
      <c r="A32812" s="13" t="s">
        <v>21</v>
      </c>
    </row>
    <row r="32813" spans="1:1" x14ac:dyDescent="0.3">
      <c r="A32813" s="14" t="s">
        <v>91</v>
      </c>
    </row>
    <row r="32814" spans="1:1" x14ac:dyDescent="0.3">
      <c r="A32814" s="14" t="s">
        <v>92</v>
      </c>
    </row>
    <row r="32815" spans="1:1" x14ac:dyDescent="0.3">
      <c r="A32815" s="14" t="s">
        <v>98</v>
      </c>
    </row>
    <row r="32816" spans="1:1" x14ac:dyDescent="0.3">
      <c r="A32816" s="14" t="s">
        <v>99</v>
      </c>
    </row>
    <row r="32817" spans="1:1" x14ac:dyDescent="0.3">
      <c r="A32817" s="13" t="s">
        <v>24</v>
      </c>
    </row>
    <row r="32818" spans="1:1" x14ac:dyDescent="0.3">
      <c r="A32818" s="13" t="s">
        <v>82</v>
      </c>
    </row>
    <row r="32819" spans="1:1" x14ac:dyDescent="0.3">
      <c r="A32819" s="13" t="s">
        <v>105</v>
      </c>
    </row>
    <row r="32820" spans="1:1" x14ac:dyDescent="0.3">
      <c r="A32820" s="13" t="s">
        <v>100</v>
      </c>
    </row>
    <row r="32821" spans="1:1" x14ac:dyDescent="0.3">
      <c r="A32821" s="13" t="s">
        <v>101</v>
      </c>
    </row>
    <row r="32822" spans="1:1" x14ac:dyDescent="0.3">
      <c r="A32822" s="13" t="s">
        <v>102</v>
      </c>
    </row>
    <row r="32823" spans="1:1" x14ac:dyDescent="0.3">
      <c r="A32823" s="13" t="s">
        <v>103</v>
      </c>
    </row>
    <row r="32824" spans="1:1" x14ac:dyDescent="0.3">
      <c r="A32824" s="13" t="s">
        <v>104</v>
      </c>
    </row>
    <row r="49154" spans="1:1" x14ac:dyDescent="0.3">
      <c r="A49154" s="13" t="s">
        <v>0</v>
      </c>
    </row>
    <row r="49155" spans="1:1" x14ac:dyDescent="0.3">
      <c r="A49155" s="13" t="s">
        <v>124</v>
      </c>
    </row>
    <row r="49156" spans="1:1" x14ac:dyDescent="0.3">
      <c r="A49156" s="13" t="s">
        <v>1</v>
      </c>
    </row>
    <row r="49157" spans="1:1" x14ac:dyDescent="0.3">
      <c r="A49157" s="13" t="s">
        <v>2</v>
      </c>
    </row>
    <row r="49158" spans="1:1" x14ac:dyDescent="0.3">
      <c r="A49158" s="14" t="s">
        <v>25</v>
      </c>
    </row>
    <row r="49159" spans="1:1" x14ac:dyDescent="0.3">
      <c r="A49159" s="13" t="s">
        <v>125</v>
      </c>
    </row>
    <row r="49160" spans="1:1" x14ac:dyDescent="0.3">
      <c r="A49160" s="13" t="s">
        <v>126</v>
      </c>
    </row>
    <row r="49161" spans="1:1" x14ac:dyDescent="0.3">
      <c r="A49161" s="13" t="s">
        <v>87</v>
      </c>
    </row>
    <row r="49162" spans="1:1" x14ac:dyDescent="0.3">
      <c r="A49162" s="13" t="s">
        <v>22</v>
      </c>
    </row>
    <row r="49163" spans="1:1" x14ac:dyDescent="0.3">
      <c r="A49163" s="13" t="s">
        <v>3</v>
      </c>
    </row>
    <row r="49164" spans="1:1" x14ac:dyDescent="0.3">
      <c r="A49164" s="15" t="s">
        <v>94</v>
      </c>
    </row>
    <row r="49165" spans="1:1" x14ac:dyDescent="0.3">
      <c r="A49165" s="15" t="s">
        <v>93</v>
      </c>
    </row>
    <row r="49166" spans="1:1" x14ac:dyDescent="0.3">
      <c r="A49166" s="15" t="s">
        <v>4</v>
      </c>
    </row>
    <row r="49167" spans="1:1" x14ac:dyDescent="0.3">
      <c r="A49167" s="15" t="s">
        <v>117</v>
      </c>
    </row>
    <row r="49168" spans="1:1" x14ac:dyDescent="0.3">
      <c r="A49168" s="15" t="s">
        <v>5</v>
      </c>
    </row>
    <row r="49169" spans="1:1" x14ac:dyDescent="0.3">
      <c r="A49169" s="15" t="s">
        <v>6</v>
      </c>
    </row>
    <row r="49170" spans="1:1" x14ac:dyDescent="0.3">
      <c r="A49170" s="15" t="s">
        <v>7</v>
      </c>
    </row>
    <row r="49171" spans="1:1" x14ac:dyDescent="0.3">
      <c r="A49171" s="15" t="s">
        <v>8</v>
      </c>
    </row>
    <row r="49172" spans="1:1" x14ac:dyDescent="0.3">
      <c r="A49172" s="15" t="s">
        <v>9</v>
      </c>
    </row>
    <row r="49173" spans="1:1" x14ac:dyDescent="0.3">
      <c r="A49173" s="15" t="s">
        <v>10</v>
      </c>
    </row>
    <row r="49174" spans="1:1" x14ac:dyDescent="0.3">
      <c r="A49174" s="15" t="s">
        <v>11</v>
      </c>
    </row>
    <row r="49175" spans="1:1" x14ac:dyDescent="0.3">
      <c r="A49175" s="15" t="s">
        <v>12</v>
      </c>
    </row>
    <row r="49176" spans="1:1" x14ac:dyDescent="0.3">
      <c r="A49176" s="15" t="s">
        <v>13</v>
      </c>
    </row>
    <row r="49177" spans="1:1" x14ac:dyDescent="0.3">
      <c r="A49177" s="15" t="s">
        <v>14</v>
      </c>
    </row>
    <row r="49178" spans="1:1" x14ac:dyDescent="0.3">
      <c r="A49178" s="13" t="s">
        <v>31</v>
      </c>
    </row>
    <row r="49179" spans="1:1" x14ac:dyDescent="0.3">
      <c r="A49179" s="13" t="s">
        <v>86</v>
      </c>
    </row>
    <row r="49180" spans="1:1" x14ac:dyDescent="0.3">
      <c r="A49180" s="15" t="s">
        <v>30</v>
      </c>
    </row>
    <row r="49181" spans="1:1" x14ac:dyDescent="0.3">
      <c r="A49181" s="15" t="s">
        <v>26</v>
      </c>
    </row>
    <row r="49182" spans="1:1" x14ac:dyDescent="0.3">
      <c r="A49182" s="15" t="s">
        <v>27</v>
      </c>
    </row>
    <row r="49183" spans="1:1" x14ac:dyDescent="0.3">
      <c r="A49183" s="15" t="s">
        <v>28</v>
      </c>
    </row>
    <row r="49184" spans="1:1" x14ac:dyDescent="0.3">
      <c r="A49184" s="15" t="s">
        <v>88</v>
      </c>
    </row>
    <row r="49185" spans="1:1" x14ac:dyDescent="0.3">
      <c r="A49185" s="15" t="s">
        <v>89</v>
      </c>
    </row>
    <row r="49186" spans="1:1" x14ac:dyDescent="0.3">
      <c r="A49186" s="15" t="s">
        <v>184</v>
      </c>
    </row>
    <row r="49187" spans="1:1" x14ac:dyDescent="0.3">
      <c r="A49187" s="15" t="s">
        <v>185</v>
      </c>
    </row>
    <row r="49188" spans="1:1" x14ac:dyDescent="0.3">
      <c r="A49188" s="15" t="s">
        <v>186</v>
      </c>
    </row>
    <row r="49189" spans="1:1" x14ac:dyDescent="0.3">
      <c r="A49189" s="15" t="s">
        <v>187</v>
      </c>
    </row>
    <row r="49190" spans="1:1" x14ac:dyDescent="0.3">
      <c r="A49190" s="15" t="s">
        <v>188</v>
      </c>
    </row>
    <row r="49191" spans="1:1" x14ac:dyDescent="0.3">
      <c r="A49191" s="15" t="s">
        <v>189</v>
      </c>
    </row>
    <row r="49192" spans="1:1" x14ac:dyDescent="0.3">
      <c r="A49192" s="15" t="s">
        <v>190</v>
      </c>
    </row>
    <row r="49193" spans="1:1" x14ac:dyDescent="0.3">
      <c r="A49193" s="14" t="s">
        <v>47</v>
      </c>
    </row>
    <row r="49194" spans="1:1" x14ac:dyDescent="0.3">
      <c r="A49194" s="14" t="s">
        <v>118</v>
      </c>
    </row>
    <row r="49195" spans="1:1" x14ac:dyDescent="0.3">
      <c r="A49195" s="14" t="s">
        <v>85</v>
      </c>
    </row>
    <row r="49196" spans="1:1" x14ac:dyDescent="0.3">
      <c r="A49196" s="13" t="s">
        <v>21</v>
      </c>
    </row>
    <row r="49197" spans="1:1" x14ac:dyDescent="0.3">
      <c r="A49197" s="14" t="s">
        <v>91</v>
      </c>
    </row>
    <row r="49198" spans="1:1" x14ac:dyDescent="0.3">
      <c r="A49198" s="14" t="s">
        <v>92</v>
      </c>
    </row>
    <row r="49199" spans="1:1" x14ac:dyDescent="0.3">
      <c r="A49199" s="14" t="s">
        <v>98</v>
      </c>
    </row>
    <row r="49200" spans="1:1" x14ac:dyDescent="0.3">
      <c r="A49200" s="14" t="s">
        <v>99</v>
      </c>
    </row>
    <row r="49201" spans="1:1" x14ac:dyDescent="0.3">
      <c r="A49201" s="13" t="s">
        <v>24</v>
      </c>
    </row>
    <row r="49202" spans="1:1" x14ac:dyDescent="0.3">
      <c r="A49202" s="13" t="s">
        <v>82</v>
      </c>
    </row>
    <row r="49203" spans="1:1" x14ac:dyDescent="0.3">
      <c r="A49203" s="13" t="s">
        <v>105</v>
      </c>
    </row>
    <row r="49204" spans="1:1" x14ac:dyDescent="0.3">
      <c r="A49204" s="13" t="s">
        <v>100</v>
      </c>
    </row>
    <row r="49205" spans="1:1" x14ac:dyDescent="0.3">
      <c r="A49205" s="13" t="s">
        <v>101</v>
      </c>
    </row>
    <row r="49206" spans="1:1" x14ac:dyDescent="0.3">
      <c r="A49206" s="13" t="s">
        <v>102</v>
      </c>
    </row>
    <row r="49207" spans="1:1" x14ac:dyDescent="0.3">
      <c r="A49207" s="13" t="s">
        <v>103</v>
      </c>
    </row>
    <row r="49208" spans="1:1" x14ac:dyDescent="0.3">
      <c r="A49208" s="13" t="s">
        <v>104</v>
      </c>
    </row>
    <row r="65538" spans="1:1" x14ac:dyDescent="0.3">
      <c r="A65538" s="13" t="s">
        <v>0</v>
      </c>
    </row>
    <row r="65539" spans="1:1" x14ac:dyDescent="0.3">
      <c r="A65539" s="13" t="s">
        <v>124</v>
      </c>
    </row>
    <row r="65540" spans="1:1" x14ac:dyDescent="0.3">
      <c r="A65540" s="13" t="s">
        <v>1</v>
      </c>
    </row>
    <row r="65541" spans="1:1" x14ac:dyDescent="0.3">
      <c r="A65541" s="13" t="s">
        <v>2</v>
      </c>
    </row>
    <row r="65542" spans="1:1" x14ac:dyDescent="0.3">
      <c r="A65542" s="14" t="s">
        <v>25</v>
      </c>
    </row>
    <row r="65543" spans="1:1" x14ac:dyDescent="0.3">
      <c r="A65543" s="13" t="s">
        <v>125</v>
      </c>
    </row>
    <row r="65544" spans="1:1" x14ac:dyDescent="0.3">
      <c r="A65544" s="13" t="s">
        <v>126</v>
      </c>
    </row>
    <row r="65545" spans="1:1" x14ac:dyDescent="0.3">
      <c r="A65545" s="13" t="s">
        <v>87</v>
      </c>
    </row>
    <row r="65546" spans="1:1" x14ac:dyDescent="0.3">
      <c r="A65546" s="13" t="s">
        <v>22</v>
      </c>
    </row>
    <row r="65547" spans="1:1" x14ac:dyDescent="0.3">
      <c r="A65547" s="13" t="s">
        <v>3</v>
      </c>
    </row>
    <row r="65548" spans="1:1" x14ac:dyDescent="0.3">
      <c r="A65548" s="15" t="s">
        <v>94</v>
      </c>
    </row>
    <row r="65549" spans="1:1" x14ac:dyDescent="0.3">
      <c r="A65549" s="15" t="s">
        <v>93</v>
      </c>
    </row>
    <row r="65550" spans="1:1" x14ac:dyDescent="0.3">
      <c r="A65550" s="15" t="s">
        <v>4</v>
      </c>
    </row>
    <row r="65551" spans="1:1" x14ac:dyDescent="0.3">
      <c r="A65551" s="15" t="s">
        <v>117</v>
      </c>
    </row>
    <row r="65552" spans="1:1" x14ac:dyDescent="0.3">
      <c r="A65552" s="15" t="s">
        <v>5</v>
      </c>
    </row>
    <row r="65553" spans="1:1" x14ac:dyDescent="0.3">
      <c r="A65553" s="15" t="s">
        <v>6</v>
      </c>
    </row>
    <row r="65554" spans="1:1" x14ac:dyDescent="0.3">
      <c r="A65554" s="15" t="s">
        <v>7</v>
      </c>
    </row>
    <row r="65555" spans="1:1" x14ac:dyDescent="0.3">
      <c r="A65555" s="15" t="s">
        <v>8</v>
      </c>
    </row>
    <row r="65556" spans="1:1" x14ac:dyDescent="0.3">
      <c r="A65556" s="15" t="s">
        <v>9</v>
      </c>
    </row>
    <row r="65557" spans="1:1" x14ac:dyDescent="0.3">
      <c r="A65557" s="15" t="s">
        <v>10</v>
      </c>
    </row>
    <row r="65558" spans="1:1" x14ac:dyDescent="0.3">
      <c r="A65558" s="15" t="s">
        <v>11</v>
      </c>
    </row>
    <row r="65559" spans="1:1" x14ac:dyDescent="0.3">
      <c r="A65559" s="15" t="s">
        <v>12</v>
      </c>
    </row>
    <row r="65560" spans="1:1" x14ac:dyDescent="0.3">
      <c r="A65560" s="15" t="s">
        <v>13</v>
      </c>
    </row>
    <row r="65561" spans="1:1" x14ac:dyDescent="0.3">
      <c r="A65561" s="15" t="s">
        <v>14</v>
      </c>
    </row>
    <row r="65562" spans="1:1" x14ac:dyDescent="0.3">
      <c r="A65562" s="13" t="s">
        <v>31</v>
      </c>
    </row>
    <row r="65563" spans="1:1" x14ac:dyDescent="0.3">
      <c r="A65563" s="13" t="s">
        <v>86</v>
      </c>
    </row>
    <row r="65564" spans="1:1" x14ac:dyDescent="0.3">
      <c r="A65564" s="15" t="s">
        <v>30</v>
      </c>
    </row>
    <row r="65565" spans="1:1" x14ac:dyDescent="0.3">
      <c r="A65565" s="15" t="s">
        <v>26</v>
      </c>
    </row>
    <row r="65566" spans="1:1" x14ac:dyDescent="0.3">
      <c r="A65566" s="15" t="s">
        <v>27</v>
      </c>
    </row>
    <row r="65567" spans="1:1" x14ac:dyDescent="0.3">
      <c r="A65567" s="15" t="s">
        <v>28</v>
      </c>
    </row>
    <row r="65568" spans="1:1" x14ac:dyDescent="0.3">
      <c r="A65568" s="15" t="s">
        <v>88</v>
      </c>
    </row>
    <row r="65569" spans="1:1" x14ac:dyDescent="0.3">
      <c r="A65569" s="15" t="s">
        <v>89</v>
      </c>
    </row>
    <row r="65570" spans="1:1" x14ac:dyDescent="0.3">
      <c r="A65570" s="15" t="s">
        <v>184</v>
      </c>
    </row>
    <row r="65571" spans="1:1" x14ac:dyDescent="0.3">
      <c r="A65571" s="15" t="s">
        <v>185</v>
      </c>
    </row>
    <row r="65572" spans="1:1" x14ac:dyDescent="0.3">
      <c r="A65572" s="15" t="s">
        <v>186</v>
      </c>
    </row>
    <row r="65573" spans="1:1" x14ac:dyDescent="0.3">
      <c r="A65573" s="15" t="s">
        <v>187</v>
      </c>
    </row>
    <row r="65574" spans="1:1" x14ac:dyDescent="0.3">
      <c r="A65574" s="15" t="s">
        <v>188</v>
      </c>
    </row>
    <row r="65575" spans="1:1" x14ac:dyDescent="0.3">
      <c r="A65575" s="15" t="s">
        <v>189</v>
      </c>
    </row>
    <row r="65576" spans="1:1" x14ac:dyDescent="0.3">
      <c r="A65576" s="15" t="s">
        <v>190</v>
      </c>
    </row>
    <row r="65577" spans="1:1" x14ac:dyDescent="0.3">
      <c r="A65577" s="14" t="s">
        <v>47</v>
      </c>
    </row>
    <row r="65578" spans="1:1" x14ac:dyDescent="0.3">
      <c r="A65578" s="14" t="s">
        <v>118</v>
      </c>
    </row>
    <row r="65579" spans="1:1" x14ac:dyDescent="0.3">
      <c r="A65579" s="14" t="s">
        <v>85</v>
      </c>
    </row>
    <row r="65580" spans="1:1" x14ac:dyDescent="0.3">
      <c r="A65580" s="13" t="s">
        <v>21</v>
      </c>
    </row>
    <row r="65581" spans="1:1" x14ac:dyDescent="0.3">
      <c r="A65581" s="14" t="s">
        <v>91</v>
      </c>
    </row>
    <row r="65582" spans="1:1" x14ac:dyDescent="0.3">
      <c r="A65582" s="14" t="s">
        <v>92</v>
      </c>
    </row>
    <row r="65583" spans="1:1" x14ac:dyDescent="0.3">
      <c r="A65583" s="14" t="s">
        <v>98</v>
      </c>
    </row>
    <row r="65584" spans="1:1" x14ac:dyDescent="0.3">
      <c r="A65584" s="14" t="s">
        <v>99</v>
      </c>
    </row>
    <row r="65585" spans="1:1" x14ac:dyDescent="0.3">
      <c r="A65585" s="13" t="s">
        <v>24</v>
      </c>
    </row>
    <row r="65586" spans="1:1" x14ac:dyDescent="0.3">
      <c r="A65586" s="13" t="s">
        <v>82</v>
      </c>
    </row>
    <row r="65587" spans="1:1" x14ac:dyDescent="0.3">
      <c r="A65587" s="13" t="s">
        <v>105</v>
      </c>
    </row>
    <row r="65588" spans="1:1" x14ac:dyDescent="0.3">
      <c r="A65588" s="13" t="s">
        <v>100</v>
      </c>
    </row>
    <row r="65589" spans="1:1" x14ac:dyDescent="0.3">
      <c r="A65589" s="13" t="s">
        <v>101</v>
      </c>
    </row>
    <row r="65590" spans="1:1" x14ac:dyDescent="0.3">
      <c r="A65590" s="13" t="s">
        <v>102</v>
      </c>
    </row>
    <row r="65591" spans="1:1" x14ac:dyDescent="0.3">
      <c r="A65591" s="13" t="s">
        <v>103</v>
      </c>
    </row>
    <row r="65592" spans="1:1" x14ac:dyDescent="0.3">
      <c r="A65592" s="13" t="s">
        <v>104</v>
      </c>
    </row>
    <row r="81922" spans="1:1" x14ac:dyDescent="0.3">
      <c r="A81922" s="13" t="s">
        <v>0</v>
      </c>
    </row>
    <row r="81923" spans="1:1" x14ac:dyDescent="0.3">
      <c r="A81923" s="13" t="s">
        <v>124</v>
      </c>
    </row>
    <row r="81924" spans="1:1" x14ac:dyDescent="0.3">
      <c r="A81924" s="13" t="s">
        <v>1</v>
      </c>
    </row>
    <row r="81925" spans="1:1" x14ac:dyDescent="0.3">
      <c r="A81925" s="13" t="s">
        <v>2</v>
      </c>
    </row>
    <row r="81926" spans="1:1" x14ac:dyDescent="0.3">
      <c r="A81926" s="14" t="s">
        <v>25</v>
      </c>
    </row>
    <row r="81927" spans="1:1" x14ac:dyDescent="0.3">
      <c r="A81927" s="13" t="s">
        <v>125</v>
      </c>
    </row>
    <row r="81928" spans="1:1" x14ac:dyDescent="0.3">
      <c r="A81928" s="13" t="s">
        <v>126</v>
      </c>
    </row>
    <row r="81929" spans="1:1" x14ac:dyDescent="0.3">
      <c r="A81929" s="13" t="s">
        <v>87</v>
      </c>
    </row>
    <row r="81930" spans="1:1" x14ac:dyDescent="0.3">
      <c r="A81930" s="13" t="s">
        <v>22</v>
      </c>
    </row>
    <row r="81931" spans="1:1" x14ac:dyDescent="0.3">
      <c r="A81931" s="13" t="s">
        <v>3</v>
      </c>
    </row>
    <row r="81932" spans="1:1" x14ac:dyDescent="0.3">
      <c r="A81932" s="15" t="s">
        <v>94</v>
      </c>
    </row>
    <row r="81933" spans="1:1" x14ac:dyDescent="0.3">
      <c r="A81933" s="15" t="s">
        <v>93</v>
      </c>
    </row>
    <row r="81934" spans="1:1" x14ac:dyDescent="0.3">
      <c r="A81934" s="15" t="s">
        <v>4</v>
      </c>
    </row>
    <row r="81935" spans="1:1" x14ac:dyDescent="0.3">
      <c r="A81935" s="15" t="s">
        <v>117</v>
      </c>
    </row>
    <row r="81936" spans="1:1" x14ac:dyDescent="0.3">
      <c r="A81936" s="15" t="s">
        <v>5</v>
      </c>
    </row>
    <row r="81937" spans="1:1" x14ac:dyDescent="0.3">
      <c r="A81937" s="15" t="s">
        <v>6</v>
      </c>
    </row>
    <row r="81938" spans="1:1" x14ac:dyDescent="0.3">
      <c r="A81938" s="15" t="s">
        <v>7</v>
      </c>
    </row>
    <row r="81939" spans="1:1" x14ac:dyDescent="0.3">
      <c r="A81939" s="15" t="s">
        <v>8</v>
      </c>
    </row>
    <row r="81940" spans="1:1" x14ac:dyDescent="0.3">
      <c r="A81940" s="15" t="s">
        <v>9</v>
      </c>
    </row>
    <row r="81941" spans="1:1" x14ac:dyDescent="0.3">
      <c r="A81941" s="15" t="s">
        <v>10</v>
      </c>
    </row>
    <row r="81942" spans="1:1" x14ac:dyDescent="0.3">
      <c r="A81942" s="15" t="s">
        <v>11</v>
      </c>
    </row>
    <row r="81943" spans="1:1" x14ac:dyDescent="0.3">
      <c r="A81943" s="15" t="s">
        <v>12</v>
      </c>
    </row>
    <row r="81944" spans="1:1" x14ac:dyDescent="0.3">
      <c r="A81944" s="15" t="s">
        <v>13</v>
      </c>
    </row>
    <row r="81945" spans="1:1" x14ac:dyDescent="0.3">
      <c r="A81945" s="15" t="s">
        <v>14</v>
      </c>
    </row>
    <row r="81946" spans="1:1" x14ac:dyDescent="0.3">
      <c r="A81946" s="13" t="s">
        <v>31</v>
      </c>
    </row>
    <row r="81947" spans="1:1" x14ac:dyDescent="0.3">
      <c r="A81947" s="13" t="s">
        <v>86</v>
      </c>
    </row>
    <row r="81948" spans="1:1" x14ac:dyDescent="0.3">
      <c r="A81948" s="15" t="s">
        <v>30</v>
      </c>
    </row>
    <row r="81949" spans="1:1" x14ac:dyDescent="0.3">
      <c r="A81949" s="15" t="s">
        <v>26</v>
      </c>
    </row>
    <row r="81950" spans="1:1" x14ac:dyDescent="0.3">
      <c r="A81950" s="15" t="s">
        <v>27</v>
      </c>
    </row>
    <row r="81951" spans="1:1" x14ac:dyDescent="0.3">
      <c r="A81951" s="15" t="s">
        <v>28</v>
      </c>
    </row>
    <row r="81952" spans="1:1" x14ac:dyDescent="0.3">
      <c r="A81952" s="15" t="s">
        <v>88</v>
      </c>
    </row>
    <row r="81953" spans="1:1" x14ac:dyDescent="0.3">
      <c r="A81953" s="15" t="s">
        <v>89</v>
      </c>
    </row>
    <row r="81954" spans="1:1" x14ac:dyDescent="0.3">
      <c r="A81954" s="15" t="s">
        <v>184</v>
      </c>
    </row>
    <row r="81955" spans="1:1" x14ac:dyDescent="0.3">
      <c r="A81955" s="15" t="s">
        <v>185</v>
      </c>
    </row>
    <row r="81956" spans="1:1" x14ac:dyDescent="0.3">
      <c r="A81956" s="15" t="s">
        <v>186</v>
      </c>
    </row>
    <row r="81957" spans="1:1" x14ac:dyDescent="0.3">
      <c r="A81957" s="15" t="s">
        <v>187</v>
      </c>
    </row>
    <row r="81958" spans="1:1" x14ac:dyDescent="0.3">
      <c r="A81958" s="15" t="s">
        <v>188</v>
      </c>
    </row>
    <row r="81959" spans="1:1" x14ac:dyDescent="0.3">
      <c r="A81959" s="15" t="s">
        <v>189</v>
      </c>
    </row>
    <row r="81960" spans="1:1" x14ac:dyDescent="0.3">
      <c r="A81960" s="15" t="s">
        <v>190</v>
      </c>
    </row>
    <row r="81961" spans="1:1" x14ac:dyDescent="0.3">
      <c r="A81961" s="14" t="s">
        <v>47</v>
      </c>
    </row>
    <row r="81962" spans="1:1" x14ac:dyDescent="0.3">
      <c r="A81962" s="14" t="s">
        <v>118</v>
      </c>
    </row>
    <row r="81963" spans="1:1" x14ac:dyDescent="0.3">
      <c r="A81963" s="14" t="s">
        <v>85</v>
      </c>
    </row>
    <row r="81964" spans="1:1" x14ac:dyDescent="0.3">
      <c r="A81964" s="13" t="s">
        <v>21</v>
      </c>
    </row>
    <row r="81965" spans="1:1" x14ac:dyDescent="0.3">
      <c r="A81965" s="14" t="s">
        <v>91</v>
      </c>
    </row>
    <row r="81966" spans="1:1" x14ac:dyDescent="0.3">
      <c r="A81966" s="14" t="s">
        <v>92</v>
      </c>
    </row>
    <row r="81967" spans="1:1" x14ac:dyDescent="0.3">
      <c r="A81967" s="14" t="s">
        <v>98</v>
      </c>
    </row>
    <row r="81968" spans="1:1" x14ac:dyDescent="0.3">
      <c r="A81968" s="14" t="s">
        <v>99</v>
      </c>
    </row>
    <row r="81969" spans="1:1" x14ac:dyDescent="0.3">
      <c r="A81969" s="13" t="s">
        <v>24</v>
      </c>
    </row>
    <row r="81970" spans="1:1" x14ac:dyDescent="0.3">
      <c r="A81970" s="13" t="s">
        <v>82</v>
      </c>
    </row>
    <row r="81971" spans="1:1" x14ac:dyDescent="0.3">
      <c r="A81971" s="13" t="s">
        <v>105</v>
      </c>
    </row>
    <row r="81972" spans="1:1" x14ac:dyDescent="0.3">
      <c r="A81972" s="13" t="s">
        <v>100</v>
      </c>
    </row>
    <row r="81973" spans="1:1" x14ac:dyDescent="0.3">
      <c r="A81973" s="13" t="s">
        <v>101</v>
      </c>
    </row>
    <row r="81974" spans="1:1" x14ac:dyDescent="0.3">
      <c r="A81974" s="13" t="s">
        <v>102</v>
      </c>
    </row>
    <row r="81975" spans="1:1" x14ac:dyDescent="0.3">
      <c r="A81975" s="13" t="s">
        <v>103</v>
      </c>
    </row>
    <row r="81976" spans="1:1" x14ac:dyDescent="0.3">
      <c r="A81976" s="13" t="s">
        <v>104</v>
      </c>
    </row>
    <row r="98306" spans="1:1" x14ac:dyDescent="0.3">
      <c r="A98306" s="13" t="s">
        <v>0</v>
      </c>
    </row>
    <row r="98307" spans="1:1" x14ac:dyDescent="0.3">
      <c r="A98307" s="13" t="s">
        <v>124</v>
      </c>
    </row>
    <row r="98308" spans="1:1" x14ac:dyDescent="0.3">
      <c r="A98308" s="13" t="s">
        <v>1</v>
      </c>
    </row>
    <row r="98309" spans="1:1" x14ac:dyDescent="0.3">
      <c r="A98309" s="13" t="s">
        <v>2</v>
      </c>
    </row>
    <row r="98310" spans="1:1" x14ac:dyDescent="0.3">
      <c r="A98310" s="14" t="s">
        <v>25</v>
      </c>
    </row>
    <row r="98311" spans="1:1" x14ac:dyDescent="0.3">
      <c r="A98311" s="13" t="s">
        <v>125</v>
      </c>
    </row>
    <row r="98312" spans="1:1" x14ac:dyDescent="0.3">
      <c r="A98312" s="13" t="s">
        <v>126</v>
      </c>
    </row>
    <row r="98313" spans="1:1" x14ac:dyDescent="0.3">
      <c r="A98313" s="13" t="s">
        <v>87</v>
      </c>
    </row>
    <row r="98314" spans="1:1" x14ac:dyDescent="0.3">
      <c r="A98314" s="13" t="s">
        <v>22</v>
      </c>
    </row>
    <row r="98315" spans="1:1" x14ac:dyDescent="0.3">
      <c r="A98315" s="13" t="s">
        <v>3</v>
      </c>
    </row>
    <row r="98316" spans="1:1" x14ac:dyDescent="0.3">
      <c r="A98316" s="15" t="s">
        <v>94</v>
      </c>
    </row>
    <row r="98317" spans="1:1" x14ac:dyDescent="0.3">
      <c r="A98317" s="15" t="s">
        <v>93</v>
      </c>
    </row>
    <row r="98318" spans="1:1" x14ac:dyDescent="0.3">
      <c r="A98318" s="15" t="s">
        <v>4</v>
      </c>
    </row>
    <row r="98319" spans="1:1" x14ac:dyDescent="0.3">
      <c r="A98319" s="15" t="s">
        <v>117</v>
      </c>
    </row>
    <row r="98320" spans="1:1" x14ac:dyDescent="0.3">
      <c r="A98320" s="15" t="s">
        <v>5</v>
      </c>
    </row>
    <row r="98321" spans="1:1" x14ac:dyDescent="0.3">
      <c r="A98321" s="15" t="s">
        <v>6</v>
      </c>
    </row>
    <row r="98322" spans="1:1" x14ac:dyDescent="0.3">
      <c r="A98322" s="15" t="s">
        <v>7</v>
      </c>
    </row>
    <row r="98323" spans="1:1" x14ac:dyDescent="0.3">
      <c r="A98323" s="15" t="s">
        <v>8</v>
      </c>
    </row>
    <row r="98324" spans="1:1" x14ac:dyDescent="0.3">
      <c r="A98324" s="15" t="s">
        <v>9</v>
      </c>
    </row>
    <row r="98325" spans="1:1" x14ac:dyDescent="0.3">
      <c r="A98325" s="15" t="s">
        <v>10</v>
      </c>
    </row>
    <row r="98326" spans="1:1" x14ac:dyDescent="0.3">
      <c r="A98326" s="15" t="s">
        <v>11</v>
      </c>
    </row>
    <row r="98327" spans="1:1" x14ac:dyDescent="0.3">
      <c r="A98327" s="15" t="s">
        <v>12</v>
      </c>
    </row>
    <row r="98328" spans="1:1" x14ac:dyDescent="0.3">
      <c r="A98328" s="15" t="s">
        <v>13</v>
      </c>
    </row>
    <row r="98329" spans="1:1" x14ac:dyDescent="0.3">
      <c r="A98329" s="15" t="s">
        <v>14</v>
      </c>
    </row>
    <row r="98330" spans="1:1" x14ac:dyDescent="0.3">
      <c r="A98330" s="13" t="s">
        <v>31</v>
      </c>
    </row>
    <row r="98331" spans="1:1" x14ac:dyDescent="0.3">
      <c r="A98331" s="13" t="s">
        <v>86</v>
      </c>
    </row>
    <row r="98332" spans="1:1" x14ac:dyDescent="0.3">
      <c r="A98332" s="15" t="s">
        <v>30</v>
      </c>
    </row>
    <row r="98333" spans="1:1" x14ac:dyDescent="0.3">
      <c r="A98333" s="15" t="s">
        <v>26</v>
      </c>
    </row>
    <row r="98334" spans="1:1" x14ac:dyDescent="0.3">
      <c r="A98334" s="15" t="s">
        <v>27</v>
      </c>
    </row>
    <row r="98335" spans="1:1" x14ac:dyDescent="0.3">
      <c r="A98335" s="15" t="s">
        <v>28</v>
      </c>
    </row>
    <row r="98336" spans="1:1" x14ac:dyDescent="0.3">
      <c r="A98336" s="15" t="s">
        <v>88</v>
      </c>
    </row>
    <row r="98337" spans="1:1" x14ac:dyDescent="0.3">
      <c r="A98337" s="15" t="s">
        <v>89</v>
      </c>
    </row>
    <row r="98338" spans="1:1" x14ac:dyDescent="0.3">
      <c r="A98338" s="15" t="s">
        <v>184</v>
      </c>
    </row>
    <row r="98339" spans="1:1" x14ac:dyDescent="0.3">
      <c r="A98339" s="15" t="s">
        <v>185</v>
      </c>
    </row>
    <row r="98340" spans="1:1" x14ac:dyDescent="0.3">
      <c r="A98340" s="15" t="s">
        <v>186</v>
      </c>
    </row>
    <row r="98341" spans="1:1" x14ac:dyDescent="0.3">
      <c r="A98341" s="15" t="s">
        <v>187</v>
      </c>
    </row>
    <row r="98342" spans="1:1" x14ac:dyDescent="0.3">
      <c r="A98342" s="15" t="s">
        <v>188</v>
      </c>
    </row>
    <row r="98343" spans="1:1" x14ac:dyDescent="0.3">
      <c r="A98343" s="15" t="s">
        <v>189</v>
      </c>
    </row>
    <row r="98344" spans="1:1" x14ac:dyDescent="0.3">
      <c r="A98344" s="15" t="s">
        <v>190</v>
      </c>
    </row>
    <row r="98345" spans="1:1" x14ac:dyDescent="0.3">
      <c r="A98345" s="14" t="s">
        <v>47</v>
      </c>
    </row>
    <row r="98346" spans="1:1" x14ac:dyDescent="0.3">
      <c r="A98346" s="14" t="s">
        <v>118</v>
      </c>
    </row>
    <row r="98347" spans="1:1" x14ac:dyDescent="0.3">
      <c r="A98347" s="14" t="s">
        <v>85</v>
      </c>
    </row>
    <row r="98348" spans="1:1" x14ac:dyDescent="0.3">
      <c r="A98348" s="13" t="s">
        <v>21</v>
      </c>
    </row>
    <row r="98349" spans="1:1" x14ac:dyDescent="0.3">
      <c r="A98349" s="14" t="s">
        <v>91</v>
      </c>
    </row>
    <row r="98350" spans="1:1" x14ac:dyDescent="0.3">
      <c r="A98350" s="14" t="s">
        <v>92</v>
      </c>
    </row>
    <row r="98351" spans="1:1" x14ac:dyDescent="0.3">
      <c r="A98351" s="14" t="s">
        <v>98</v>
      </c>
    </row>
    <row r="98352" spans="1:1" x14ac:dyDescent="0.3">
      <c r="A98352" s="14" t="s">
        <v>99</v>
      </c>
    </row>
    <row r="98353" spans="1:1" x14ac:dyDescent="0.3">
      <c r="A98353" s="13" t="s">
        <v>24</v>
      </c>
    </row>
    <row r="98354" spans="1:1" x14ac:dyDescent="0.3">
      <c r="A98354" s="13" t="s">
        <v>82</v>
      </c>
    </row>
    <row r="98355" spans="1:1" x14ac:dyDescent="0.3">
      <c r="A98355" s="13" t="s">
        <v>105</v>
      </c>
    </row>
    <row r="98356" spans="1:1" x14ac:dyDescent="0.3">
      <c r="A98356" s="13" t="s">
        <v>100</v>
      </c>
    </row>
    <row r="98357" spans="1:1" x14ac:dyDescent="0.3">
      <c r="A98357" s="13" t="s">
        <v>101</v>
      </c>
    </row>
    <row r="98358" spans="1:1" x14ac:dyDescent="0.3">
      <c r="A98358" s="13" t="s">
        <v>102</v>
      </c>
    </row>
    <row r="98359" spans="1:1" x14ac:dyDescent="0.3">
      <c r="A98359" s="13" t="s">
        <v>103</v>
      </c>
    </row>
    <row r="98360" spans="1:1" x14ac:dyDescent="0.3">
      <c r="A98360" s="13" t="s">
        <v>104</v>
      </c>
    </row>
    <row r="114690" spans="1:1" x14ac:dyDescent="0.3">
      <c r="A114690" s="13" t="s">
        <v>0</v>
      </c>
    </row>
    <row r="114691" spans="1:1" x14ac:dyDescent="0.3">
      <c r="A114691" s="13" t="s">
        <v>124</v>
      </c>
    </row>
    <row r="114692" spans="1:1" x14ac:dyDescent="0.3">
      <c r="A114692" s="13" t="s">
        <v>1</v>
      </c>
    </row>
    <row r="114693" spans="1:1" x14ac:dyDescent="0.3">
      <c r="A114693" s="13" t="s">
        <v>2</v>
      </c>
    </row>
    <row r="114694" spans="1:1" x14ac:dyDescent="0.3">
      <c r="A114694" s="14" t="s">
        <v>25</v>
      </c>
    </row>
    <row r="114695" spans="1:1" x14ac:dyDescent="0.3">
      <c r="A114695" s="13" t="s">
        <v>125</v>
      </c>
    </row>
    <row r="114696" spans="1:1" x14ac:dyDescent="0.3">
      <c r="A114696" s="13" t="s">
        <v>126</v>
      </c>
    </row>
    <row r="114697" spans="1:1" x14ac:dyDescent="0.3">
      <c r="A114697" s="13" t="s">
        <v>87</v>
      </c>
    </row>
    <row r="114698" spans="1:1" x14ac:dyDescent="0.3">
      <c r="A114698" s="13" t="s">
        <v>22</v>
      </c>
    </row>
    <row r="114699" spans="1:1" x14ac:dyDescent="0.3">
      <c r="A114699" s="13" t="s">
        <v>3</v>
      </c>
    </row>
    <row r="114700" spans="1:1" x14ac:dyDescent="0.3">
      <c r="A114700" s="15" t="s">
        <v>94</v>
      </c>
    </row>
    <row r="114701" spans="1:1" x14ac:dyDescent="0.3">
      <c r="A114701" s="15" t="s">
        <v>93</v>
      </c>
    </row>
    <row r="114702" spans="1:1" x14ac:dyDescent="0.3">
      <c r="A114702" s="15" t="s">
        <v>4</v>
      </c>
    </row>
    <row r="114703" spans="1:1" x14ac:dyDescent="0.3">
      <c r="A114703" s="15" t="s">
        <v>117</v>
      </c>
    </row>
    <row r="114704" spans="1:1" x14ac:dyDescent="0.3">
      <c r="A114704" s="15" t="s">
        <v>5</v>
      </c>
    </row>
    <row r="114705" spans="1:1" x14ac:dyDescent="0.3">
      <c r="A114705" s="15" t="s">
        <v>6</v>
      </c>
    </row>
    <row r="114706" spans="1:1" x14ac:dyDescent="0.3">
      <c r="A114706" s="15" t="s">
        <v>7</v>
      </c>
    </row>
    <row r="114707" spans="1:1" x14ac:dyDescent="0.3">
      <c r="A114707" s="15" t="s">
        <v>8</v>
      </c>
    </row>
    <row r="114708" spans="1:1" x14ac:dyDescent="0.3">
      <c r="A114708" s="15" t="s">
        <v>9</v>
      </c>
    </row>
    <row r="114709" spans="1:1" x14ac:dyDescent="0.3">
      <c r="A114709" s="15" t="s">
        <v>10</v>
      </c>
    </row>
    <row r="114710" spans="1:1" x14ac:dyDescent="0.3">
      <c r="A114710" s="15" t="s">
        <v>11</v>
      </c>
    </row>
    <row r="114711" spans="1:1" x14ac:dyDescent="0.3">
      <c r="A114711" s="15" t="s">
        <v>12</v>
      </c>
    </row>
    <row r="114712" spans="1:1" x14ac:dyDescent="0.3">
      <c r="A114712" s="15" t="s">
        <v>13</v>
      </c>
    </row>
    <row r="114713" spans="1:1" x14ac:dyDescent="0.3">
      <c r="A114713" s="15" t="s">
        <v>14</v>
      </c>
    </row>
    <row r="114714" spans="1:1" x14ac:dyDescent="0.3">
      <c r="A114714" s="13" t="s">
        <v>31</v>
      </c>
    </row>
    <row r="114715" spans="1:1" x14ac:dyDescent="0.3">
      <c r="A114715" s="13" t="s">
        <v>86</v>
      </c>
    </row>
    <row r="114716" spans="1:1" x14ac:dyDescent="0.3">
      <c r="A114716" s="15" t="s">
        <v>30</v>
      </c>
    </row>
    <row r="114717" spans="1:1" x14ac:dyDescent="0.3">
      <c r="A114717" s="15" t="s">
        <v>26</v>
      </c>
    </row>
    <row r="114718" spans="1:1" x14ac:dyDescent="0.3">
      <c r="A114718" s="15" t="s">
        <v>27</v>
      </c>
    </row>
    <row r="114719" spans="1:1" x14ac:dyDescent="0.3">
      <c r="A114719" s="15" t="s">
        <v>28</v>
      </c>
    </row>
    <row r="114720" spans="1:1" x14ac:dyDescent="0.3">
      <c r="A114720" s="15" t="s">
        <v>88</v>
      </c>
    </row>
    <row r="114721" spans="1:1" x14ac:dyDescent="0.3">
      <c r="A114721" s="15" t="s">
        <v>89</v>
      </c>
    </row>
    <row r="114722" spans="1:1" x14ac:dyDescent="0.3">
      <c r="A114722" s="15" t="s">
        <v>184</v>
      </c>
    </row>
    <row r="114723" spans="1:1" x14ac:dyDescent="0.3">
      <c r="A114723" s="15" t="s">
        <v>185</v>
      </c>
    </row>
    <row r="114724" spans="1:1" x14ac:dyDescent="0.3">
      <c r="A114724" s="15" t="s">
        <v>186</v>
      </c>
    </row>
    <row r="114725" spans="1:1" x14ac:dyDescent="0.3">
      <c r="A114725" s="15" t="s">
        <v>187</v>
      </c>
    </row>
    <row r="114726" spans="1:1" x14ac:dyDescent="0.3">
      <c r="A114726" s="15" t="s">
        <v>188</v>
      </c>
    </row>
    <row r="114727" spans="1:1" x14ac:dyDescent="0.3">
      <c r="A114727" s="15" t="s">
        <v>189</v>
      </c>
    </row>
    <row r="114728" spans="1:1" x14ac:dyDescent="0.3">
      <c r="A114728" s="15" t="s">
        <v>190</v>
      </c>
    </row>
    <row r="114729" spans="1:1" x14ac:dyDescent="0.3">
      <c r="A114729" s="14" t="s">
        <v>47</v>
      </c>
    </row>
    <row r="114730" spans="1:1" x14ac:dyDescent="0.3">
      <c r="A114730" s="14" t="s">
        <v>118</v>
      </c>
    </row>
    <row r="114731" spans="1:1" x14ac:dyDescent="0.3">
      <c r="A114731" s="14" t="s">
        <v>85</v>
      </c>
    </row>
    <row r="114732" spans="1:1" x14ac:dyDescent="0.3">
      <c r="A114732" s="13" t="s">
        <v>21</v>
      </c>
    </row>
    <row r="114733" spans="1:1" x14ac:dyDescent="0.3">
      <c r="A114733" s="14" t="s">
        <v>91</v>
      </c>
    </row>
    <row r="114734" spans="1:1" x14ac:dyDescent="0.3">
      <c r="A114734" s="14" t="s">
        <v>92</v>
      </c>
    </row>
    <row r="114735" spans="1:1" x14ac:dyDescent="0.3">
      <c r="A114735" s="14" t="s">
        <v>98</v>
      </c>
    </row>
    <row r="114736" spans="1:1" x14ac:dyDescent="0.3">
      <c r="A114736" s="14" t="s">
        <v>99</v>
      </c>
    </row>
    <row r="114737" spans="1:1" x14ac:dyDescent="0.3">
      <c r="A114737" s="13" t="s">
        <v>24</v>
      </c>
    </row>
    <row r="114738" spans="1:1" x14ac:dyDescent="0.3">
      <c r="A114738" s="13" t="s">
        <v>82</v>
      </c>
    </row>
    <row r="114739" spans="1:1" x14ac:dyDescent="0.3">
      <c r="A114739" s="13" t="s">
        <v>105</v>
      </c>
    </row>
    <row r="114740" spans="1:1" x14ac:dyDescent="0.3">
      <c r="A114740" s="13" t="s">
        <v>100</v>
      </c>
    </row>
    <row r="114741" spans="1:1" x14ac:dyDescent="0.3">
      <c r="A114741" s="13" t="s">
        <v>101</v>
      </c>
    </row>
    <row r="114742" spans="1:1" x14ac:dyDescent="0.3">
      <c r="A114742" s="13" t="s">
        <v>102</v>
      </c>
    </row>
    <row r="114743" spans="1:1" x14ac:dyDescent="0.3">
      <c r="A114743" s="13" t="s">
        <v>103</v>
      </c>
    </row>
    <row r="114744" spans="1:1" x14ac:dyDescent="0.3">
      <c r="A114744" s="13" t="s">
        <v>104</v>
      </c>
    </row>
    <row r="131074" spans="1:1" x14ac:dyDescent="0.3">
      <c r="A131074" s="13" t="s">
        <v>0</v>
      </c>
    </row>
    <row r="131075" spans="1:1" x14ac:dyDescent="0.3">
      <c r="A131075" s="13" t="s">
        <v>124</v>
      </c>
    </row>
    <row r="131076" spans="1:1" x14ac:dyDescent="0.3">
      <c r="A131076" s="13" t="s">
        <v>1</v>
      </c>
    </row>
    <row r="131077" spans="1:1" x14ac:dyDescent="0.3">
      <c r="A131077" s="13" t="s">
        <v>2</v>
      </c>
    </row>
    <row r="131078" spans="1:1" x14ac:dyDescent="0.3">
      <c r="A131078" s="14" t="s">
        <v>25</v>
      </c>
    </row>
    <row r="131079" spans="1:1" x14ac:dyDescent="0.3">
      <c r="A131079" s="13" t="s">
        <v>125</v>
      </c>
    </row>
    <row r="131080" spans="1:1" x14ac:dyDescent="0.3">
      <c r="A131080" s="13" t="s">
        <v>126</v>
      </c>
    </row>
    <row r="131081" spans="1:1" x14ac:dyDescent="0.3">
      <c r="A131081" s="13" t="s">
        <v>87</v>
      </c>
    </row>
    <row r="131082" spans="1:1" x14ac:dyDescent="0.3">
      <c r="A131082" s="13" t="s">
        <v>22</v>
      </c>
    </row>
    <row r="131083" spans="1:1" x14ac:dyDescent="0.3">
      <c r="A131083" s="13" t="s">
        <v>3</v>
      </c>
    </row>
    <row r="131084" spans="1:1" x14ac:dyDescent="0.3">
      <c r="A131084" s="15" t="s">
        <v>94</v>
      </c>
    </row>
    <row r="131085" spans="1:1" x14ac:dyDescent="0.3">
      <c r="A131085" s="15" t="s">
        <v>93</v>
      </c>
    </row>
    <row r="131086" spans="1:1" x14ac:dyDescent="0.3">
      <c r="A131086" s="15" t="s">
        <v>4</v>
      </c>
    </row>
    <row r="131087" spans="1:1" x14ac:dyDescent="0.3">
      <c r="A131087" s="15" t="s">
        <v>117</v>
      </c>
    </row>
    <row r="131088" spans="1:1" x14ac:dyDescent="0.3">
      <c r="A131088" s="15" t="s">
        <v>5</v>
      </c>
    </row>
    <row r="131089" spans="1:1" x14ac:dyDescent="0.3">
      <c r="A131089" s="15" t="s">
        <v>6</v>
      </c>
    </row>
    <row r="131090" spans="1:1" x14ac:dyDescent="0.3">
      <c r="A131090" s="15" t="s">
        <v>7</v>
      </c>
    </row>
    <row r="131091" spans="1:1" x14ac:dyDescent="0.3">
      <c r="A131091" s="15" t="s">
        <v>8</v>
      </c>
    </row>
    <row r="131092" spans="1:1" x14ac:dyDescent="0.3">
      <c r="A131092" s="15" t="s">
        <v>9</v>
      </c>
    </row>
    <row r="131093" spans="1:1" x14ac:dyDescent="0.3">
      <c r="A131093" s="15" t="s">
        <v>10</v>
      </c>
    </row>
    <row r="131094" spans="1:1" x14ac:dyDescent="0.3">
      <c r="A131094" s="15" t="s">
        <v>11</v>
      </c>
    </row>
    <row r="131095" spans="1:1" x14ac:dyDescent="0.3">
      <c r="A131095" s="15" t="s">
        <v>12</v>
      </c>
    </row>
    <row r="131096" spans="1:1" x14ac:dyDescent="0.3">
      <c r="A131096" s="15" t="s">
        <v>13</v>
      </c>
    </row>
    <row r="131097" spans="1:1" x14ac:dyDescent="0.3">
      <c r="A131097" s="15" t="s">
        <v>14</v>
      </c>
    </row>
    <row r="131098" spans="1:1" x14ac:dyDescent="0.3">
      <c r="A131098" s="13" t="s">
        <v>31</v>
      </c>
    </row>
    <row r="131099" spans="1:1" x14ac:dyDescent="0.3">
      <c r="A131099" s="13" t="s">
        <v>86</v>
      </c>
    </row>
    <row r="131100" spans="1:1" x14ac:dyDescent="0.3">
      <c r="A131100" s="15" t="s">
        <v>30</v>
      </c>
    </row>
    <row r="131101" spans="1:1" x14ac:dyDescent="0.3">
      <c r="A131101" s="15" t="s">
        <v>26</v>
      </c>
    </row>
    <row r="131102" spans="1:1" x14ac:dyDescent="0.3">
      <c r="A131102" s="15" t="s">
        <v>27</v>
      </c>
    </row>
    <row r="131103" spans="1:1" x14ac:dyDescent="0.3">
      <c r="A131103" s="15" t="s">
        <v>28</v>
      </c>
    </row>
    <row r="131104" spans="1:1" x14ac:dyDescent="0.3">
      <c r="A131104" s="15" t="s">
        <v>88</v>
      </c>
    </row>
    <row r="131105" spans="1:1" x14ac:dyDescent="0.3">
      <c r="A131105" s="15" t="s">
        <v>89</v>
      </c>
    </row>
    <row r="131106" spans="1:1" x14ac:dyDescent="0.3">
      <c r="A131106" s="15" t="s">
        <v>184</v>
      </c>
    </row>
    <row r="131107" spans="1:1" x14ac:dyDescent="0.3">
      <c r="A131107" s="15" t="s">
        <v>185</v>
      </c>
    </row>
    <row r="131108" spans="1:1" x14ac:dyDescent="0.3">
      <c r="A131108" s="15" t="s">
        <v>186</v>
      </c>
    </row>
    <row r="131109" spans="1:1" x14ac:dyDescent="0.3">
      <c r="A131109" s="15" t="s">
        <v>187</v>
      </c>
    </row>
    <row r="131110" spans="1:1" x14ac:dyDescent="0.3">
      <c r="A131110" s="15" t="s">
        <v>188</v>
      </c>
    </row>
    <row r="131111" spans="1:1" x14ac:dyDescent="0.3">
      <c r="A131111" s="15" t="s">
        <v>189</v>
      </c>
    </row>
    <row r="131112" spans="1:1" x14ac:dyDescent="0.3">
      <c r="A131112" s="15" t="s">
        <v>190</v>
      </c>
    </row>
    <row r="131113" spans="1:1" x14ac:dyDescent="0.3">
      <c r="A131113" s="14" t="s">
        <v>47</v>
      </c>
    </row>
    <row r="131114" spans="1:1" x14ac:dyDescent="0.3">
      <c r="A131114" s="14" t="s">
        <v>118</v>
      </c>
    </row>
    <row r="131115" spans="1:1" x14ac:dyDescent="0.3">
      <c r="A131115" s="14" t="s">
        <v>85</v>
      </c>
    </row>
    <row r="131116" spans="1:1" x14ac:dyDescent="0.3">
      <c r="A131116" s="13" t="s">
        <v>21</v>
      </c>
    </row>
    <row r="131117" spans="1:1" x14ac:dyDescent="0.3">
      <c r="A131117" s="14" t="s">
        <v>91</v>
      </c>
    </row>
    <row r="131118" spans="1:1" x14ac:dyDescent="0.3">
      <c r="A131118" s="14" t="s">
        <v>92</v>
      </c>
    </row>
    <row r="131119" spans="1:1" x14ac:dyDescent="0.3">
      <c r="A131119" s="14" t="s">
        <v>98</v>
      </c>
    </row>
    <row r="131120" spans="1:1" x14ac:dyDescent="0.3">
      <c r="A131120" s="14" t="s">
        <v>99</v>
      </c>
    </row>
    <row r="131121" spans="1:1" x14ac:dyDescent="0.3">
      <c r="A131121" s="13" t="s">
        <v>24</v>
      </c>
    </row>
    <row r="131122" spans="1:1" x14ac:dyDescent="0.3">
      <c r="A131122" s="13" t="s">
        <v>82</v>
      </c>
    </row>
    <row r="131123" spans="1:1" x14ac:dyDescent="0.3">
      <c r="A131123" s="13" t="s">
        <v>105</v>
      </c>
    </row>
    <row r="131124" spans="1:1" x14ac:dyDescent="0.3">
      <c r="A131124" s="13" t="s">
        <v>100</v>
      </c>
    </row>
    <row r="131125" spans="1:1" x14ac:dyDescent="0.3">
      <c r="A131125" s="13" t="s">
        <v>101</v>
      </c>
    </row>
    <row r="131126" spans="1:1" x14ac:dyDescent="0.3">
      <c r="A131126" s="13" t="s">
        <v>102</v>
      </c>
    </row>
    <row r="131127" spans="1:1" x14ac:dyDescent="0.3">
      <c r="A131127" s="13" t="s">
        <v>103</v>
      </c>
    </row>
    <row r="131128" spans="1:1" x14ac:dyDescent="0.3">
      <c r="A131128" s="13" t="s">
        <v>104</v>
      </c>
    </row>
    <row r="147458" spans="1:1" x14ac:dyDescent="0.3">
      <c r="A147458" s="13" t="s">
        <v>0</v>
      </c>
    </row>
    <row r="147459" spans="1:1" x14ac:dyDescent="0.3">
      <c r="A147459" s="13" t="s">
        <v>124</v>
      </c>
    </row>
    <row r="147460" spans="1:1" x14ac:dyDescent="0.3">
      <c r="A147460" s="13" t="s">
        <v>1</v>
      </c>
    </row>
    <row r="147461" spans="1:1" x14ac:dyDescent="0.3">
      <c r="A147461" s="13" t="s">
        <v>2</v>
      </c>
    </row>
    <row r="147462" spans="1:1" x14ac:dyDescent="0.3">
      <c r="A147462" s="14" t="s">
        <v>25</v>
      </c>
    </row>
    <row r="147463" spans="1:1" x14ac:dyDescent="0.3">
      <c r="A147463" s="13" t="s">
        <v>125</v>
      </c>
    </row>
    <row r="147464" spans="1:1" x14ac:dyDescent="0.3">
      <c r="A147464" s="13" t="s">
        <v>126</v>
      </c>
    </row>
    <row r="147465" spans="1:1" x14ac:dyDescent="0.3">
      <c r="A147465" s="13" t="s">
        <v>87</v>
      </c>
    </row>
    <row r="147466" spans="1:1" x14ac:dyDescent="0.3">
      <c r="A147466" s="13" t="s">
        <v>22</v>
      </c>
    </row>
    <row r="147467" spans="1:1" x14ac:dyDescent="0.3">
      <c r="A147467" s="13" t="s">
        <v>3</v>
      </c>
    </row>
    <row r="147468" spans="1:1" x14ac:dyDescent="0.3">
      <c r="A147468" s="15" t="s">
        <v>94</v>
      </c>
    </row>
    <row r="147469" spans="1:1" x14ac:dyDescent="0.3">
      <c r="A147469" s="15" t="s">
        <v>93</v>
      </c>
    </row>
    <row r="147470" spans="1:1" x14ac:dyDescent="0.3">
      <c r="A147470" s="15" t="s">
        <v>4</v>
      </c>
    </row>
    <row r="147471" spans="1:1" x14ac:dyDescent="0.3">
      <c r="A147471" s="15" t="s">
        <v>117</v>
      </c>
    </row>
    <row r="147472" spans="1:1" x14ac:dyDescent="0.3">
      <c r="A147472" s="15" t="s">
        <v>5</v>
      </c>
    </row>
    <row r="147473" spans="1:1" x14ac:dyDescent="0.3">
      <c r="A147473" s="15" t="s">
        <v>6</v>
      </c>
    </row>
    <row r="147474" spans="1:1" x14ac:dyDescent="0.3">
      <c r="A147474" s="15" t="s">
        <v>7</v>
      </c>
    </row>
    <row r="147475" spans="1:1" x14ac:dyDescent="0.3">
      <c r="A147475" s="15" t="s">
        <v>8</v>
      </c>
    </row>
    <row r="147476" spans="1:1" x14ac:dyDescent="0.3">
      <c r="A147476" s="15" t="s">
        <v>9</v>
      </c>
    </row>
    <row r="147477" spans="1:1" x14ac:dyDescent="0.3">
      <c r="A147477" s="15" t="s">
        <v>10</v>
      </c>
    </row>
    <row r="147478" spans="1:1" x14ac:dyDescent="0.3">
      <c r="A147478" s="15" t="s">
        <v>11</v>
      </c>
    </row>
    <row r="147479" spans="1:1" x14ac:dyDescent="0.3">
      <c r="A147479" s="15" t="s">
        <v>12</v>
      </c>
    </row>
    <row r="147480" spans="1:1" x14ac:dyDescent="0.3">
      <c r="A147480" s="15" t="s">
        <v>13</v>
      </c>
    </row>
    <row r="147481" spans="1:1" x14ac:dyDescent="0.3">
      <c r="A147481" s="15" t="s">
        <v>14</v>
      </c>
    </row>
    <row r="147482" spans="1:1" x14ac:dyDescent="0.3">
      <c r="A147482" s="13" t="s">
        <v>31</v>
      </c>
    </row>
    <row r="147483" spans="1:1" x14ac:dyDescent="0.3">
      <c r="A147483" s="13" t="s">
        <v>86</v>
      </c>
    </row>
    <row r="147484" spans="1:1" x14ac:dyDescent="0.3">
      <c r="A147484" s="15" t="s">
        <v>30</v>
      </c>
    </row>
    <row r="147485" spans="1:1" x14ac:dyDescent="0.3">
      <c r="A147485" s="15" t="s">
        <v>26</v>
      </c>
    </row>
    <row r="147486" spans="1:1" x14ac:dyDescent="0.3">
      <c r="A147486" s="15" t="s">
        <v>27</v>
      </c>
    </row>
    <row r="147487" spans="1:1" x14ac:dyDescent="0.3">
      <c r="A147487" s="15" t="s">
        <v>28</v>
      </c>
    </row>
    <row r="147488" spans="1:1" x14ac:dyDescent="0.3">
      <c r="A147488" s="15" t="s">
        <v>88</v>
      </c>
    </row>
    <row r="147489" spans="1:1" x14ac:dyDescent="0.3">
      <c r="A147489" s="15" t="s">
        <v>89</v>
      </c>
    </row>
    <row r="147490" spans="1:1" x14ac:dyDescent="0.3">
      <c r="A147490" s="15" t="s">
        <v>184</v>
      </c>
    </row>
    <row r="147491" spans="1:1" x14ac:dyDescent="0.3">
      <c r="A147491" s="15" t="s">
        <v>185</v>
      </c>
    </row>
    <row r="147492" spans="1:1" x14ac:dyDescent="0.3">
      <c r="A147492" s="15" t="s">
        <v>186</v>
      </c>
    </row>
    <row r="147493" spans="1:1" x14ac:dyDescent="0.3">
      <c r="A147493" s="15" t="s">
        <v>187</v>
      </c>
    </row>
    <row r="147494" spans="1:1" x14ac:dyDescent="0.3">
      <c r="A147494" s="15" t="s">
        <v>188</v>
      </c>
    </row>
    <row r="147495" spans="1:1" x14ac:dyDescent="0.3">
      <c r="A147495" s="15" t="s">
        <v>189</v>
      </c>
    </row>
    <row r="147496" spans="1:1" x14ac:dyDescent="0.3">
      <c r="A147496" s="15" t="s">
        <v>190</v>
      </c>
    </row>
    <row r="147497" spans="1:1" x14ac:dyDescent="0.3">
      <c r="A147497" s="14" t="s">
        <v>47</v>
      </c>
    </row>
    <row r="147498" spans="1:1" x14ac:dyDescent="0.3">
      <c r="A147498" s="14" t="s">
        <v>118</v>
      </c>
    </row>
    <row r="147499" spans="1:1" x14ac:dyDescent="0.3">
      <c r="A147499" s="14" t="s">
        <v>85</v>
      </c>
    </row>
    <row r="147500" spans="1:1" x14ac:dyDescent="0.3">
      <c r="A147500" s="13" t="s">
        <v>21</v>
      </c>
    </row>
    <row r="147501" spans="1:1" x14ac:dyDescent="0.3">
      <c r="A147501" s="14" t="s">
        <v>91</v>
      </c>
    </row>
    <row r="147502" spans="1:1" x14ac:dyDescent="0.3">
      <c r="A147502" s="14" t="s">
        <v>92</v>
      </c>
    </row>
    <row r="147503" spans="1:1" x14ac:dyDescent="0.3">
      <c r="A147503" s="14" t="s">
        <v>98</v>
      </c>
    </row>
    <row r="147504" spans="1:1" x14ac:dyDescent="0.3">
      <c r="A147504" s="14" t="s">
        <v>99</v>
      </c>
    </row>
    <row r="147505" spans="1:1" x14ac:dyDescent="0.3">
      <c r="A147505" s="13" t="s">
        <v>24</v>
      </c>
    </row>
    <row r="147506" spans="1:1" x14ac:dyDescent="0.3">
      <c r="A147506" s="13" t="s">
        <v>82</v>
      </c>
    </row>
    <row r="147507" spans="1:1" x14ac:dyDescent="0.3">
      <c r="A147507" s="13" t="s">
        <v>105</v>
      </c>
    </row>
    <row r="147508" spans="1:1" x14ac:dyDescent="0.3">
      <c r="A147508" s="13" t="s">
        <v>100</v>
      </c>
    </row>
    <row r="147509" spans="1:1" x14ac:dyDescent="0.3">
      <c r="A147509" s="13" t="s">
        <v>101</v>
      </c>
    </row>
    <row r="147510" spans="1:1" x14ac:dyDescent="0.3">
      <c r="A147510" s="13" t="s">
        <v>102</v>
      </c>
    </row>
    <row r="147511" spans="1:1" x14ac:dyDescent="0.3">
      <c r="A147511" s="13" t="s">
        <v>103</v>
      </c>
    </row>
    <row r="147512" spans="1:1" x14ac:dyDescent="0.3">
      <c r="A147512" s="13" t="s">
        <v>104</v>
      </c>
    </row>
    <row r="163842" spans="1:1" x14ac:dyDescent="0.3">
      <c r="A163842" s="13" t="s">
        <v>0</v>
      </c>
    </row>
    <row r="163843" spans="1:1" x14ac:dyDescent="0.3">
      <c r="A163843" s="13" t="s">
        <v>124</v>
      </c>
    </row>
    <row r="163844" spans="1:1" x14ac:dyDescent="0.3">
      <c r="A163844" s="13" t="s">
        <v>1</v>
      </c>
    </row>
    <row r="163845" spans="1:1" x14ac:dyDescent="0.3">
      <c r="A163845" s="13" t="s">
        <v>2</v>
      </c>
    </row>
    <row r="163846" spans="1:1" x14ac:dyDescent="0.3">
      <c r="A163846" s="14" t="s">
        <v>25</v>
      </c>
    </row>
    <row r="163847" spans="1:1" x14ac:dyDescent="0.3">
      <c r="A163847" s="13" t="s">
        <v>125</v>
      </c>
    </row>
    <row r="163848" spans="1:1" x14ac:dyDescent="0.3">
      <c r="A163848" s="13" t="s">
        <v>126</v>
      </c>
    </row>
    <row r="163849" spans="1:1" x14ac:dyDescent="0.3">
      <c r="A163849" s="13" t="s">
        <v>87</v>
      </c>
    </row>
    <row r="163850" spans="1:1" x14ac:dyDescent="0.3">
      <c r="A163850" s="13" t="s">
        <v>22</v>
      </c>
    </row>
    <row r="163851" spans="1:1" x14ac:dyDescent="0.3">
      <c r="A163851" s="13" t="s">
        <v>3</v>
      </c>
    </row>
    <row r="163852" spans="1:1" x14ac:dyDescent="0.3">
      <c r="A163852" s="15" t="s">
        <v>94</v>
      </c>
    </row>
    <row r="163853" spans="1:1" x14ac:dyDescent="0.3">
      <c r="A163853" s="15" t="s">
        <v>93</v>
      </c>
    </row>
    <row r="163854" spans="1:1" x14ac:dyDescent="0.3">
      <c r="A163854" s="15" t="s">
        <v>4</v>
      </c>
    </row>
    <row r="163855" spans="1:1" x14ac:dyDescent="0.3">
      <c r="A163855" s="15" t="s">
        <v>117</v>
      </c>
    </row>
    <row r="163856" spans="1:1" x14ac:dyDescent="0.3">
      <c r="A163856" s="15" t="s">
        <v>5</v>
      </c>
    </row>
    <row r="163857" spans="1:1" x14ac:dyDescent="0.3">
      <c r="A163857" s="15" t="s">
        <v>6</v>
      </c>
    </row>
    <row r="163858" spans="1:1" x14ac:dyDescent="0.3">
      <c r="A163858" s="15" t="s">
        <v>7</v>
      </c>
    </row>
    <row r="163859" spans="1:1" x14ac:dyDescent="0.3">
      <c r="A163859" s="15" t="s">
        <v>8</v>
      </c>
    </row>
    <row r="163860" spans="1:1" x14ac:dyDescent="0.3">
      <c r="A163860" s="15" t="s">
        <v>9</v>
      </c>
    </row>
    <row r="163861" spans="1:1" x14ac:dyDescent="0.3">
      <c r="A163861" s="15" t="s">
        <v>10</v>
      </c>
    </row>
    <row r="163862" spans="1:1" x14ac:dyDescent="0.3">
      <c r="A163862" s="15" t="s">
        <v>11</v>
      </c>
    </row>
    <row r="163863" spans="1:1" x14ac:dyDescent="0.3">
      <c r="A163863" s="15" t="s">
        <v>12</v>
      </c>
    </row>
    <row r="163864" spans="1:1" x14ac:dyDescent="0.3">
      <c r="A163864" s="15" t="s">
        <v>13</v>
      </c>
    </row>
    <row r="163865" spans="1:1" x14ac:dyDescent="0.3">
      <c r="A163865" s="15" t="s">
        <v>14</v>
      </c>
    </row>
    <row r="163866" spans="1:1" x14ac:dyDescent="0.3">
      <c r="A163866" s="13" t="s">
        <v>31</v>
      </c>
    </row>
    <row r="163867" spans="1:1" x14ac:dyDescent="0.3">
      <c r="A163867" s="13" t="s">
        <v>86</v>
      </c>
    </row>
    <row r="163868" spans="1:1" x14ac:dyDescent="0.3">
      <c r="A163868" s="15" t="s">
        <v>30</v>
      </c>
    </row>
    <row r="163869" spans="1:1" x14ac:dyDescent="0.3">
      <c r="A163869" s="15" t="s">
        <v>26</v>
      </c>
    </row>
    <row r="163870" spans="1:1" x14ac:dyDescent="0.3">
      <c r="A163870" s="15" t="s">
        <v>27</v>
      </c>
    </row>
    <row r="163871" spans="1:1" x14ac:dyDescent="0.3">
      <c r="A163871" s="15" t="s">
        <v>28</v>
      </c>
    </row>
    <row r="163872" spans="1:1" x14ac:dyDescent="0.3">
      <c r="A163872" s="15" t="s">
        <v>88</v>
      </c>
    </row>
    <row r="163873" spans="1:1" x14ac:dyDescent="0.3">
      <c r="A163873" s="15" t="s">
        <v>89</v>
      </c>
    </row>
    <row r="163874" spans="1:1" x14ac:dyDescent="0.3">
      <c r="A163874" s="15" t="s">
        <v>184</v>
      </c>
    </row>
    <row r="163875" spans="1:1" x14ac:dyDescent="0.3">
      <c r="A163875" s="15" t="s">
        <v>185</v>
      </c>
    </row>
    <row r="163876" spans="1:1" x14ac:dyDescent="0.3">
      <c r="A163876" s="15" t="s">
        <v>186</v>
      </c>
    </row>
    <row r="163877" spans="1:1" x14ac:dyDescent="0.3">
      <c r="A163877" s="15" t="s">
        <v>187</v>
      </c>
    </row>
    <row r="163878" spans="1:1" x14ac:dyDescent="0.3">
      <c r="A163878" s="15" t="s">
        <v>188</v>
      </c>
    </row>
    <row r="163879" spans="1:1" x14ac:dyDescent="0.3">
      <c r="A163879" s="15" t="s">
        <v>189</v>
      </c>
    </row>
    <row r="163880" spans="1:1" x14ac:dyDescent="0.3">
      <c r="A163880" s="15" t="s">
        <v>190</v>
      </c>
    </row>
    <row r="163881" spans="1:1" x14ac:dyDescent="0.3">
      <c r="A163881" s="14" t="s">
        <v>47</v>
      </c>
    </row>
    <row r="163882" spans="1:1" x14ac:dyDescent="0.3">
      <c r="A163882" s="14" t="s">
        <v>118</v>
      </c>
    </row>
    <row r="163883" spans="1:1" x14ac:dyDescent="0.3">
      <c r="A163883" s="14" t="s">
        <v>85</v>
      </c>
    </row>
    <row r="163884" spans="1:1" x14ac:dyDescent="0.3">
      <c r="A163884" s="13" t="s">
        <v>21</v>
      </c>
    </row>
    <row r="163885" spans="1:1" x14ac:dyDescent="0.3">
      <c r="A163885" s="14" t="s">
        <v>91</v>
      </c>
    </row>
    <row r="163886" spans="1:1" x14ac:dyDescent="0.3">
      <c r="A163886" s="14" t="s">
        <v>92</v>
      </c>
    </row>
    <row r="163887" spans="1:1" x14ac:dyDescent="0.3">
      <c r="A163887" s="14" t="s">
        <v>98</v>
      </c>
    </row>
    <row r="163888" spans="1:1" x14ac:dyDescent="0.3">
      <c r="A163888" s="14" t="s">
        <v>99</v>
      </c>
    </row>
    <row r="163889" spans="1:1" x14ac:dyDescent="0.3">
      <c r="A163889" s="13" t="s">
        <v>24</v>
      </c>
    </row>
    <row r="163890" spans="1:1" x14ac:dyDescent="0.3">
      <c r="A163890" s="13" t="s">
        <v>82</v>
      </c>
    </row>
    <row r="163891" spans="1:1" x14ac:dyDescent="0.3">
      <c r="A163891" s="13" t="s">
        <v>105</v>
      </c>
    </row>
    <row r="163892" spans="1:1" x14ac:dyDescent="0.3">
      <c r="A163892" s="13" t="s">
        <v>100</v>
      </c>
    </row>
    <row r="163893" spans="1:1" x14ac:dyDescent="0.3">
      <c r="A163893" s="13" t="s">
        <v>101</v>
      </c>
    </row>
    <row r="163894" spans="1:1" x14ac:dyDescent="0.3">
      <c r="A163894" s="13" t="s">
        <v>102</v>
      </c>
    </row>
    <row r="163895" spans="1:1" x14ac:dyDescent="0.3">
      <c r="A163895" s="13" t="s">
        <v>103</v>
      </c>
    </row>
    <row r="163896" spans="1:1" x14ac:dyDescent="0.3">
      <c r="A163896" s="13" t="s">
        <v>104</v>
      </c>
    </row>
    <row r="180226" spans="1:1" x14ac:dyDescent="0.3">
      <c r="A180226" s="13" t="s">
        <v>0</v>
      </c>
    </row>
    <row r="180227" spans="1:1" x14ac:dyDescent="0.3">
      <c r="A180227" s="13" t="s">
        <v>124</v>
      </c>
    </row>
    <row r="180228" spans="1:1" x14ac:dyDescent="0.3">
      <c r="A180228" s="13" t="s">
        <v>1</v>
      </c>
    </row>
    <row r="180229" spans="1:1" x14ac:dyDescent="0.3">
      <c r="A180229" s="13" t="s">
        <v>2</v>
      </c>
    </row>
    <row r="180230" spans="1:1" x14ac:dyDescent="0.3">
      <c r="A180230" s="14" t="s">
        <v>25</v>
      </c>
    </row>
    <row r="180231" spans="1:1" x14ac:dyDescent="0.3">
      <c r="A180231" s="13" t="s">
        <v>125</v>
      </c>
    </row>
    <row r="180232" spans="1:1" x14ac:dyDescent="0.3">
      <c r="A180232" s="13" t="s">
        <v>126</v>
      </c>
    </row>
    <row r="180233" spans="1:1" x14ac:dyDescent="0.3">
      <c r="A180233" s="13" t="s">
        <v>87</v>
      </c>
    </row>
    <row r="180234" spans="1:1" x14ac:dyDescent="0.3">
      <c r="A180234" s="13" t="s">
        <v>22</v>
      </c>
    </row>
    <row r="180235" spans="1:1" x14ac:dyDescent="0.3">
      <c r="A180235" s="13" t="s">
        <v>3</v>
      </c>
    </row>
    <row r="180236" spans="1:1" x14ac:dyDescent="0.3">
      <c r="A180236" s="15" t="s">
        <v>94</v>
      </c>
    </row>
    <row r="180237" spans="1:1" x14ac:dyDescent="0.3">
      <c r="A180237" s="15" t="s">
        <v>93</v>
      </c>
    </row>
    <row r="180238" spans="1:1" x14ac:dyDescent="0.3">
      <c r="A180238" s="15" t="s">
        <v>4</v>
      </c>
    </row>
    <row r="180239" spans="1:1" x14ac:dyDescent="0.3">
      <c r="A180239" s="15" t="s">
        <v>117</v>
      </c>
    </row>
    <row r="180240" spans="1:1" x14ac:dyDescent="0.3">
      <c r="A180240" s="15" t="s">
        <v>5</v>
      </c>
    </row>
    <row r="180241" spans="1:1" x14ac:dyDescent="0.3">
      <c r="A180241" s="15" t="s">
        <v>6</v>
      </c>
    </row>
    <row r="180242" spans="1:1" x14ac:dyDescent="0.3">
      <c r="A180242" s="15" t="s">
        <v>7</v>
      </c>
    </row>
    <row r="180243" spans="1:1" x14ac:dyDescent="0.3">
      <c r="A180243" s="15" t="s">
        <v>8</v>
      </c>
    </row>
    <row r="180244" spans="1:1" x14ac:dyDescent="0.3">
      <c r="A180244" s="15" t="s">
        <v>9</v>
      </c>
    </row>
    <row r="180245" spans="1:1" x14ac:dyDescent="0.3">
      <c r="A180245" s="15" t="s">
        <v>10</v>
      </c>
    </row>
    <row r="180246" spans="1:1" x14ac:dyDescent="0.3">
      <c r="A180246" s="15" t="s">
        <v>11</v>
      </c>
    </row>
    <row r="180247" spans="1:1" x14ac:dyDescent="0.3">
      <c r="A180247" s="15" t="s">
        <v>12</v>
      </c>
    </row>
    <row r="180248" spans="1:1" x14ac:dyDescent="0.3">
      <c r="A180248" s="15" t="s">
        <v>13</v>
      </c>
    </row>
    <row r="180249" spans="1:1" x14ac:dyDescent="0.3">
      <c r="A180249" s="15" t="s">
        <v>14</v>
      </c>
    </row>
    <row r="180250" spans="1:1" x14ac:dyDescent="0.3">
      <c r="A180250" s="13" t="s">
        <v>31</v>
      </c>
    </row>
    <row r="180251" spans="1:1" x14ac:dyDescent="0.3">
      <c r="A180251" s="13" t="s">
        <v>86</v>
      </c>
    </row>
    <row r="180252" spans="1:1" x14ac:dyDescent="0.3">
      <c r="A180252" s="15" t="s">
        <v>30</v>
      </c>
    </row>
    <row r="180253" spans="1:1" x14ac:dyDescent="0.3">
      <c r="A180253" s="15" t="s">
        <v>26</v>
      </c>
    </row>
    <row r="180254" spans="1:1" x14ac:dyDescent="0.3">
      <c r="A180254" s="15" t="s">
        <v>27</v>
      </c>
    </row>
    <row r="180255" spans="1:1" x14ac:dyDescent="0.3">
      <c r="A180255" s="15" t="s">
        <v>28</v>
      </c>
    </row>
    <row r="180256" spans="1:1" x14ac:dyDescent="0.3">
      <c r="A180256" s="15" t="s">
        <v>88</v>
      </c>
    </row>
    <row r="180257" spans="1:1" x14ac:dyDescent="0.3">
      <c r="A180257" s="15" t="s">
        <v>89</v>
      </c>
    </row>
    <row r="180258" spans="1:1" x14ac:dyDescent="0.3">
      <c r="A180258" s="15" t="s">
        <v>184</v>
      </c>
    </row>
    <row r="180259" spans="1:1" x14ac:dyDescent="0.3">
      <c r="A180259" s="15" t="s">
        <v>185</v>
      </c>
    </row>
    <row r="180260" spans="1:1" x14ac:dyDescent="0.3">
      <c r="A180260" s="15" t="s">
        <v>186</v>
      </c>
    </row>
    <row r="180261" spans="1:1" x14ac:dyDescent="0.3">
      <c r="A180261" s="15" t="s">
        <v>187</v>
      </c>
    </row>
    <row r="180262" spans="1:1" x14ac:dyDescent="0.3">
      <c r="A180262" s="15" t="s">
        <v>188</v>
      </c>
    </row>
    <row r="180263" spans="1:1" x14ac:dyDescent="0.3">
      <c r="A180263" s="15" t="s">
        <v>189</v>
      </c>
    </row>
    <row r="180264" spans="1:1" x14ac:dyDescent="0.3">
      <c r="A180264" s="15" t="s">
        <v>190</v>
      </c>
    </row>
    <row r="180265" spans="1:1" x14ac:dyDescent="0.3">
      <c r="A180265" s="14" t="s">
        <v>47</v>
      </c>
    </row>
    <row r="180266" spans="1:1" x14ac:dyDescent="0.3">
      <c r="A180266" s="14" t="s">
        <v>118</v>
      </c>
    </row>
    <row r="180267" spans="1:1" x14ac:dyDescent="0.3">
      <c r="A180267" s="14" t="s">
        <v>85</v>
      </c>
    </row>
    <row r="180268" spans="1:1" x14ac:dyDescent="0.3">
      <c r="A180268" s="13" t="s">
        <v>21</v>
      </c>
    </row>
    <row r="180269" spans="1:1" x14ac:dyDescent="0.3">
      <c r="A180269" s="14" t="s">
        <v>91</v>
      </c>
    </row>
    <row r="180270" spans="1:1" x14ac:dyDescent="0.3">
      <c r="A180270" s="14" t="s">
        <v>92</v>
      </c>
    </row>
    <row r="180271" spans="1:1" x14ac:dyDescent="0.3">
      <c r="A180271" s="14" t="s">
        <v>98</v>
      </c>
    </row>
    <row r="180272" spans="1:1" x14ac:dyDescent="0.3">
      <c r="A180272" s="14" t="s">
        <v>99</v>
      </c>
    </row>
    <row r="180273" spans="1:1" x14ac:dyDescent="0.3">
      <c r="A180273" s="13" t="s">
        <v>24</v>
      </c>
    </row>
    <row r="180274" spans="1:1" x14ac:dyDescent="0.3">
      <c r="A180274" s="13" t="s">
        <v>82</v>
      </c>
    </row>
    <row r="180275" spans="1:1" x14ac:dyDescent="0.3">
      <c r="A180275" s="13" t="s">
        <v>105</v>
      </c>
    </row>
    <row r="180276" spans="1:1" x14ac:dyDescent="0.3">
      <c r="A180276" s="13" t="s">
        <v>100</v>
      </c>
    </row>
    <row r="180277" spans="1:1" x14ac:dyDescent="0.3">
      <c r="A180277" s="13" t="s">
        <v>101</v>
      </c>
    </row>
    <row r="180278" spans="1:1" x14ac:dyDescent="0.3">
      <c r="A180278" s="13" t="s">
        <v>102</v>
      </c>
    </row>
    <row r="180279" spans="1:1" x14ac:dyDescent="0.3">
      <c r="A180279" s="13" t="s">
        <v>103</v>
      </c>
    </row>
    <row r="180280" spans="1:1" x14ac:dyDescent="0.3">
      <c r="A180280" s="13" t="s">
        <v>104</v>
      </c>
    </row>
    <row r="196610" spans="1:1" x14ac:dyDescent="0.3">
      <c r="A196610" s="13" t="s">
        <v>0</v>
      </c>
    </row>
    <row r="196611" spans="1:1" x14ac:dyDescent="0.3">
      <c r="A196611" s="13" t="s">
        <v>124</v>
      </c>
    </row>
    <row r="196612" spans="1:1" x14ac:dyDescent="0.3">
      <c r="A196612" s="13" t="s">
        <v>1</v>
      </c>
    </row>
    <row r="196613" spans="1:1" x14ac:dyDescent="0.3">
      <c r="A196613" s="13" t="s">
        <v>2</v>
      </c>
    </row>
    <row r="196614" spans="1:1" x14ac:dyDescent="0.3">
      <c r="A196614" s="14" t="s">
        <v>25</v>
      </c>
    </row>
    <row r="196615" spans="1:1" x14ac:dyDescent="0.3">
      <c r="A196615" s="13" t="s">
        <v>125</v>
      </c>
    </row>
    <row r="196616" spans="1:1" x14ac:dyDescent="0.3">
      <c r="A196616" s="13" t="s">
        <v>126</v>
      </c>
    </row>
    <row r="196617" spans="1:1" x14ac:dyDescent="0.3">
      <c r="A196617" s="13" t="s">
        <v>87</v>
      </c>
    </row>
    <row r="196618" spans="1:1" x14ac:dyDescent="0.3">
      <c r="A196618" s="13" t="s">
        <v>22</v>
      </c>
    </row>
    <row r="196619" spans="1:1" x14ac:dyDescent="0.3">
      <c r="A196619" s="13" t="s">
        <v>3</v>
      </c>
    </row>
    <row r="196620" spans="1:1" x14ac:dyDescent="0.3">
      <c r="A196620" s="15" t="s">
        <v>94</v>
      </c>
    </row>
    <row r="196621" spans="1:1" x14ac:dyDescent="0.3">
      <c r="A196621" s="15" t="s">
        <v>93</v>
      </c>
    </row>
    <row r="196622" spans="1:1" x14ac:dyDescent="0.3">
      <c r="A196622" s="15" t="s">
        <v>4</v>
      </c>
    </row>
    <row r="196623" spans="1:1" x14ac:dyDescent="0.3">
      <c r="A196623" s="15" t="s">
        <v>117</v>
      </c>
    </row>
    <row r="196624" spans="1:1" x14ac:dyDescent="0.3">
      <c r="A196624" s="15" t="s">
        <v>5</v>
      </c>
    </row>
    <row r="196625" spans="1:1" x14ac:dyDescent="0.3">
      <c r="A196625" s="15" t="s">
        <v>6</v>
      </c>
    </row>
    <row r="196626" spans="1:1" x14ac:dyDescent="0.3">
      <c r="A196626" s="15" t="s">
        <v>7</v>
      </c>
    </row>
    <row r="196627" spans="1:1" x14ac:dyDescent="0.3">
      <c r="A196627" s="15" t="s">
        <v>8</v>
      </c>
    </row>
    <row r="196628" spans="1:1" x14ac:dyDescent="0.3">
      <c r="A196628" s="15" t="s">
        <v>9</v>
      </c>
    </row>
    <row r="196629" spans="1:1" x14ac:dyDescent="0.3">
      <c r="A196629" s="15" t="s">
        <v>10</v>
      </c>
    </row>
    <row r="196630" spans="1:1" x14ac:dyDescent="0.3">
      <c r="A196630" s="15" t="s">
        <v>11</v>
      </c>
    </row>
    <row r="196631" spans="1:1" x14ac:dyDescent="0.3">
      <c r="A196631" s="15" t="s">
        <v>12</v>
      </c>
    </row>
    <row r="196632" spans="1:1" x14ac:dyDescent="0.3">
      <c r="A196632" s="15" t="s">
        <v>13</v>
      </c>
    </row>
    <row r="196633" spans="1:1" x14ac:dyDescent="0.3">
      <c r="A196633" s="15" t="s">
        <v>14</v>
      </c>
    </row>
    <row r="196634" spans="1:1" x14ac:dyDescent="0.3">
      <c r="A196634" s="13" t="s">
        <v>31</v>
      </c>
    </row>
    <row r="196635" spans="1:1" x14ac:dyDescent="0.3">
      <c r="A196635" s="13" t="s">
        <v>86</v>
      </c>
    </row>
    <row r="196636" spans="1:1" x14ac:dyDescent="0.3">
      <c r="A196636" s="15" t="s">
        <v>30</v>
      </c>
    </row>
    <row r="196637" spans="1:1" x14ac:dyDescent="0.3">
      <c r="A196637" s="15" t="s">
        <v>26</v>
      </c>
    </row>
    <row r="196638" spans="1:1" x14ac:dyDescent="0.3">
      <c r="A196638" s="15" t="s">
        <v>27</v>
      </c>
    </row>
    <row r="196639" spans="1:1" x14ac:dyDescent="0.3">
      <c r="A196639" s="15" t="s">
        <v>28</v>
      </c>
    </row>
    <row r="196640" spans="1:1" x14ac:dyDescent="0.3">
      <c r="A196640" s="15" t="s">
        <v>88</v>
      </c>
    </row>
    <row r="196641" spans="1:1" x14ac:dyDescent="0.3">
      <c r="A196641" s="15" t="s">
        <v>89</v>
      </c>
    </row>
    <row r="196642" spans="1:1" x14ac:dyDescent="0.3">
      <c r="A196642" s="15" t="s">
        <v>184</v>
      </c>
    </row>
    <row r="196643" spans="1:1" x14ac:dyDescent="0.3">
      <c r="A196643" s="15" t="s">
        <v>185</v>
      </c>
    </row>
    <row r="196644" spans="1:1" x14ac:dyDescent="0.3">
      <c r="A196644" s="15" t="s">
        <v>186</v>
      </c>
    </row>
    <row r="196645" spans="1:1" x14ac:dyDescent="0.3">
      <c r="A196645" s="15" t="s">
        <v>187</v>
      </c>
    </row>
    <row r="196646" spans="1:1" x14ac:dyDescent="0.3">
      <c r="A196646" s="15" t="s">
        <v>188</v>
      </c>
    </row>
    <row r="196647" spans="1:1" x14ac:dyDescent="0.3">
      <c r="A196647" s="15" t="s">
        <v>189</v>
      </c>
    </row>
    <row r="196648" spans="1:1" x14ac:dyDescent="0.3">
      <c r="A196648" s="15" t="s">
        <v>190</v>
      </c>
    </row>
    <row r="196649" spans="1:1" x14ac:dyDescent="0.3">
      <c r="A196649" s="14" t="s">
        <v>47</v>
      </c>
    </row>
    <row r="196650" spans="1:1" x14ac:dyDescent="0.3">
      <c r="A196650" s="14" t="s">
        <v>118</v>
      </c>
    </row>
    <row r="196651" spans="1:1" x14ac:dyDescent="0.3">
      <c r="A196651" s="14" t="s">
        <v>85</v>
      </c>
    </row>
    <row r="196652" spans="1:1" x14ac:dyDescent="0.3">
      <c r="A196652" s="13" t="s">
        <v>21</v>
      </c>
    </row>
    <row r="196653" spans="1:1" x14ac:dyDescent="0.3">
      <c r="A196653" s="14" t="s">
        <v>91</v>
      </c>
    </row>
    <row r="196654" spans="1:1" x14ac:dyDescent="0.3">
      <c r="A196654" s="14" t="s">
        <v>92</v>
      </c>
    </row>
    <row r="196655" spans="1:1" x14ac:dyDescent="0.3">
      <c r="A196655" s="14" t="s">
        <v>98</v>
      </c>
    </row>
    <row r="196656" spans="1:1" x14ac:dyDescent="0.3">
      <c r="A196656" s="14" t="s">
        <v>99</v>
      </c>
    </row>
    <row r="196657" spans="1:1" x14ac:dyDescent="0.3">
      <c r="A196657" s="13" t="s">
        <v>24</v>
      </c>
    </row>
    <row r="196658" spans="1:1" x14ac:dyDescent="0.3">
      <c r="A196658" s="13" t="s">
        <v>82</v>
      </c>
    </row>
    <row r="196659" spans="1:1" x14ac:dyDescent="0.3">
      <c r="A196659" s="13" t="s">
        <v>105</v>
      </c>
    </row>
    <row r="196660" spans="1:1" x14ac:dyDescent="0.3">
      <c r="A196660" s="13" t="s">
        <v>100</v>
      </c>
    </row>
    <row r="196661" spans="1:1" x14ac:dyDescent="0.3">
      <c r="A196661" s="13" t="s">
        <v>101</v>
      </c>
    </row>
    <row r="196662" spans="1:1" x14ac:dyDescent="0.3">
      <c r="A196662" s="13" t="s">
        <v>102</v>
      </c>
    </row>
    <row r="196663" spans="1:1" x14ac:dyDescent="0.3">
      <c r="A196663" s="13" t="s">
        <v>103</v>
      </c>
    </row>
    <row r="196664" spans="1:1" x14ac:dyDescent="0.3">
      <c r="A196664" s="13" t="s">
        <v>104</v>
      </c>
    </row>
    <row r="212994" spans="1:1" x14ac:dyDescent="0.3">
      <c r="A212994" s="13" t="s">
        <v>0</v>
      </c>
    </row>
    <row r="212995" spans="1:1" x14ac:dyDescent="0.3">
      <c r="A212995" s="13" t="s">
        <v>124</v>
      </c>
    </row>
    <row r="212996" spans="1:1" x14ac:dyDescent="0.3">
      <c r="A212996" s="13" t="s">
        <v>1</v>
      </c>
    </row>
    <row r="212997" spans="1:1" x14ac:dyDescent="0.3">
      <c r="A212997" s="13" t="s">
        <v>2</v>
      </c>
    </row>
    <row r="212998" spans="1:1" x14ac:dyDescent="0.3">
      <c r="A212998" s="14" t="s">
        <v>25</v>
      </c>
    </row>
    <row r="212999" spans="1:1" x14ac:dyDescent="0.3">
      <c r="A212999" s="13" t="s">
        <v>125</v>
      </c>
    </row>
    <row r="213000" spans="1:1" x14ac:dyDescent="0.3">
      <c r="A213000" s="13" t="s">
        <v>126</v>
      </c>
    </row>
    <row r="213001" spans="1:1" x14ac:dyDescent="0.3">
      <c r="A213001" s="13" t="s">
        <v>87</v>
      </c>
    </row>
    <row r="213002" spans="1:1" x14ac:dyDescent="0.3">
      <c r="A213002" s="13" t="s">
        <v>22</v>
      </c>
    </row>
    <row r="213003" spans="1:1" x14ac:dyDescent="0.3">
      <c r="A213003" s="13" t="s">
        <v>3</v>
      </c>
    </row>
    <row r="213004" spans="1:1" x14ac:dyDescent="0.3">
      <c r="A213004" s="15" t="s">
        <v>94</v>
      </c>
    </row>
    <row r="213005" spans="1:1" x14ac:dyDescent="0.3">
      <c r="A213005" s="15" t="s">
        <v>93</v>
      </c>
    </row>
    <row r="213006" spans="1:1" x14ac:dyDescent="0.3">
      <c r="A213006" s="15" t="s">
        <v>4</v>
      </c>
    </row>
    <row r="213007" spans="1:1" x14ac:dyDescent="0.3">
      <c r="A213007" s="15" t="s">
        <v>117</v>
      </c>
    </row>
    <row r="213008" spans="1:1" x14ac:dyDescent="0.3">
      <c r="A213008" s="15" t="s">
        <v>5</v>
      </c>
    </row>
    <row r="213009" spans="1:1" x14ac:dyDescent="0.3">
      <c r="A213009" s="15" t="s">
        <v>6</v>
      </c>
    </row>
    <row r="213010" spans="1:1" x14ac:dyDescent="0.3">
      <c r="A213010" s="15" t="s">
        <v>7</v>
      </c>
    </row>
    <row r="213011" spans="1:1" x14ac:dyDescent="0.3">
      <c r="A213011" s="15" t="s">
        <v>8</v>
      </c>
    </row>
    <row r="213012" spans="1:1" x14ac:dyDescent="0.3">
      <c r="A213012" s="15" t="s">
        <v>9</v>
      </c>
    </row>
    <row r="213013" spans="1:1" x14ac:dyDescent="0.3">
      <c r="A213013" s="15" t="s">
        <v>10</v>
      </c>
    </row>
    <row r="213014" spans="1:1" x14ac:dyDescent="0.3">
      <c r="A213014" s="15" t="s">
        <v>11</v>
      </c>
    </row>
    <row r="213015" spans="1:1" x14ac:dyDescent="0.3">
      <c r="A213015" s="15" t="s">
        <v>12</v>
      </c>
    </row>
    <row r="213016" spans="1:1" x14ac:dyDescent="0.3">
      <c r="A213016" s="15" t="s">
        <v>13</v>
      </c>
    </row>
    <row r="213017" spans="1:1" x14ac:dyDescent="0.3">
      <c r="A213017" s="15" t="s">
        <v>14</v>
      </c>
    </row>
    <row r="213018" spans="1:1" x14ac:dyDescent="0.3">
      <c r="A213018" s="13" t="s">
        <v>31</v>
      </c>
    </row>
    <row r="213019" spans="1:1" x14ac:dyDescent="0.3">
      <c r="A213019" s="13" t="s">
        <v>86</v>
      </c>
    </row>
    <row r="213020" spans="1:1" x14ac:dyDescent="0.3">
      <c r="A213020" s="15" t="s">
        <v>30</v>
      </c>
    </row>
    <row r="213021" spans="1:1" x14ac:dyDescent="0.3">
      <c r="A213021" s="15" t="s">
        <v>26</v>
      </c>
    </row>
    <row r="213022" spans="1:1" x14ac:dyDescent="0.3">
      <c r="A213022" s="15" t="s">
        <v>27</v>
      </c>
    </row>
    <row r="213023" spans="1:1" x14ac:dyDescent="0.3">
      <c r="A213023" s="15" t="s">
        <v>28</v>
      </c>
    </row>
    <row r="213024" spans="1:1" x14ac:dyDescent="0.3">
      <c r="A213024" s="15" t="s">
        <v>88</v>
      </c>
    </row>
    <row r="213025" spans="1:1" x14ac:dyDescent="0.3">
      <c r="A213025" s="15" t="s">
        <v>89</v>
      </c>
    </row>
    <row r="213026" spans="1:1" x14ac:dyDescent="0.3">
      <c r="A213026" s="15" t="s">
        <v>184</v>
      </c>
    </row>
    <row r="213027" spans="1:1" x14ac:dyDescent="0.3">
      <c r="A213027" s="15" t="s">
        <v>185</v>
      </c>
    </row>
    <row r="213028" spans="1:1" x14ac:dyDescent="0.3">
      <c r="A213028" s="15" t="s">
        <v>186</v>
      </c>
    </row>
    <row r="213029" spans="1:1" x14ac:dyDescent="0.3">
      <c r="A213029" s="15" t="s">
        <v>187</v>
      </c>
    </row>
    <row r="213030" spans="1:1" x14ac:dyDescent="0.3">
      <c r="A213030" s="15" t="s">
        <v>188</v>
      </c>
    </row>
    <row r="213031" spans="1:1" x14ac:dyDescent="0.3">
      <c r="A213031" s="15" t="s">
        <v>189</v>
      </c>
    </row>
    <row r="213032" spans="1:1" x14ac:dyDescent="0.3">
      <c r="A213032" s="15" t="s">
        <v>190</v>
      </c>
    </row>
    <row r="213033" spans="1:1" x14ac:dyDescent="0.3">
      <c r="A213033" s="14" t="s">
        <v>47</v>
      </c>
    </row>
    <row r="213034" spans="1:1" x14ac:dyDescent="0.3">
      <c r="A213034" s="14" t="s">
        <v>118</v>
      </c>
    </row>
    <row r="213035" spans="1:1" x14ac:dyDescent="0.3">
      <c r="A213035" s="14" t="s">
        <v>85</v>
      </c>
    </row>
    <row r="213036" spans="1:1" x14ac:dyDescent="0.3">
      <c r="A213036" s="13" t="s">
        <v>21</v>
      </c>
    </row>
    <row r="213037" spans="1:1" x14ac:dyDescent="0.3">
      <c r="A213037" s="14" t="s">
        <v>91</v>
      </c>
    </row>
    <row r="213038" spans="1:1" x14ac:dyDescent="0.3">
      <c r="A213038" s="14" t="s">
        <v>92</v>
      </c>
    </row>
    <row r="213039" spans="1:1" x14ac:dyDescent="0.3">
      <c r="A213039" s="14" t="s">
        <v>98</v>
      </c>
    </row>
    <row r="213040" spans="1:1" x14ac:dyDescent="0.3">
      <c r="A213040" s="14" t="s">
        <v>99</v>
      </c>
    </row>
    <row r="213041" spans="1:1" x14ac:dyDescent="0.3">
      <c r="A213041" s="13" t="s">
        <v>24</v>
      </c>
    </row>
    <row r="213042" spans="1:1" x14ac:dyDescent="0.3">
      <c r="A213042" s="13" t="s">
        <v>82</v>
      </c>
    </row>
    <row r="213043" spans="1:1" x14ac:dyDescent="0.3">
      <c r="A213043" s="13" t="s">
        <v>105</v>
      </c>
    </row>
    <row r="213044" spans="1:1" x14ac:dyDescent="0.3">
      <c r="A213044" s="13" t="s">
        <v>100</v>
      </c>
    </row>
    <row r="213045" spans="1:1" x14ac:dyDescent="0.3">
      <c r="A213045" s="13" t="s">
        <v>101</v>
      </c>
    </row>
    <row r="213046" spans="1:1" x14ac:dyDescent="0.3">
      <c r="A213046" s="13" t="s">
        <v>102</v>
      </c>
    </row>
    <row r="213047" spans="1:1" x14ac:dyDescent="0.3">
      <c r="A213047" s="13" t="s">
        <v>103</v>
      </c>
    </row>
    <row r="213048" spans="1:1" x14ac:dyDescent="0.3">
      <c r="A213048" s="13" t="s">
        <v>104</v>
      </c>
    </row>
    <row r="229378" spans="1:1" x14ac:dyDescent="0.3">
      <c r="A229378" s="13" t="s">
        <v>0</v>
      </c>
    </row>
    <row r="229379" spans="1:1" x14ac:dyDescent="0.3">
      <c r="A229379" s="13" t="s">
        <v>124</v>
      </c>
    </row>
    <row r="229380" spans="1:1" x14ac:dyDescent="0.3">
      <c r="A229380" s="13" t="s">
        <v>1</v>
      </c>
    </row>
    <row r="229381" spans="1:1" x14ac:dyDescent="0.3">
      <c r="A229381" s="13" t="s">
        <v>2</v>
      </c>
    </row>
    <row r="229382" spans="1:1" x14ac:dyDescent="0.3">
      <c r="A229382" s="14" t="s">
        <v>25</v>
      </c>
    </row>
    <row r="229383" spans="1:1" x14ac:dyDescent="0.3">
      <c r="A229383" s="13" t="s">
        <v>125</v>
      </c>
    </row>
    <row r="229384" spans="1:1" x14ac:dyDescent="0.3">
      <c r="A229384" s="13" t="s">
        <v>126</v>
      </c>
    </row>
    <row r="229385" spans="1:1" x14ac:dyDescent="0.3">
      <c r="A229385" s="13" t="s">
        <v>87</v>
      </c>
    </row>
    <row r="229386" spans="1:1" x14ac:dyDescent="0.3">
      <c r="A229386" s="13" t="s">
        <v>22</v>
      </c>
    </row>
    <row r="229387" spans="1:1" x14ac:dyDescent="0.3">
      <c r="A229387" s="13" t="s">
        <v>3</v>
      </c>
    </row>
    <row r="229388" spans="1:1" x14ac:dyDescent="0.3">
      <c r="A229388" s="15" t="s">
        <v>94</v>
      </c>
    </row>
    <row r="229389" spans="1:1" x14ac:dyDescent="0.3">
      <c r="A229389" s="15" t="s">
        <v>93</v>
      </c>
    </row>
    <row r="229390" spans="1:1" x14ac:dyDescent="0.3">
      <c r="A229390" s="15" t="s">
        <v>4</v>
      </c>
    </row>
    <row r="229391" spans="1:1" x14ac:dyDescent="0.3">
      <c r="A229391" s="15" t="s">
        <v>117</v>
      </c>
    </row>
    <row r="229392" spans="1:1" x14ac:dyDescent="0.3">
      <c r="A229392" s="15" t="s">
        <v>5</v>
      </c>
    </row>
    <row r="229393" spans="1:1" x14ac:dyDescent="0.3">
      <c r="A229393" s="15" t="s">
        <v>6</v>
      </c>
    </row>
    <row r="229394" spans="1:1" x14ac:dyDescent="0.3">
      <c r="A229394" s="15" t="s">
        <v>7</v>
      </c>
    </row>
    <row r="229395" spans="1:1" x14ac:dyDescent="0.3">
      <c r="A229395" s="15" t="s">
        <v>8</v>
      </c>
    </row>
    <row r="229396" spans="1:1" x14ac:dyDescent="0.3">
      <c r="A229396" s="15" t="s">
        <v>9</v>
      </c>
    </row>
    <row r="229397" spans="1:1" x14ac:dyDescent="0.3">
      <c r="A229397" s="15" t="s">
        <v>10</v>
      </c>
    </row>
    <row r="229398" spans="1:1" x14ac:dyDescent="0.3">
      <c r="A229398" s="15" t="s">
        <v>11</v>
      </c>
    </row>
    <row r="229399" spans="1:1" x14ac:dyDescent="0.3">
      <c r="A229399" s="15" t="s">
        <v>12</v>
      </c>
    </row>
    <row r="229400" spans="1:1" x14ac:dyDescent="0.3">
      <c r="A229400" s="15" t="s">
        <v>13</v>
      </c>
    </row>
    <row r="229401" spans="1:1" x14ac:dyDescent="0.3">
      <c r="A229401" s="15" t="s">
        <v>14</v>
      </c>
    </row>
    <row r="229402" spans="1:1" x14ac:dyDescent="0.3">
      <c r="A229402" s="13" t="s">
        <v>31</v>
      </c>
    </row>
    <row r="229403" spans="1:1" x14ac:dyDescent="0.3">
      <c r="A229403" s="13" t="s">
        <v>86</v>
      </c>
    </row>
    <row r="229404" spans="1:1" x14ac:dyDescent="0.3">
      <c r="A229404" s="15" t="s">
        <v>30</v>
      </c>
    </row>
    <row r="229405" spans="1:1" x14ac:dyDescent="0.3">
      <c r="A229405" s="15" t="s">
        <v>26</v>
      </c>
    </row>
    <row r="229406" spans="1:1" x14ac:dyDescent="0.3">
      <c r="A229406" s="15" t="s">
        <v>27</v>
      </c>
    </row>
    <row r="229407" spans="1:1" x14ac:dyDescent="0.3">
      <c r="A229407" s="15" t="s">
        <v>28</v>
      </c>
    </row>
    <row r="229408" spans="1:1" x14ac:dyDescent="0.3">
      <c r="A229408" s="15" t="s">
        <v>88</v>
      </c>
    </row>
    <row r="229409" spans="1:1" x14ac:dyDescent="0.3">
      <c r="A229409" s="15" t="s">
        <v>89</v>
      </c>
    </row>
    <row r="229410" spans="1:1" x14ac:dyDescent="0.3">
      <c r="A229410" s="15" t="s">
        <v>184</v>
      </c>
    </row>
    <row r="229411" spans="1:1" x14ac:dyDescent="0.3">
      <c r="A229411" s="15" t="s">
        <v>185</v>
      </c>
    </row>
    <row r="229412" spans="1:1" x14ac:dyDescent="0.3">
      <c r="A229412" s="15" t="s">
        <v>186</v>
      </c>
    </row>
    <row r="229413" spans="1:1" x14ac:dyDescent="0.3">
      <c r="A229413" s="15" t="s">
        <v>187</v>
      </c>
    </row>
    <row r="229414" spans="1:1" x14ac:dyDescent="0.3">
      <c r="A229414" s="15" t="s">
        <v>188</v>
      </c>
    </row>
    <row r="229415" spans="1:1" x14ac:dyDescent="0.3">
      <c r="A229415" s="15" t="s">
        <v>189</v>
      </c>
    </row>
    <row r="229416" spans="1:1" x14ac:dyDescent="0.3">
      <c r="A229416" s="15" t="s">
        <v>190</v>
      </c>
    </row>
    <row r="229417" spans="1:1" x14ac:dyDescent="0.3">
      <c r="A229417" s="14" t="s">
        <v>47</v>
      </c>
    </row>
    <row r="229418" spans="1:1" x14ac:dyDescent="0.3">
      <c r="A229418" s="14" t="s">
        <v>118</v>
      </c>
    </row>
    <row r="229419" spans="1:1" x14ac:dyDescent="0.3">
      <c r="A229419" s="14" t="s">
        <v>85</v>
      </c>
    </row>
    <row r="229420" spans="1:1" x14ac:dyDescent="0.3">
      <c r="A229420" s="13" t="s">
        <v>21</v>
      </c>
    </row>
    <row r="229421" spans="1:1" x14ac:dyDescent="0.3">
      <c r="A229421" s="14" t="s">
        <v>91</v>
      </c>
    </row>
    <row r="229422" spans="1:1" x14ac:dyDescent="0.3">
      <c r="A229422" s="14" t="s">
        <v>92</v>
      </c>
    </row>
    <row r="229423" spans="1:1" x14ac:dyDescent="0.3">
      <c r="A229423" s="14" t="s">
        <v>98</v>
      </c>
    </row>
    <row r="229424" spans="1:1" x14ac:dyDescent="0.3">
      <c r="A229424" s="14" t="s">
        <v>99</v>
      </c>
    </row>
    <row r="229425" spans="1:1" x14ac:dyDescent="0.3">
      <c r="A229425" s="13" t="s">
        <v>24</v>
      </c>
    </row>
    <row r="229426" spans="1:1" x14ac:dyDescent="0.3">
      <c r="A229426" s="13" t="s">
        <v>82</v>
      </c>
    </row>
    <row r="229427" spans="1:1" x14ac:dyDescent="0.3">
      <c r="A229427" s="13" t="s">
        <v>105</v>
      </c>
    </row>
    <row r="229428" spans="1:1" x14ac:dyDescent="0.3">
      <c r="A229428" s="13" t="s">
        <v>100</v>
      </c>
    </row>
    <row r="229429" spans="1:1" x14ac:dyDescent="0.3">
      <c r="A229429" s="13" t="s">
        <v>101</v>
      </c>
    </row>
    <row r="229430" spans="1:1" x14ac:dyDescent="0.3">
      <c r="A229430" s="13" t="s">
        <v>102</v>
      </c>
    </row>
    <row r="229431" spans="1:1" x14ac:dyDescent="0.3">
      <c r="A229431" s="13" t="s">
        <v>103</v>
      </c>
    </row>
    <row r="229432" spans="1:1" x14ac:dyDescent="0.3">
      <c r="A229432" s="13" t="s">
        <v>104</v>
      </c>
    </row>
    <row r="245762" spans="1:1" x14ac:dyDescent="0.3">
      <c r="A245762" s="13" t="s">
        <v>0</v>
      </c>
    </row>
    <row r="245763" spans="1:1" x14ac:dyDescent="0.3">
      <c r="A245763" s="13" t="s">
        <v>124</v>
      </c>
    </row>
    <row r="245764" spans="1:1" x14ac:dyDescent="0.3">
      <c r="A245764" s="13" t="s">
        <v>1</v>
      </c>
    </row>
    <row r="245765" spans="1:1" x14ac:dyDescent="0.3">
      <c r="A245765" s="13" t="s">
        <v>2</v>
      </c>
    </row>
    <row r="245766" spans="1:1" x14ac:dyDescent="0.3">
      <c r="A245766" s="14" t="s">
        <v>25</v>
      </c>
    </row>
    <row r="245767" spans="1:1" x14ac:dyDescent="0.3">
      <c r="A245767" s="13" t="s">
        <v>125</v>
      </c>
    </row>
    <row r="245768" spans="1:1" x14ac:dyDescent="0.3">
      <c r="A245768" s="13" t="s">
        <v>126</v>
      </c>
    </row>
    <row r="245769" spans="1:1" x14ac:dyDescent="0.3">
      <c r="A245769" s="13" t="s">
        <v>87</v>
      </c>
    </row>
    <row r="245770" spans="1:1" x14ac:dyDescent="0.3">
      <c r="A245770" s="13" t="s">
        <v>22</v>
      </c>
    </row>
    <row r="245771" spans="1:1" x14ac:dyDescent="0.3">
      <c r="A245771" s="13" t="s">
        <v>3</v>
      </c>
    </row>
    <row r="245772" spans="1:1" x14ac:dyDescent="0.3">
      <c r="A245772" s="15" t="s">
        <v>94</v>
      </c>
    </row>
    <row r="245773" spans="1:1" x14ac:dyDescent="0.3">
      <c r="A245773" s="15" t="s">
        <v>93</v>
      </c>
    </row>
    <row r="245774" spans="1:1" x14ac:dyDescent="0.3">
      <c r="A245774" s="15" t="s">
        <v>4</v>
      </c>
    </row>
    <row r="245775" spans="1:1" x14ac:dyDescent="0.3">
      <c r="A245775" s="15" t="s">
        <v>117</v>
      </c>
    </row>
    <row r="245776" spans="1:1" x14ac:dyDescent="0.3">
      <c r="A245776" s="15" t="s">
        <v>5</v>
      </c>
    </row>
    <row r="245777" spans="1:1" x14ac:dyDescent="0.3">
      <c r="A245777" s="15" t="s">
        <v>6</v>
      </c>
    </row>
    <row r="245778" spans="1:1" x14ac:dyDescent="0.3">
      <c r="A245778" s="15" t="s">
        <v>7</v>
      </c>
    </row>
    <row r="245779" spans="1:1" x14ac:dyDescent="0.3">
      <c r="A245779" s="15" t="s">
        <v>8</v>
      </c>
    </row>
    <row r="245780" spans="1:1" x14ac:dyDescent="0.3">
      <c r="A245780" s="15" t="s">
        <v>9</v>
      </c>
    </row>
    <row r="245781" spans="1:1" x14ac:dyDescent="0.3">
      <c r="A245781" s="15" t="s">
        <v>10</v>
      </c>
    </row>
    <row r="245782" spans="1:1" x14ac:dyDescent="0.3">
      <c r="A245782" s="15" t="s">
        <v>11</v>
      </c>
    </row>
    <row r="245783" spans="1:1" x14ac:dyDescent="0.3">
      <c r="A245783" s="15" t="s">
        <v>12</v>
      </c>
    </row>
    <row r="245784" spans="1:1" x14ac:dyDescent="0.3">
      <c r="A245784" s="15" t="s">
        <v>13</v>
      </c>
    </row>
    <row r="245785" spans="1:1" x14ac:dyDescent="0.3">
      <c r="A245785" s="15" t="s">
        <v>14</v>
      </c>
    </row>
    <row r="245786" spans="1:1" x14ac:dyDescent="0.3">
      <c r="A245786" s="13" t="s">
        <v>31</v>
      </c>
    </row>
    <row r="245787" spans="1:1" x14ac:dyDescent="0.3">
      <c r="A245787" s="13" t="s">
        <v>86</v>
      </c>
    </row>
    <row r="245788" spans="1:1" x14ac:dyDescent="0.3">
      <c r="A245788" s="15" t="s">
        <v>30</v>
      </c>
    </row>
    <row r="245789" spans="1:1" x14ac:dyDescent="0.3">
      <c r="A245789" s="15" t="s">
        <v>26</v>
      </c>
    </row>
    <row r="245790" spans="1:1" x14ac:dyDescent="0.3">
      <c r="A245790" s="15" t="s">
        <v>27</v>
      </c>
    </row>
    <row r="245791" spans="1:1" x14ac:dyDescent="0.3">
      <c r="A245791" s="15" t="s">
        <v>28</v>
      </c>
    </row>
    <row r="245792" spans="1:1" x14ac:dyDescent="0.3">
      <c r="A245792" s="15" t="s">
        <v>88</v>
      </c>
    </row>
    <row r="245793" spans="1:1" x14ac:dyDescent="0.3">
      <c r="A245793" s="15" t="s">
        <v>89</v>
      </c>
    </row>
    <row r="245794" spans="1:1" x14ac:dyDescent="0.3">
      <c r="A245794" s="15" t="s">
        <v>184</v>
      </c>
    </row>
    <row r="245795" spans="1:1" x14ac:dyDescent="0.3">
      <c r="A245795" s="15" t="s">
        <v>185</v>
      </c>
    </row>
    <row r="245796" spans="1:1" x14ac:dyDescent="0.3">
      <c r="A245796" s="15" t="s">
        <v>186</v>
      </c>
    </row>
    <row r="245797" spans="1:1" x14ac:dyDescent="0.3">
      <c r="A245797" s="15" t="s">
        <v>187</v>
      </c>
    </row>
    <row r="245798" spans="1:1" x14ac:dyDescent="0.3">
      <c r="A245798" s="15" t="s">
        <v>188</v>
      </c>
    </row>
    <row r="245799" spans="1:1" x14ac:dyDescent="0.3">
      <c r="A245799" s="15" t="s">
        <v>189</v>
      </c>
    </row>
    <row r="245800" spans="1:1" x14ac:dyDescent="0.3">
      <c r="A245800" s="15" t="s">
        <v>190</v>
      </c>
    </row>
    <row r="245801" spans="1:1" x14ac:dyDescent="0.3">
      <c r="A245801" s="14" t="s">
        <v>47</v>
      </c>
    </row>
    <row r="245802" spans="1:1" x14ac:dyDescent="0.3">
      <c r="A245802" s="14" t="s">
        <v>118</v>
      </c>
    </row>
    <row r="245803" spans="1:1" x14ac:dyDescent="0.3">
      <c r="A245803" s="14" t="s">
        <v>85</v>
      </c>
    </row>
    <row r="245804" spans="1:1" x14ac:dyDescent="0.3">
      <c r="A245804" s="13" t="s">
        <v>21</v>
      </c>
    </row>
    <row r="245805" spans="1:1" x14ac:dyDescent="0.3">
      <c r="A245805" s="14" t="s">
        <v>91</v>
      </c>
    </row>
    <row r="245806" spans="1:1" x14ac:dyDescent="0.3">
      <c r="A245806" s="14" t="s">
        <v>92</v>
      </c>
    </row>
    <row r="245807" spans="1:1" x14ac:dyDescent="0.3">
      <c r="A245807" s="14" t="s">
        <v>98</v>
      </c>
    </row>
    <row r="245808" spans="1:1" x14ac:dyDescent="0.3">
      <c r="A245808" s="14" t="s">
        <v>99</v>
      </c>
    </row>
    <row r="245809" spans="1:1" x14ac:dyDescent="0.3">
      <c r="A245809" s="13" t="s">
        <v>24</v>
      </c>
    </row>
    <row r="245810" spans="1:1" x14ac:dyDescent="0.3">
      <c r="A245810" s="13" t="s">
        <v>82</v>
      </c>
    </row>
    <row r="245811" spans="1:1" x14ac:dyDescent="0.3">
      <c r="A245811" s="13" t="s">
        <v>105</v>
      </c>
    </row>
    <row r="245812" spans="1:1" x14ac:dyDescent="0.3">
      <c r="A245812" s="13" t="s">
        <v>100</v>
      </c>
    </row>
    <row r="245813" spans="1:1" x14ac:dyDescent="0.3">
      <c r="A245813" s="13" t="s">
        <v>101</v>
      </c>
    </row>
    <row r="245814" spans="1:1" x14ac:dyDescent="0.3">
      <c r="A245814" s="13" t="s">
        <v>102</v>
      </c>
    </row>
    <row r="245815" spans="1:1" x14ac:dyDescent="0.3">
      <c r="A245815" s="13" t="s">
        <v>103</v>
      </c>
    </row>
    <row r="245816" spans="1:1" x14ac:dyDescent="0.3">
      <c r="A245816" s="13" t="s">
        <v>104</v>
      </c>
    </row>
    <row r="262146" spans="1:1" x14ac:dyDescent="0.3">
      <c r="A262146" s="13" t="s">
        <v>0</v>
      </c>
    </row>
    <row r="262147" spans="1:1" x14ac:dyDescent="0.3">
      <c r="A262147" s="13" t="s">
        <v>124</v>
      </c>
    </row>
    <row r="262148" spans="1:1" x14ac:dyDescent="0.3">
      <c r="A262148" s="13" t="s">
        <v>1</v>
      </c>
    </row>
    <row r="262149" spans="1:1" x14ac:dyDescent="0.3">
      <c r="A262149" s="13" t="s">
        <v>2</v>
      </c>
    </row>
    <row r="262150" spans="1:1" x14ac:dyDescent="0.3">
      <c r="A262150" s="14" t="s">
        <v>25</v>
      </c>
    </row>
    <row r="262151" spans="1:1" x14ac:dyDescent="0.3">
      <c r="A262151" s="13" t="s">
        <v>125</v>
      </c>
    </row>
    <row r="262152" spans="1:1" x14ac:dyDescent="0.3">
      <c r="A262152" s="13" t="s">
        <v>126</v>
      </c>
    </row>
    <row r="262153" spans="1:1" x14ac:dyDescent="0.3">
      <c r="A262153" s="13" t="s">
        <v>87</v>
      </c>
    </row>
    <row r="262154" spans="1:1" x14ac:dyDescent="0.3">
      <c r="A262154" s="13" t="s">
        <v>22</v>
      </c>
    </row>
    <row r="262155" spans="1:1" x14ac:dyDescent="0.3">
      <c r="A262155" s="13" t="s">
        <v>3</v>
      </c>
    </row>
    <row r="262156" spans="1:1" x14ac:dyDescent="0.3">
      <c r="A262156" s="15" t="s">
        <v>94</v>
      </c>
    </row>
    <row r="262157" spans="1:1" x14ac:dyDescent="0.3">
      <c r="A262157" s="15" t="s">
        <v>93</v>
      </c>
    </row>
    <row r="262158" spans="1:1" x14ac:dyDescent="0.3">
      <c r="A262158" s="15" t="s">
        <v>4</v>
      </c>
    </row>
    <row r="262159" spans="1:1" x14ac:dyDescent="0.3">
      <c r="A262159" s="15" t="s">
        <v>117</v>
      </c>
    </row>
    <row r="262160" spans="1:1" x14ac:dyDescent="0.3">
      <c r="A262160" s="15" t="s">
        <v>5</v>
      </c>
    </row>
    <row r="262161" spans="1:1" x14ac:dyDescent="0.3">
      <c r="A262161" s="15" t="s">
        <v>6</v>
      </c>
    </row>
    <row r="262162" spans="1:1" x14ac:dyDescent="0.3">
      <c r="A262162" s="15" t="s">
        <v>7</v>
      </c>
    </row>
    <row r="262163" spans="1:1" x14ac:dyDescent="0.3">
      <c r="A262163" s="15" t="s">
        <v>8</v>
      </c>
    </row>
    <row r="262164" spans="1:1" x14ac:dyDescent="0.3">
      <c r="A262164" s="15" t="s">
        <v>9</v>
      </c>
    </row>
    <row r="262165" spans="1:1" x14ac:dyDescent="0.3">
      <c r="A262165" s="15" t="s">
        <v>10</v>
      </c>
    </row>
    <row r="262166" spans="1:1" x14ac:dyDescent="0.3">
      <c r="A262166" s="15" t="s">
        <v>11</v>
      </c>
    </row>
    <row r="262167" spans="1:1" x14ac:dyDescent="0.3">
      <c r="A262167" s="15" t="s">
        <v>12</v>
      </c>
    </row>
    <row r="262168" spans="1:1" x14ac:dyDescent="0.3">
      <c r="A262168" s="15" t="s">
        <v>13</v>
      </c>
    </row>
    <row r="262169" spans="1:1" x14ac:dyDescent="0.3">
      <c r="A262169" s="15" t="s">
        <v>14</v>
      </c>
    </row>
    <row r="262170" spans="1:1" x14ac:dyDescent="0.3">
      <c r="A262170" s="13" t="s">
        <v>31</v>
      </c>
    </row>
    <row r="262171" spans="1:1" x14ac:dyDescent="0.3">
      <c r="A262171" s="13" t="s">
        <v>86</v>
      </c>
    </row>
    <row r="262172" spans="1:1" x14ac:dyDescent="0.3">
      <c r="A262172" s="15" t="s">
        <v>30</v>
      </c>
    </row>
    <row r="262173" spans="1:1" x14ac:dyDescent="0.3">
      <c r="A262173" s="15" t="s">
        <v>26</v>
      </c>
    </row>
    <row r="262174" spans="1:1" x14ac:dyDescent="0.3">
      <c r="A262174" s="15" t="s">
        <v>27</v>
      </c>
    </row>
    <row r="262175" spans="1:1" x14ac:dyDescent="0.3">
      <c r="A262175" s="15" t="s">
        <v>28</v>
      </c>
    </row>
    <row r="262176" spans="1:1" x14ac:dyDescent="0.3">
      <c r="A262176" s="15" t="s">
        <v>88</v>
      </c>
    </row>
    <row r="262177" spans="1:1" x14ac:dyDescent="0.3">
      <c r="A262177" s="15" t="s">
        <v>89</v>
      </c>
    </row>
    <row r="262178" spans="1:1" x14ac:dyDescent="0.3">
      <c r="A262178" s="15" t="s">
        <v>184</v>
      </c>
    </row>
    <row r="262179" spans="1:1" x14ac:dyDescent="0.3">
      <c r="A262179" s="15" t="s">
        <v>185</v>
      </c>
    </row>
    <row r="262180" spans="1:1" x14ac:dyDescent="0.3">
      <c r="A262180" s="15" t="s">
        <v>186</v>
      </c>
    </row>
    <row r="262181" spans="1:1" x14ac:dyDescent="0.3">
      <c r="A262181" s="15" t="s">
        <v>187</v>
      </c>
    </row>
    <row r="262182" spans="1:1" x14ac:dyDescent="0.3">
      <c r="A262182" s="15" t="s">
        <v>188</v>
      </c>
    </row>
    <row r="262183" spans="1:1" x14ac:dyDescent="0.3">
      <c r="A262183" s="15" t="s">
        <v>189</v>
      </c>
    </row>
    <row r="262184" spans="1:1" x14ac:dyDescent="0.3">
      <c r="A262184" s="15" t="s">
        <v>190</v>
      </c>
    </row>
    <row r="262185" spans="1:1" x14ac:dyDescent="0.3">
      <c r="A262185" s="14" t="s">
        <v>47</v>
      </c>
    </row>
    <row r="262186" spans="1:1" x14ac:dyDescent="0.3">
      <c r="A262186" s="14" t="s">
        <v>118</v>
      </c>
    </row>
    <row r="262187" spans="1:1" x14ac:dyDescent="0.3">
      <c r="A262187" s="14" t="s">
        <v>85</v>
      </c>
    </row>
    <row r="262188" spans="1:1" x14ac:dyDescent="0.3">
      <c r="A262188" s="13" t="s">
        <v>21</v>
      </c>
    </row>
    <row r="262189" spans="1:1" x14ac:dyDescent="0.3">
      <c r="A262189" s="14" t="s">
        <v>91</v>
      </c>
    </row>
    <row r="262190" spans="1:1" x14ac:dyDescent="0.3">
      <c r="A262190" s="14" t="s">
        <v>92</v>
      </c>
    </row>
    <row r="262191" spans="1:1" x14ac:dyDescent="0.3">
      <c r="A262191" s="14" t="s">
        <v>98</v>
      </c>
    </row>
    <row r="262192" spans="1:1" x14ac:dyDescent="0.3">
      <c r="A262192" s="14" t="s">
        <v>99</v>
      </c>
    </row>
    <row r="262193" spans="1:1" x14ac:dyDescent="0.3">
      <c r="A262193" s="13" t="s">
        <v>24</v>
      </c>
    </row>
    <row r="262194" spans="1:1" x14ac:dyDescent="0.3">
      <c r="A262194" s="13" t="s">
        <v>82</v>
      </c>
    </row>
    <row r="262195" spans="1:1" x14ac:dyDescent="0.3">
      <c r="A262195" s="13" t="s">
        <v>105</v>
      </c>
    </row>
    <row r="262196" spans="1:1" x14ac:dyDescent="0.3">
      <c r="A262196" s="13" t="s">
        <v>100</v>
      </c>
    </row>
    <row r="262197" spans="1:1" x14ac:dyDescent="0.3">
      <c r="A262197" s="13" t="s">
        <v>101</v>
      </c>
    </row>
    <row r="262198" spans="1:1" x14ac:dyDescent="0.3">
      <c r="A262198" s="13" t="s">
        <v>102</v>
      </c>
    </row>
    <row r="262199" spans="1:1" x14ac:dyDescent="0.3">
      <c r="A262199" s="13" t="s">
        <v>103</v>
      </c>
    </row>
    <row r="262200" spans="1:1" x14ac:dyDescent="0.3">
      <c r="A262200" s="13" t="s">
        <v>104</v>
      </c>
    </row>
    <row r="278530" spans="1:1" x14ac:dyDescent="0.3">
      <c r="A278530" s="13" t="s">
        <v>0</v>
      </c>
    </row>
    <row r="278531" spans="1:1" x14ac:dyDescent="0.3">
      <c r="A278531" s="13" t="s">
        <v>124</v>
      </c>
    </row>
    <row r="278532" spans="1:1" x14ac:dyDescent="0.3">
      <c r="A278532" s="13" t="s">
        <v>1</v>
      </c>
    </row>
    <row r="278533" spans="1:1" x14ac:dyDescent="0.3">
      <c r="A278533" s="13" t="s">
        <v>2</v>
      </c>
    </row>
    <row r="278534" spans="1:1" x14ac:dyDescent="0.3">
      <c r="A278534" s="14" t="s">
        <v>25</v>
      </c>
    </row>
    <row r="278535" spans="1:1" x14ac:dyDescent="0.3">
      <c r="A278535" s="13" t="s">
        <v>125</v>
      </c>
    </row>
    <row r="278536" spans="1:1" x14ac:dyDescent="0.3">
      <c r="A278536" s="13" t="s">
        <v>126</v>
      </c>
    </row>
    <row r="278537" spans="1:1" x14ac:dyDescent="0.3">
      <c r="A278537" s="13" t="s">
        <v>87</v>
      </c>
    </row>
    <row r="278538" spans="1:1" x14ac:dyDescent="0.3">
      <c r="A278538" s="13" t="s">
        <v>22</v>
      </c>
    </row>
    <row r="278539" spans="1:1" x14ac:dyDescent="0.3">
      <c r="A278539" s="13" t="s">
        <v>3</v>
      </c>
    </row>
    <row r="278540" spans="1:1" x14ac:dyDescent="0.3">
      <c r="A278540" s="15" t="s">
        <v>94</v>
      </c>
    </row>
    <row r="278541" spans="1:1" x14ac:dyDescent="0.3">
      <c r="A278541" s="15" t="s">
        <v>93</v>
      </c>
    </row>
    <row r="278542" spans="1:1" x14ac:dyDescent="0.3">
      <c r="A278542" s="15" t="s">
        <v>4</v>
      </c>
    </row>
    <row r="278543" spans="1:1" x14ac:dyDescent="0.3">
      <c r="A278543" s="15" t="s">
        <v>117</v>
      </c>
    </row>
    <row r="278544" spans="1:1" x14ac:dyDescent="0.3">
      <c r="A278544" s="15" t="s">
        <v>5</v>
      </c>
    </row>
    <row r="278545" spans="1:1" x14ac:dyDescent="0.3">
      <c r="A278545" s="15" t="s">
        <v>6</v>
      </c>
    </row>
    <row r="278546" spans="1:1" x14ac:dyDescent="0.3">
      <c r="A278546" s="15" t="s">
        <v>7</v>
      </c>
    </row>
    <row r="278547" spans="1:1" x14ac:dyDescent="0.3">
      <c r="A278547" s="15" t="s">
        <v>8</v>
      </c>
    </row>
    <row r="278548" spans="1:1" x14ac:dyDescent="0.3">
      <c r="A278548" s="15" t="s">
        <v>9</v>
      </c>
    </row>
    <row r="278549" spans="1:1" x14ac:dyDescent="0.3">
      <c r="A278549" s="15" t="s">
        <v>10</v>
      </c>
    </row>
    <row r="278550" spans="1:1" x14ac:dyDescent="0.3">
      <c r="A278550" s="15" t="s">
        <v>11</v>
      </c>
    </row>
    <row r="278551" spans="1:1" x14ac:dyDescent="0.3">
      <c r="A278551" s="15" t="s">
        <v>12</v>
      </c>
    </row>
    <row r="278552" spans="1:1" x14ac:dyDescent="0.3">
      <c r="A278552" s="15" t="s">
        <v>13</v>
      </c>
    </row>
    <row r="278553" spans="1:1" x14ac:dyDescent="0.3">
      <c r="A278553" s="15" t="s">
        <v>14</v>
      </c>
    </row>
    <row r="278554" spans="1:1" x14ac:dyDescent="0.3">
      <c r="A278554" s="13" t="s">
        <v>31</v>
      </c>
    </row>
    <row r="278555" spans="1:1" x14ac:dyDescent="0.3">
      <c r="A278555" s="13" t="s">
        <v>86</v>
      </c>
    </row>
    <row r="278556" spans="1:1" x14ac:dyDescent="0.3">
      <c r="A278556" s="15" t="s">
        <v>30</v>
      </c>
    </row>
    <row r="278557" spans="1:1" x14ac:dyDescent="0.3">
      <c r="A278557" s="15" t="s">
        <v>26</v>
      </c>
    </row>
    <row r="278558" spans="1:1" x14ac:dyDescent="0.3">
      <c r="A278558" s="15" t="s">
        <v>27</v>
      </c>
    </row>
    <row r="278559" spans="1:1" x14ac:dyDescent="0.3">
      <c r="A278559" s="15" t="s">
        <v>28</v>
      </c>
    </row>
    <row r="278560" spans="1:1" x14ac:dyDescent="0.3">
      <c r="A278560" s="15" t="s">
        <v>88</v>
      </c>
    </row>
    <row r="278561" spans="1:1" x14ac:dyDescent="0.3">
      <c r="A278561" s="15" t="s">
        <v>89</v>
      </c>
    </row>
    <row r="278562" spans="1:1" x14ac:dyDescent="0.3">
      <c r="A278562" s="15" t="s">
        <v>184</v>
      </c>
    </row>
    <row r="278563" spans="1:1" x14ac:dyDescent="0.3">
      <c r="A278563" s="15" t="s">
        <v>185</v>
      </c>
    </row>
    <row r="278564" spans="1:1" x14ac:dyDescent="0.3">
      <c r="A278564" s="15" t="s">
        <v>186</v>
      </c>
    </row>
    <row r="278565" spans="1:1" x14ac:dyDescent="0.3">
      <c r="A278565" s="15" t="s">
        <v>187</v>
      </c>
    </row>
    <row r="278566" spans="1:1" x14ac:dyDescent="0.3">
      <c r="A278566" s="15" t="s">
        <v>188</v>
      </c>
    </row>
    <row r="278567" spans="1:1" x14ac:dyDescent="0.3">
      <c r="A278567" s="15" t="s">
        <v>189</v>
      </c>
    </row>
    <row r="278568" spans="1:1" x14ac:dyDescent="0.3">
      <c r="A278568" s="15" t="s">
        <v>190</v>
      </c>
    </row>
    <row r="278569" spans="1:1" x14ac:dyDescent="0.3">
      <c r="A278569" s="14" t="s">
        <v>47</v>
      </c>
    </row>
    <row r="278570" spans="1:1" x14ac:dyDescent="0.3">
      <c r="A278570" s="14" t="s">
        <v>118</v>
      </c>
    </row>
    <row r="278571" spans="1:1" x14ac:dyDescent="0.3">
      <c r="A278571" s="14" t="s">
        <v>85</v>
      </c>
    </row>
    <row r="278572" spans="1:1" x14ac:dyDescent="0.3">
      <c r="A278572" s="13" t="s">
        <v>21</v>
      </c>
    </row>
    <row r="278573" spans="1:1" x14ac:dyDescent="0.3">
      <c r="A278573" s="14" t="s">
        <v>91</v>
      </c>
    </row>
    <row r="278574" spans="1:1" x14ac:dyDescent="0.3">
      <c r="A278574" s="14" t="s">
        <v>92</v>
      </c>
    </row>
    <row r="278575" spans="1:1" x14ac:dyDescent="0.3">
      <c r="A278575" s="14" t="s">
        <v>98</v>
      </c>
    </row>
    <row r="278576" spans="1:1" x14ac:dyDescent="0.3">
      <c r="A278576" s="14" t="s">
        <v>99</v>
      </c>
    </row>
    <row r="278577" spans="1:1" x14ac:dyDescent="0.3">
      <c r="A278577" s="13" t="s">
        <v>24</v>
      </c>
    </row>
    <row r="278578" spans="1:1" x14ac:dyDescent="0.3">
      <c r="A278578" s="13" t="s">
        <v>82</v>
      </c>
    </row>
    <row r="278579" spans="1:1" x14ac:dyDescent="0.3">
      <c r="A278579" s="13" t="s">
        <v>105</v>
      </c>
    </row>
    <row r="278580" spans="1:1" x14ac:dyDescent="0.3">
      <c r="A278580" s="13" t="s">
        <v>100</v>
      </c>
    </row>
    <row r="278581" spans="1:1" x14ac:dyDescent="0.3">
      <c r="A278581" s="13" t="s">
        <v>101</v>
      </c>
    </row>
    <row r="278582" spans="1:1" x14ac:dyDescent="0.3">
      <c r="A278582" s="13" t="s">
        <v>102</v>
      </c>
    </row>
    <row r="278583" spans="1:1" x14ac:dyDescent="0.3">
      <c r="A278583" s="13" t="s">
        <v>103</v>
      </c>
    </row>
    <row r="278584" spans="1:1" x14ac:dyDescent="0.3">
      <c r="A278584" s="13" t="s">
        <v>104</v>
      </c>
    </row>
    <row r="294914" spans="1:1" x14ac:dyDescent="0.3">
      <c r="A294914" s="13" t="s">
        <v>0</v>
      </c>
    </row>
    <row r="294915" spans="1:1" x14ac:dyDescent="0.3">
      <c r="A294915" s="13" t="s">
        <v>124</v>
      </c>
    </row>
    <row r="294916" spans="1:1" x14ac:dyDescent="0.3">
      <c r="A294916" s="13" t="s">
        <v>1</v>
      </c>
    </row>
    <row r="294917" spans="1:1" x14ac:dyDescent="0.3">
      <c r="A294917" s="13" t="s">
        <v>2</v>
      </c>
    </row>
    <row r="294918" spans="1:1" x14ac:dyDescent="0.3">
      <c r="A294918" s="14" t="s">
        <v>25</v>
      </c>
    </row>
    <row r="294919" spans="1:1" x14ac:dyDescent="0.3">
      <c r="A294919" s="13" t="s">
        <v>125</v>
      </c>
    </row>
    <row r="294920" spans="1:1" x14ac:dyDescent="0.3">
      <c r="A294920" s="13" t="s">
        <v>126</v>
      </c>
    </row>
    <row r="294921" spans="1:1" x14ac:dyDescent="0.3">
      <c r="A294921" s="13" t="s">
        <v>87</v>
      </c>
    </row>
    <row r="294922" spans="1:1" x14ac:dyDescent="0.3">
      <c r="A294922" s="13" t="s">
        <v>22</v>
      </c>
    </row>
    <row r="294923" spans="1:1" x14ac:dyDescent="0.3">
      <c r="A294923" s="13" t="s">
        <v>3</v>
      </c>
    </row>
    <row r="294924" spans="1:1" x14ac:dyDescent="0.3">
      <c r="A294924" s="15" t="s">
        <v>94</v>
      </c>
    </row>
    <row r="294925" spans="1:1" x14ac:dyDescent="0.3">
      <c r="A294925" s="15" t="s">
        <v>93</v>
      </c>
    </row>
    <row r="294926" spans="1:1" x14ac:dyDescent="0.3">
      <c r="A294926" s="15" t="s">
        <v>4</v>
      </c>
    </row>
    <row r="294927" spans="1:1" x14ac:dyDescent="0.3">
      <c r="A294927" s="15" t="s">
        <v>117</v>
      </c>
    </row>
    <row r="294928" spans="1:1" x14ac:dyDescent="0.3">
      <c r="A294928" s="15" t="s">
        <v>5</v>
      </c>
    </row>
    <row r="294929" spans="1:1" x14ac:dyDescent="0.3">
      <c r="A294929" s="15" t="s">
        <v>6</v>
      </c>
    </row>
    <row r="294930" spans="1:1" x14ac:dyDescent="0.3">
      <c r="A294930" s="15" t="s">
        <v>7</v>
      </c>
    </row>
    <row r="294931" spans="1:1" x14ac:dyDescent="0.3">
      <c r="A294931" s="15" t="s">
        <v>8</v>
      </c>
    </row>
    <row r="294932" spans="1:1" x14ac:dyDescent="0.3">
      <c r="A294932" s="15" t="s">
        <v>9</v>
      </c>
    </row>
    <row r="294933" spans="1:1" x14ac:dyDescent="0.3">
      <c r="A294933" s="15" t="s">
        <v>10</v>
      </c>
    </row>
    <row r="294934" spans="1:1" x14ac:dyDescent="0.3">
      <c r="A294934" s="15" t="s">
        <v>11</v>
      </c>
    </row>
    <row r="294935" spans="1:1" x14ac:dyDescent="0.3">
      <c r="A294935" s="15" t="s">
        <v>12</v>
      </c>
    </row>
    <row r="294936" spans="1:1" x14ac:dyDescent="0.3">
      <c r="A294936" s="15" t="s">
        <v>13</v>
      </c>
    </row>
    <row r="294937" spans="1:1" x14ac:dyDescent="0.3">
      <c r="A294937" s="15" t="s">
        <v>14</v>
      </c>
    </row>
    <row r="294938" spans="1:1" x14ac:dyDescent="0.3">
      <c r="A294938" s="13" t="s">
        <v>31</v>
      </c>
    </row>
    <row r="294939" spans="1:1" x14ac:dyDescent="0.3">
      <c r="A294939" s="13" t="s">
        <v>86</v>
      </c>
    </row>
    <row r="294940" spans="1:1" x14ac:dyDescent="0.3">
      <c r="A294940" s="15" t="s">
        <v>30</v>
      </c>
    </row>
    <row r="294941" spans="1:1" x14ac:dyDescent="0.3">
      <c r="A294941" s="15" t="s">
        <v>26</v>
      </c>
    </row>
    <row r="294942" spans="1:1" x14ac:dyDescent="0.3">
      <c r="A294942" s="15" t="s">
        <v>27</v>
      </c>
    </row>
    <row r="294943" spans="1:1" x14ac:dyDescent="0.3">
      <c r="A294943" s="15" t="s">
        <v>28</v>
      </c>
    </row>
    <row r="294944" spans="1:1" x14ac:dyDescent="0.3">
      <c r="A294944" s="15" t="s">
        <v>88</v>
      </c>
    </row>
    <row r="294945" spans="1:1" x14ac:dyDescent="0.3">
      <c r="A294945" s="15" t="s">
        <v>89</v>
      </c>
    </row>
    <row r="294946" spans="1:1" x14ac:dyDescent="0.3">
      <c r="A294946" s="15" t="s">
        <v>184</v>
      </c>
    </row>
    <row r="294947" spans="1:1" x14ac:dyDescent="0.3">
      <c r="A294947" s="15" t="s">
        <v>185</v>
      </c>
    </row>
    <row r="294948" spans="1:1" x14ac:dyDescent="0.3">
      <c r="A294948" s="15" t="s">
        <v>186</v>
      </c>
    </row>
    <row r="294949" spans="1:1" x14ac:dyDescent="0.3">
      <c r="A294949" s="15" t="s">
        <v>187</v>
      </c>
    </row>
    <row r="294950" spans="1:1" x14ac:dyDescent="0.3">
      <c r="A294950" s="15" t="s">
        <v>188</v>
      </c>
    </row>
    <row r="294951" spans="1:1" x14ac:dyDescent="0.3">
      <c r="A294951" s="15" t="s">
        <v>189</v>
      </c>
    </row>
    <row r="294952" spans="1:1" x14ac:dyDescent="0.3">
      <c r="A294952" s="15" t="s">
        <v>190</v>
      </c>
    </row>
    <row r="294953" spans="1:1" x14ac:dyDescent="0.3">
      <c r="A294953" s="14" t="s">
        <v>47</v>
      </c>
    </row>
    <row r="294954" spans="1:1" x14ac:dyDescent="0.3">
      <c r="A294954" s="14" t="s">
        <v>118</v>
      </c>
    </row>
    <row r="294955" spans="1:1" x14ac:dyDescent="0.3">
      <c r="A294955" s="14" t="s">
        <v>85</v>
      </c>
    </row>
    <row r="294956" spans="1:1" x14ac:dyDescent="0.3">
      <c r="A294956" s="13" t="s">
        <v>21</v>
      </c>
    </row>
    <row r="294957" spans="1:1" x14ac:dyDescent="0.3">
      <c r="A294957" s="14" t="s">
        <v>91</v>
      </c>
    </row>
    <row r="294958" spans="1:1" x14ac:dyDescent="0.3">
      <c r="A294958" s="14" t="s">
        <v>92</v>
      </c>
    </row>
    <row r="294959" spans="1:1" x14ac:dyDescent="0.3">
      <c r="A294959" s="14" t="s">
        <v>98</v>
      </c>
    </row>
    <row r="294960" spans="1:1" x14ac:dyDescent="0.3">
      <c r="A294960" s="14" t="s">
        <v>99</v>
      </c>
    </row>
    <row r="294961" spans="1:1" x14ac:dyDescent="0.3">
      <c r="A294961" s="13" t="s">
        <v>24</v>
      </c>
    </row>
    <row r="294962" spans="1:1" x14ac:dyDescent="0.3">
      <c r="A294962" s="13" t="s">
        <v>82</v>
      </c>
    </row>
    <row r="294963" spans="1:1" x14ac:dyDescent="0.3">
      <c r="A294963" s="13" t="s">
        <v>105</v>
      </c>
    </row>
    <row r="294964" spans="1:1" x14ac:dyDescent="0.3">
      <c r="A294964" s="13" t="s">
        <v>100</v>
      </c>
    </row>
    <row r="294965" spans="1:1" x14ac:dyDescent="0.3">
      <c r="A294965" s="13" t="s">
        <v>101</v>
      </c>
    </row>
    <row r="294966" spans="1:1" x14ac:dyDescent="0.3">
      <c r="A294966" s="13" t="s">
        <v>102</v>
      </c>
    </row>
    <row r="294967" spans="1:1" x14ac:dyDescent="0.3">
      <c r="A294967" s="13" t="s">
        <v>103</v>
      </c>
    </row>
    <row r="294968" spans="1:1" x14ac:dyDescent="0.3">
      <c r="A294968" s="13" t="s">
        <v>104</v>
      </c>
    </row>
    <row r="311298" spans="1:1" x14ac:dyDescent="0.3">
      <c r="A311298" s="13" t="s">
        <v>0</v>
      </c>
    </row>
    <row r="311299" spans="1:1" x14ac:dyDescent="0.3">
      <c r="A311299" s="13" t="s">
        <v>124</v>
      </c>
    </row>
    <row r="311300" spans="1:1" x14ac:dyDescent="0.3">
      <c r="A311300" s="13" t="s">
        <v>1</v>
      </c>
    </row>
    <row r="311301" spans="1:1" x14ac:dyDescent="0.3">
      <c r="A311301" s="13" t="s">
        <v>2</v>
      </c>
    </row>
    <row r="311302" spans="1:1" x14ac:dyDescent="0.3">
      <c r="A311302" s="14" t="s">
        <v>25</v>
      </c>
    </row>
    <row r="311303" spans="1:1" x14ac:dyDescent="0.3">
      <c r="A311303" s="13" t="s">
        <v>125</v>
      </c>
    </row>
    <row r="311304" spans="1:1" x14ac:dyDescent="0.3">
      <c r="A311304" s="13" t="s">
        <v>126</v>
      </c>
    </row>
    <row r="311305" spans="1:1" x14ac:dyDescent="0.3">
      <c r="A311305" s="13" t="s">
        <v>87</v>
      </c>
    </row>
    <row r="311306" spans="1:1" x14ac:dyDescent="0.3">
      <c r="A311306" s="13" t="s">
        <v>22</v>
      </c>
    </row>
    <row r="311307" spans="1:1" x14ac:dyDescent="0.3">
      <c r="A311307" s="13" t="s">
        <v>3</v>
      </c>
    </row>
    <row r="311308" spans="1:1" x14ac:dyDescent="0.3">
      <c r="A311308" s="15" t="s">
        <v>94</v>
      </c>
    </row>
    <row r="311309" spans="1:1" x14ac:dyDescent="0.3">
      <c r="A311309" s="15" t="s">
        <v>93</v>
      </c>
    </row>
    <row r="311310" spans="1:1" x14ac:dyDescent="0.3">
      <c r="A311310" s="15" t="s">
        <v>4</v>
      </c>
    </row>
    <row r="311311" spans="1:1" x14ac:dyDescent="0.3">
      <c r="A311311" s="15" t="s">
        <v>117</v>
      </c>
    </row>
    <row r="311312" spans="1:1" x14ac:dyDescent="0.3">
      <c r="A311312" s="15" t="s">
        <v>5</v>
      </c>
    </row>
    <row r="311313" spans="1:1" x14ac:dyDescent="0.3">
      <c r="A311313" s="15" t="s">
        <v>6</v>
      </c>
    </row>
    <row r="311314" spans="1:1" x14ac:dyDescent="0.3">
      <c r="A311314" s="15" t="s">
        <v>7</v>
      </c>
    </row>
    <row r="311315" spans="1:1" x14ac:dyDescent="0.3">
      <c r="A311315" s="15" t="s">
        <v>8</v>
      </c>
    </row>
    <row r="311316" spans="1:1" x14ac:dyDescent="0.3">
      <c r="A311316" s="15" t="s">
        <v>9</v>
      </c>
    </row>
    <row r="311317" spans="1:1" x14ac:dyDescent="0.3">
      <c r="A311317" s="15" t="s">
        <v>10</v>
      </c>
    </row>
    <row r="311318" spans="1:1" x14ac:dyDescent="0.3">
      <c r="A311318" s="15" t="s">
        <v>11</v>
      </c>
    </row>
    <row r="311319" spans="1:1" x14ac:dyDescent="0.3">
      <c r="A311319" s="15" t="s">
        <v>12</v>
      </c>
    </row>
    <row r="311320" spans="1:1" x14ac:dyDescent="0.3">
      <c r="A311320" s="15" t="s">
        <v>13</v>
      </c>
    </row>
    <row r="311321" spans="1:1" x14ac:dyDescent="0.3">
      <c r="A311321" s="15" t="s">
        <v>14</v>
      </c>
    </row>
    <row r="311322" spans="1:1" x14ac:dyDescent="0.3">
      <c r="A311322" s="13" t="s">
        <v>31</v>
      </c>
    </row>
    <row r="311323" spans="1:1" x14ac:dyDescent="0.3">
      <c r="A311323" s="13" t="s">
        <v>86</v>
      </c>
    </row>
    <row r="311324" spans="1:1" x14ac:dyDescent="0.3">
      <c r="A311324" s="15" t="s">
        <v>30</v>
      </c>
    </row>
    <row r="311325" spans="1:1" x14ac:dyDescent="0.3">
      <c r="A311325" s="15" t="s">
        <v>26</v>
      </c>
    </row>
    <row r="311326" spans="1:1" x14ac:dyDescent="0.3">
      <c r="A311326" s="15" t="s">
        <v>27</v>
      </c>
    </row>
    <row r="311327" spans="1:1" x14ac:dyDescent="0.3">
      <c r="A311327" s="15" t="s">
        <v>28</v>
      </c>
    </row>
    <row r="311328" spans="1:1" x14ac:dyDescent="0.3">
      <c r="A311328" s="15" t="s">
        <v>88</v>
      </c>
    </row>
    <row r="311329" spans="1:1" x14ac:dyDescent="0.3">
      <c r="A311329" s="15" t="s">
        <v>89</v>
      </c>
    </row>
    <row r="311330" spans="1:1" x14ac:dyDescent="0.3">
      <c r="A311330" s="15" t="s">
        <v>184</v>
      </c>
    </row>
    <row r="311331" spans="1:1" x14ac:dyDescent="0.3">
      <c r="A311331" s="15" t="s">
        <v>185</v>
      </c>
    </row>
    <row r="311332" spans="1:1" x14ac:dyDescent="0.3">
      <c r="A311332" s="15" t="s">
        <v>186</v>
      </c>
    </row>
    <row r="311333" spans="1:1" x14ac:dyDescent="0.3">
      <c r="A311333" s="15" t="s">
        <v>187</v>
      </c>
    </row>
    <row r="311334" spans="1:1" x14ac:dyDescent="0.3">
      <c r="A311334" s="15" t="s">
        <v>188</v>
      </c>
    </row>
    <row r="311335" spans="1:1" x14ac:dyDescent="0.3">
      <c r="A311335" s="15" t="s">
        <v>189</v>
      </c>
    </row>
    <row r="311336" spans="1:1" x14ac:dyDescent="0.3">
      <c r="A311336" s="15" t="s">
        <v>190</v>
      </c>
    </row>
    <row r="311337" spans="1:1" x14ac:dyDescent="0.3">
      <c r="A311337" s="14" t="s">
        <v>47</v>
      </c>
    </row>
    <row r="311338" spans="1:1" x14ac:dyDescent="0.3">
      <c r="A311338" s="14" t="s">
        <v>118</v>
      </c>
    </row>
    <row r="311339" spans="1:1" x14ac:dyDescent="0.3">
      <c r="A311339" s="14" t="s">
        <v>85</v>
      </c>
    </row>
    <row r="311340" spans="1:1" x14ac:dyDescent="0.3">
      <c r="A311340" s="13" t="s">
        <v>21</v>
      </c>
    </row>
    <row r="311341" spans="1:1" x14ac:dyDescent="0.3">
      <c r="A311341" s="14" t="s">
        <v>91</v>
      </c>
    </row>
    <row r="311342" spans="1:1" x14ac:dyDescent="0.3">
      <c r="A311342" s="14" t="s">
        <v>92</v>
      </c>
    </row>
    <row r="311343" spans="1:1" x14ac:dyDescent="0.3">
      <c r="A311343" s="14" t="s">
        <v>98</v>
      </c>
    </row>
    <row r="311344" spans="1:1" x14ac:dyDescent="0.3">
      <c r="A311344" s="14" t="s">
        <v>99</v>
      </c>
    </row>
    <row r="311345" spans="1:1" x14ac:dyDescent="0.3">
      <c r="A311345" s="13" t="s">
        <v>24</v>
      </c>
    </row>
    <row r="311346" spans="1:1" x14ac:dyDescent="0.3">
      <c r="A311346" s="13" t="s">
        <v>82</v>
      </c>
    </row>
    <row r="311347" spans="1:1" x14ac:dyDescent="0.3">
      <c r="A311347" s="13" t="s">
        <v>105</v>
      </c>
    </row>
    <row r="311348" spans="1:1" x14ac:dyDescent="0.3">
      <c r="A311348" s="13" t="s">
        <v>100</v>
      </c>
    </row>
    <row r="311349" spans="1:1" x14ac:dyDescent="0.3">
      <c r="A311349" s="13" t="s">
        <v>101</v>
      </c>
    </row>
    <row r="311350" spans="1:1" x14ac:dyDescent="0.3">
      <c r="A311350" s="13" t="s">
        <v>102</v>
      </c>
    </row>
    <row r="311351" spans="1:1" x14ac:dyDescent="0.3">
      <c r="A311351" s="13" t="s">
        <v>103</v>
      </c>
    </row>
    <row r="311352" spans="1:1" x14ac:dyDescent="0.3">
      <c r="A311352" s="13" t="s">
        <v>104</v>
      </c>
    </row>
    <row r="327682" spans="1:1" x14ac:dyDescent="0.3">
      <c r="A327682" s="13" t="s">
        <v>0</v>
      </c>
    </row>
    <row r="327683" spans="1:1" x14ac:dyDescent="0.3">
      <c r="A327683" s="13" t="s">
        <v>124</v>
      </c>
    </row>
    <row r="327684" spans="1:1" x14ac:dyDescent="0.3">
      <c r="A327684" s="13" t="s">
        <v>1</v>
      </c>
    </row>
    <row r="327685" spans="1:1" x14ac:dyDescent="0.3">
      <c r="A327685" s="13" t="s">
        <v>2</v>
      </c>
    </row>
    <row r="327686" spans="1:1" x14ac:dyDescent="0.3">
      <c r="A327686" s="14" t="s">
        <v>25</v>
      </c>
    </row>
    <row r="327687" spans="1:1" x14ac:dyDescent="0.3">
      <c r="A327687" s="13" t="s">
        <v>125</v>
      </c>
    </row>
    <row r="327688" spans="1:1" x14ac:dyDescent="0.3">
      <c r="A327688" s="13" t="s">
        <v>126</v>
      </c>
    </row>
    <row r="327689" spans="1:1" x14ac:dyDescent="0.3">
      <c r="A327689" s="13" t="s">
        <v>87</v>
      </c>
    </row>
    <row r="327690" spans="1:1" x14ac:dyDescent="0.3">
      <c r="A327690" s="13" t="s">
        <v>22</v>
      </c>
    </row>
    <row r="327691" spans="1:1" x14ac:dyDescent="0.3">
      <c r="A327691" s="13" t="s">
        <v>3</v>
      </c>
    </row>
    <row r="327692" spans="1:1" x14ac:dyDescent="0.3">
      <c r="A327692" s="15" t="s">
        <v>94</v>
      </c>
    </row>
    <row r="327693" spans="1:1" x14ac:dyDescent="0.3">
      <c r="A327693" s="15" t="s">
        <v>93</v>
      </c>
    </row>
    <row r="327694" spans="1:1" x14ac:dyDescent="0.3">
      <c r="A327694" s="15" t="s">
        <v>4</v>
      </c>
    </row>
    <row r="327695" spans="1:1" x14ac:dyDescent="0.3">
      <c r="A327695" s="15" t="s">
        <v>117</v>
      </c>
    </row>
    <row r="327696" spans="1:1" x14ac:dyDescent="0.3">
      <c r="A327696" s="15" t="s">
        <v>5</v>
      </c>
    </row>
    <row r="327697" spans="1:1" x14ac:dyDescent="0.3">
      <c r="A327697" s="15" t="s">
        <v>6</v>
      </c>
    </row>
    <row r="327698" spans="1:1" x14ac:dyDescent="0.3">
      <c r="A327698" s="15" t="s">
        <v>7</v>
      </c>
    </row>
    <row r="327699" spans="1:1" x14ac:dyDescent="0.3">
      <c r="A327699" s="15" t="s">
        <v>8</v>
      </c>
    </row>
    <row r="327700" spans="1:1" x14ac:dyDescent="0.3">
      <c r="A327700" s="15" t="s">
        <v>9</v>
      </c>
    </row>
    <row r="327701" spans="1:1" x14ac:dyDescent="0.3">
      <c r="A327701" s="15" t="s">
        <v>10</v>
      </c>
    </row>
    <row r="327702" spans="1:1" x14ac:dyDescent="0.3">
      <c r="A327702" s="15" t="s">
        <v>11</v>
      </c>
    </row>
    <row r="327703" spans="1:1" x14ac:dyDescent="0.3">
      <c r="A327703" s="15" t="s">
        <v>12</v>
      </c>
    </row>
    <row r="327704" spans="1:1" x14ac:dyDescent="0.3">
      <c r="A327704" s="15" t="s">
        <v>13</v>
      </c>
    </row>
    <row r="327705" spans="1:1" x14ac:dyDescent="0.3">
      <c r="A327705" s="15" t="s">
        <v>14</v>
      </c>
    </row>
    <row r="327706" spans="1:1" x14ac:dyDescent="0.3">
      <c r="A327706" s="13" t="s">
        <v>31</v>
      </c>
    </row>
    <row r="327707" spans="1:1" x14ac:dyDescent="0.3">
      <c r="A327707" s="13" t="s">
        <v>86</v>
      </c>
    </row>
    <row r="327708" spans="1:1" x14ac:dyDescent="0.3">
      <c r="A327708" s="15" t="s">
        <v>30</v>
      </c>
    </row>
    <row r="327709" spans="1:1" x14ac:dyDescent="0.3">
      <c r="A327709" s="15" t="s">
        <v>26</v>
      </c>
    </row>
    <row r="327710" spans="1:1" x14ac:dyDescent="0.3">
      <c r="A327710" s="15" t="s">
        <v>27</v>
      </c>
    </row>
    <row r="327711" spans="1:1" x14ac:dyDescent="0.3">
      <c r="A327711" s="15" t="s">
        <v>28</v>
      </c>
    </row>
    <row r="327712" spans="1:1" x14ac:dyDescent="0.3">
      <c r="A327712" s="15" t="s">
        <v>88</v>
      </c>
    </row>
    <row r="327713" spans="1:1" x14ac:dyDescent="0.3">
      <c r="A327713" s="15" t="s">
        <v>89</v>
      </c>
    </row>
    <row r="327714" spans="1:1" x14ac:dyDescent="0.3">
      <c r="A327714" s="15" t="s">
        <v>184</v>
      </c>
    </row>
    <row r="327715" spans="1:1" x14ac:dyDescent="0.3">
      <c r="A327715" s="15" t="s">
        <v>185</v>
      </c>
    </row>
    <row r="327716" spans="1:1" x14ac:dyDescent="0.3">
      <c r="A327716" s="15" t="s">
        <v>186</v>
      </c>
    </row>
    <row r="327717" spans="1:1" x14ac:dyDescent="0.3">
      <c r="A327717" s="15" t="s">
        <v>187</v>
      </c>
    </row>
    <row r="327718" spans="1:1" x14ac:dyDescent="0.3">
      <c r="A327718" s="15" t="s">
        <v>188</v>
      </c>
    </row>
    <row r="327719" spans="1:1" x14ac:dyDescent="0.3">
      <c r="A327719" s="15" t="s">
        <v>189</v>
      </c>
    </row>
    <row r="327720" spans="1:1" x14ac:dyDescent="0.3">
      <c r="A327720" s="15" t="s">
        <v>190</v>
      </c>
    </row>
    <row r="327721" spans="1:1" x14ac:dyDescent="0.3">
      <c r="A327721" s="14" t="s">
        <v>47</v>
      </c>
    </row>
    <row r="327722" spans="1:1" x14ac:dyDescent="0.3">
      <c r="A327722" s="14" t="s">
        <v>118</v>
      </c>
    </row>
    <row r="327723" spans="1:1" x14ac:dyDescent="0.3">
      <c r="A327723" s="14" t="s">
        <v>85</v>
      </c>
    </row>
    <row r="327724" spans="1:1" x14ac:dyDescent="0.3">
      <c r="A327724" s="13" t="s">
        <v>21</v>
      </c>
    </row>
    <row r="327725" spans="1:1" x14ac:dyDescent="0.3">
      <c r="A327725" s="14" t="s">
        <v>91</v>
      </c>
    </row>
    <row r="327726" spans="1:1" x14ac:dyDescent="0.3">
      <c r="A327726" s="14" t="s">
        <v>92</v>
      </c>
    </row>
    <row r="327727" spans="1:1" x14ac:dyDescent="0.3">
      <c r="A327727" s="14" t="s">
        <v>98</v>
      </c>
    </row>
    <row r="327728" spans="1:1" x14ac:dyDescent="0.3">
      <c r="A327728" s="14" t="s">
        <v>99</v>
      </c>
    </row>
    <row r="327729" spans="1:1" x14ac:dyDescent="0.3">
      <c r="A327729" s="13" t="s">
        <v>24</v>
      </c>
    </row>
    <row r="327730" spans="1:1" x14ac:dyDescent="0.3">
      <c r="A327730" s="13" t="s">
        <v>82</v>
      </c>
    </row>
    <row r="327731" spans="1:1" x14ac:dyDescent="0.3">
      <c r="A327731" s="13" t="s">
        <v>105</v>
      </c>
    </row>
    <row r="327732" spans="1:1" x14ac:dyDescent="0.3">
      <c r="A327732" s="13" t="s">
        <v>100</v>
      </c>
    </row>
    <row r="327733" spans="1:1" x14ac:dyDescent="0.3">
      <c r="A327733" s="13" t="s">
        <v>101</v>
      </c>
    </row>
    <row r="327734" spans="1:1" x14ac:dyDescent="0.3">
      <c r="A327734" s="13" t="s">
        <v>102</v>
      </c>
    </row>
    <row r="327735" spans="1:1" x14ac:dyDescent="0.3">
      <c r="A327735" s="13" t="s">
        <v>103</v>
      </c>
    </row>
    <row r="327736" spans="1:1" x14ac:dyDescent="0.3">
      <c r="A327736" s="13" t="s">
        <v>104</v>
      </c>
    </row>
    <row r="344066" spans="1:1" x14ac:dyDescent="0.3">
      <c r="A344066" s="13" t="s">
        <v>0</v>
      </c>
    </row>
    <row r="344067" spans="1:1" x14ac:dyDescent="0.3">
      <c r="A344067" s="13" t="s">
        <v>124</v>
      </c>
    </row>
    <row r="344068" spans="1:1" x14ac:dyDescent="0.3">
      <c r="A344068" s="13" t="s">
        <v>1</v>
      </c>
    </row>
    <row r="344069" spans="1:1" x14ac:dyDescent="0.3">
      <c r="A344069" s="13" t="s">
        <v>2</v>
      </c>
    </row>
    <row r="344070" spans="1:1" x14ac:dyDescent="0.3">
      <c r="A344070" s="14" t="s">
        <v>25</v>
      </c>
    </row>
    <row r="344071" spans="1:1" x14ac:dyDescent="0.3">
      <c r="A344071" s="13" t="s">
        <v>125</v>
      </c>
    </row>
    <row r="344072" spans="1:1" x14ac:dyDescent="0.3">
      <c r="A344072" s="13" t="s">
        <v>126</v>
      </c>
    </row>
    <row r="344073" spans="1:1" x14ac:dyDescent="0.3">
      <c r="A344073" s="13" t="s">
        <v>87</v>
      </c>
    </row>
    <row r="344074" spans="1:1" x14ac:dyDescent="0.3">
      <c r="A344074" s="13" t="s">
        <v>22</v>
      </c>
    </row>
    <row r="344075" spans="1:1" x14ac:dyDescent="0.3">
      <c r="A344075" s="13" t="s">
        <v>3</v>
      </c>
    </row>
    <row r="344076" spans="1:1" x14ac:dyDescent="0.3">
      <c r="A344076" s="15" t="s">
        <v>94</v>
      </c>
    </row>
    <row r="344077" spans="1:1" x14ac:dyDescent="0.3">
      <c r="A344077" s="15" t="s">
        <v>93</v>
      </c>
    </row>
    <row r="344078" spans="1:1" x14ac:dyDescent="0.3">
      <c r="A344078" s="15" t="s">
        <v>4</v>
      </c>
    </row>
    <row r="344079" spans="1:1" x14ac:dyDescent="0.3">
      <c r="A344079" s="15" t="s">
        <v>117</v>
      </c>
    </row>
    <row r="344080" spans="1:1" x14ac:dyDescent="0.3">
      <c r="A344080" s="15" t="s">
        <v>5</v>
      </c>
    </row>
    <row r="344081" spans="1:1" x14ac:dyDescent="0.3">
      <c r="A344081" s="15" t="s">
        <v>6</v>
      </c>
    </row>
    <row r="344082" spans="1:1" x14ac:dyDescent="0.3">
      <c r="A344082" s="15" t="s">
        <v>7</v>
      </c>
    </row>
    <row r="344083" spans="1:1" x14ac:dyDescent="0.3">
      <c r="A344083" s="15" t="s">
        <v>8</v>
      </c>
    </row>
    <row r="344084" spans="1:1" x14ac:dyDescent="0.3">
      <c r="A344084" s="15" t="s">
        <v>9</v>
      </c>
    </row>
    <row r="344085" spans="1:1" x14ac:dyDescent="0.3">
      <c r="A344085" s="15" t="s">
        <v>10</v>
      </c>
    </row>
    <row r="344086" spans="1:1" x14ac:dyDescent="0.3">
      <c r="A344086" s="15" t="s">
        <v>11</v>
      </c>
    </row>
    <row r="344087" spans="1:1" x14ac:dyDescent="0.3">
      <c r="A344087" s="15" t="s">
        <v>12</v>
      </c>
    </row>
    <row r="344088" spans="1:1" x14ac:dyDescent="0.3">
      <c r="A344088" s="15" t="s">
        <v>13</v>
      </c>
    </row>
    <row r="344089" spans="1:1" x14ac:dyDescent="0.3">
      <c r="A344089" s="15" t="s">
        <v>14</v>
      </c>
    </row>
    <row r="344090" spans="1:1" x14ac:dyDescent="0.3">
      <c r="A344090" s="13" t="s">
        <v>31</v>
      </c>
    </row>
    <row r="344091" spans="1:1" x14ac:dyDescent="0.3">
      <c r="A344091" s="13" t="s">
        <v>86</v>
      </c>
    </row>
    <row r="344092" spans="1:1" x14ac:dyDescent="0.3">
      <c r="A344092" s="15" t="s">
        <v>30</v>
      </c>
    </row>
    <row r="344093" spans="1:1" x14ac:dyDescent="0.3">
      <c r="A344093" s="15" t="s">
        <v>26</v>
      </c>
    </row>
    <row r="344094" spans="1:1" x14ac:dyDescent="0.3">
      <c r="A344094" s="15" t="s">
        <v>27</v>
      </c>
    </row>
    <row r="344095" spans="1:1" x14ac:dyDescent="0.3">
      <c r="A344095" s="15" t="s">
        <v>28</v>
      </c>
    </row>
    <row r="344096" spans="1:1" x14ac:dyDescent="0.3">
      <c r="A344096" s="15" t="s">
        <v>88</v>
      </c>
    </row>
    <row r="344097" spans="1:1" x14ac:dyDescent="0.3">
      <c r="A344097" s="15" t="s">
        <v>89</v>
      </c>
    </row>
    <row r="344098" spans="1:1" x14ac:dyDescent="0.3">
      <c r="A344098" s="15" t="s">
        <v>184</v>
      </c>
    </row>
    <row r="344099" spans="1:1" x14ac:dyDescent="0.3">
      <c r="A344099" s="15" t="s">
        <v>185</v>
      </c>
    </row>
    <row r="344100" spans="1:1" x14ac:dyDescent="0.3">
      <c r="A344100" s="15" t="s">
        <v>186</v>
      </c>
    </row>
    <row r="344101" spans="1:1" x14ac:dyDescent="0.3">
      <c r="A344101" s="15" t="s">
        <v>187</v>
      </c>
    </row>
    <row r="344102" spans="1:1" x14ac:dyDescent="0.3">
      <c r="A344102" s="15" t="s">
        <v>188</v>
      </c>
    </row>
    <row r="344103" spans="1:1" x14ac:dyDescent="0.3">
      <c r="A344103" s="15" t="s">
        <v>189</v>
      </c>
    </row>
    <row r="344104" spans="1:1" x14ac:dyDescent="0.3">
      <c r="A344104" s="15" t="s">
        <v>190</v>
      </c>
    </row>
    <row r="344105" spans="1:1" x14ac:dyDescent="0.3">
      <c r="A344105" s="14" t="s">
        <v>47</v>
      </c>
    </row>
    <row r="344106" spans="1:1" x14ac:dyDescent="0.3">
      <c r="A344106" s="14" t="s">
        <v>118</v>
      </c>
    </row>
    <row r="344107" spans="1:1" x14ac:dyDescent="0.3">
      <c r="A344107" s="14" t="s">
        <v>85</v>
      </c>
    </row>
    <row r="344108" spans="1:1" x14ac:dyDescent="0.3">
      <c r="A344108" s="13" t="s">
        <v>21</v>
      </c>
    </row>
    <row r="344109" spans="1:1" x14ac:dyDescent="0.3">
      <c r="A344109" s="14" t="s">
        <v>91</v>
      </c>
    </row>
    <row r="344110" spans="1:1" x14ac:dyDescent="0.3">
      <c r="A344110" s="14" t="s">
        <v>92</v>
      </c>
    </row>
    <row r="344111" spans="1:1" x14ac:dyDescent="0.3">
      <c r="A344111" s="14" t="s">
        <v>98</v>
      </c>
    </row>
    <row r="344112" spans="1:1" x14ac:dyDescent="0.3">
      <c r="A344112" s="14" t="s">
        <v>99</v>
      </c>
    </row>
    <row r="344113" spans="1:1" x14ac:dyDescent="0.3">
      <c r="A344113" s="13" t="s">
        <v>24</v>
      </c>
    </row>
    <row r="344114" spans="1:1" x14ac:dyDescent="0.3">
      <c r="A344114" s="13" t="s">
        <v>82</v>
      </c>
    </row>
    <row r="344115" spans="1:1" x14ac:dyDescent="0.3">
      <c r="A344115" s="13" t="s">
        <v>105</v>
      </c>
    </row>
    <row r="344116" spans="1:1" x14ac:dyDescent="0.3">
      <c r="A344116" s="13" t="s">
        <v>100</v>
      </c>
    </row>
    <row r="344117" spans="1:1" x14ac:dyDescent="0.3">
      <c r="A344117" s="13" t="s">
        <v>101</v>
      </c>
    </row>
    <row r="344118" spans="1:1" x14ac:dyDescent="0.3">
      <c r="A344118" s="13" t="s">
        <v>102</v>
      </c>
    </row>
    <row r="344119" spans="1:1" x14ac:dyDescent="0.3">
      <c r="A344119" s="13" t="s">
        <v>103</v>
      </c>
    </row>
    <row r="344120" spans="1:1" x14ac:dyDescent="0.3">
      <c r="A344120" s="13" t="s">
        <v>104</v>
      </c>
    </row>
    <row r="360450" spans="1:1" x14ac:dyDescent="0.3">
      <c r="A360450" s="13" t="s">
        <v>0</v>
      </c>
    </row>
    <row r="360451" spans="1:1" x14ac:dyDescent="0.3">
      <c r="A360451" s="13" t="s">
        <v>124</v>
      </c>
    </row>
    <row r="360452" spans="1:1" x14ac:dyDescent="0.3">
      <c r="A360452" s="13" t="s">
        <v>1</v>
      </c>
    </row>
    <row r="360453" spans="1:1" x14ac:dyDescent="0.3">
      <c r="A360453" s="13" t="s">
        <v>2</v>
      </c>
    </row>
    <row r="360454" spans="1:1" x14ac:dyDescent="0.3">
      <c r="A360454" s="14" t="s">
        <v>25</v>
      </c>
    </row>
    <row r="360455" spans="1:1" x14ac:dyDescent="0.3">
      <c r="A360455" s="13" t="s">
        <v>125</v>
      </c>
    </row>
    <row r="360456" spans="1:1" x14ac:dyDescent="0.3">
      <c r="A360456" s="13" t="s">
        <v>126</v>
      </c>
    </row>
    <row r="360457" spans="1:1" x14ac:dyDescent="0.3">
      <c r="A360457" s="13" t="s">
        <v>87</v>
      </c>
    </row>
    <row r="360458" spans="1:1" x14ac:dyDescent="0.3">
      <c r="A360458" s="13" t="s">
        <v>22</v>
      </c>
    </row>
    <row r="360459" spans="1:1" x14ac:dyDescent="0.3">
      <c r="A360459" s="13" t="s">
        <v>3</v>
      </c>
    </row>
    <row r="360460" spans="1:1" x14ac:dyDescent="0.3">
      <c r="A360460" s="15" t="s">
        <v>94</v>
      </c>
    </row>
    <row r="360461" spans="1:1" x14ac:dyDescent="0.3">
      <c r="A360461" s="15" t="s">
        <v>93</v>
      </c>
    </row>
    <row r="360462" spans="1:1" x14ac:dyDescent="0.3">
      <c r="A360462" s="15" t="s">
        <v>4</v>
      </c>
    </row>
    <row r="360463" spans="1:1" x14ac:dyDescent="0.3">
      <c r="A360463" s="15" t="s">
        <v>117</v>
      </c>
    </row>
    <row r="360464" spans="1:1" x14ac:dyDescent="0.3">
      <c r="A360464" s="15" t="s">
        <v>5</v>
      </c>
    </row>
    <row r="360465" spans="1:1" x14ac:dyDescent="0.3">
      <c r="A360465" s="15" t="s">
        <v>6</v>
      </c>
    </row>
    <row r="360466" spans="1:1" x14ac:dyDescent="0.3">
      <c r="A360466" s="15" t="s">
        <v>7</v>
      </c>
    </row>
    <row r="360467" spans="1:1" x14ac:dyDescent="0.3">
      <c r="A360467" s="15" t="s">
        <v>8</v>
      </c>
    </row>
    <row r="360468" spans="1:1" x14ac:dyDescent="0.3">
      <c r="A360468" s="15" t="s">
        <v>9</v>
      </c>
    </row>
    <row r="360469" spans="1:1" x14ac:dyDescent="0.3">
      <c r="A360469" s="15" t="s">
        <v>10</v>
      </c>
    </row>
    <row r="360470" spans="1:1" x14ac:dyDescent="0.3">
      <c r="A360470" s="15" t="s">
        <v>11</v>
      </c>
    </row>
    <row r="360471" spans="1:1" x14ac:dyDescent="0.3">
      <c r="A360471" s="15" t="s">
        <v>12</v>
      </c>
    </row>
    <row r="360472" spans="1:1" x14ac:dyDescent="0.3">
      <c r="A360472" s="15" t="s">
        <v>13</v>
      </c>
    </row>
    <row r="360473" spans="1:1" x14ac:dyDescent="0.3">
      <c r="A360473" s="15" t="s">
        <v>14</v>
      </c>
    </row>
    <row r="360474" spans="1:1" x14ac:dyDescent="0.3">
      <c r="A360474" s="13" t="s">
        <v>31</v>
      </c>
    </row>
    <row r="360475" spans="1:1" x14ac:dyDescent="0.3">
      <c r="A360475" s="13" t="s">
        <v>86</v>
      </c>
    </row>
    <row r="360476" spans="1:1" x14ac:dyDescent="0.3">
      <c r="A360476" s="15" t="s">
        <v>30</v>
      </c>
    </row>
    <row r="360477" spans="1:1" x14ac:dyDescent="0.3">
      <c r="A360477" s="15" t="s">
        <v>26</v>
      </c>
    </row>
    <row r="360478" spans="1:1" x14ac:dyDescent="0.3">
      <c r="A360478" s="15" t="s">
        <v>27</v>
      </c>
    </row>
    <row r="360479" spans="1:1" x14ac:dyDescent="0.3">
      <c r="A360479" s="15" t="s">
        <v>28</v>
      </c>
    </row>
    <row r="360480" spans="1:1" x14ac:dyDescent="0.3">
      <c r="A360480" s="15" t="s">
        <v>88</v>
      </c>
    </row>
    <row r="360481" spans="1:1" x14ac:dyDescent="0.3">
      <c r="A360481" s="15" t="s">
        <v>89</v>
      </c>
    </row>
    <row r="360482" spans="1:1" x14ac:dyDescent="0.3">
      <c r="A360482" s="15" t="s">
        <v>184</v>
      </c>
    </row>
    <row r="360483" spans="1:1" x14ac:dyDescent="0.3">
      <c r="A360483" s="15" t="s">
        <v>185</v>
      </c>
    </row>
    <row r="360484" spans="1:1" x14ac:dyDescent="0.3">
      <c r="A360484" s="15" t="s">
        <v>186</v>
      </c>
    </row>
    <row r="360485" spans="1:1" x14ac:dyDescent="0.3">
      <c r="A360485" s="15" t="s">
        <v>187</v>
      </c>
    </row>
    <row r="360486" spans="1:1" x14ac:dyDescent="0.3">
      <c r="A360486" s="15" t="s">
        <v>188</v>
      </c>
    </row>
    <row r="360487" spans="1:1" x14ac:dyDescent="0.3">
      <c r="A360487" s="15" t="s">
        <v>189</v>
      </c>
    </row>
    <row r="360488" spans="1:1" x14ac:dyDescent="0.3">
      <c r="A360488" s="15" t="s">
        <v>190</v>
      </c>
    </row>
    <row r="360489" spans="1:1" x14ac:dyDescent="0.3">
      <c r="A360489" s="14" t="s">
        <v>47</v>
      </c>
    </row>
    <row r="360490" spans="1:1" x14ac:dyDescent="0.3">
      <c r="A360490" s="14" t="s">
        <v>118</v>
      </c>
    </row>
    <row r="360491" spans="1:1" x14ac:dyDescent="0.3">
      <c r="A360491" s="14" t="s">
        <v>85</v>
      </c>
    </row>
    <row r="360492" spans="1:1" x14ac:dyDescent="0.3">
      <c r="A360492" s="13" t="s">
        <v>21</v>
      </c>
    </row>
    <row r="360493" spans="1:1" x14ac:dyDescent="0.3">
      <c r="A360493" s="14" t="s">
        <v>91</v>
      </c>
    </row>
    <row r="360494" spans="1:1" x14ac:dyDescent="0.3">
      <c r="A360494" s="14" t="s">
        <v>92</v>
      </c>
    </row>
    <row r="360495" spans="1:1" x14ac:dyDescent="0.3">
      <c r="A360495" s="14" t="s">
        <v>98</v>
      </c>
    </row>
    <row r="360496" spans="1:1" x14ac:dyDescent="0.3">
      <c r="A360496" s="14" t="s">
        <v>99</v>
      </c>
    </row>
    <row r="360497" spans="1:1" x14ac:dyDescent="0.3">
      <c r="A360497" s="13" t="s">
        <v>24</v>
      </c>
    </row>
    <row r="360498" spans="1:1" x14ac:dyDescent="0.3">
      <c r="A360498" s="13" t="s">
        <v>82</v>
      </c>
    </row>
    <row r="360499" spans="1:1" x14ac:dyDescent="0.3">
      <c r="A360499" s="13" t="s">
        <v>105</v>
      </c>
    </row>
    <row r="360500" spans="1:1" x14ac:dyDescent="0.3">
      <c r="A360500" s="13" t="s">
        <v>100</v>
      </c>
    </row>
    <row r="360501" spans="1:1" x14ac:dyDescent="0.3">
      <c r="A360501" s="13" t="s">
        <v>101</v>
      </c>
    </row>
    <row r="360502" spans="1:1" x14ac:dyDescent="0.3">
      <c r="A360502" s="13" t="s">
        <v>102</v>
      </c>
    </row>
    <row r="360503" spans="1:1" x14ac:dyDescent="0.3">
      <c r="A360503" s="13" t="s">
        <v>103</v>
      </c>
    </row>
    <row r="360504" spans="1:1" x14ac:dyDescent="0.3">
      <c r="A360504" s="13" t="s">
        <v>104</v>
      </c>
    </row>
    <row r="376834" spans="1:1" x14ac:dyDescent="0.3">
      <c r="A376834" s="13" t="s">
        <v>0</v>
      </c>
    </row>
    <row r="376835" spans="1:1" x14ac:dyDescent="0.3">
      <c r="A376835" s="13" t="s">
        <v>124</v>
      </c>
    </row>
    <row r="376836" spans="1:1" x14ac:dyDescent="0.3">
      <c r="A376836" s="13" t="s">
        <v>1</v>
      </c>
    </row>
    <row r="376837" spans="1:1" x14ac:dyDescent="0.3">
      <c r="A376837" s="13" t="s">
        <v>2</v>
      </c>
    </row>
    <row r="376838" spans="1:1" x14ac:dyDescent="0.3">
      <c r="A376838" s="14" t="s">
        <v>25</v>
      </c>
    </row>
    <row r="376839" spans="1:1" x14ac:dyDescent="0.3">
      <c r="A376839" s="13" t="s">
        <v>125</v>
      </c>
    </row>
    <row r="376840" spans="1:1" x14ac:dyDescent="0.3">
      <c r="A376840" s="13" t="s">
        <v>126</v>
      </c>
    </row>
    <row r="376841" spans="1:1" x14ac:dyDescent="0.3">
      <c r="A376841" s="13" t="s">
        <v>87</v>
      </c>
    </row>
    <row r="376842" spans="1:1" x14ac:dyDescent="0.3">
      <c r="A376842" s="13" t="s">
        <v>22</v>
      </c>
    </row>
    <row r="376843" spans="1:1" x14ac:dyDescent="0.3">
      <c r="A376843" s="13" t="s">
        <v>3</v>
      </c>
    </row>
    <row r="376844" spans="1:1" x14ac:dyDescent="0.3">
      <c r="A376844" s="15" t="s">
        <v>94</v>
      </c>
    </row>
    <row r="376845" spans="1:1" x14ac:dyDescent="0.3">
      <c r="A376845" s="15" t="s">
        <v>93</v>
      </c>
    </row>
    <row r="376846" spans="1:1" x14ac:dyDescent="0.3">
      <c r="A376846" s="15" t="s">
        <v>4</v>
      </c>
    </row>
    <row r="376847" spans="1:1" x14ac:dyDescent="0.3">
      <c r="A376847" s="15" t="s">
        <v>117</v>
      </c>
    </row>
    <row r="376848" spans="1:1" x14ac:dyDescent="0.3">
      <c r="A376848" s="15" t="s">
        <v>5</v>
      </c>
    </row>
    <row r="376849" spans="1:1" x14ac:dyDescent="0.3">
      <c r="A376849" s="15" t="s">
        <v>6</v>
      </c>
    </row>
    <row r="376850" spans="1:1" x14ac:dyDescent="0.3">
      <c r="A376850" s="15" t="s">
        <v>7</v>
      </c>
    </row>
    <row r="376851" spans="1:1" x14ac:dyDescent="0.3">
      <c r="A376851" s="15" t="s">
        <v>8</v>
      </c>
    </row>
    <row r="376852" spans="1:1" x14ac:dyDescent="0.3">
      <c r="A376852" s="15" t="s">
        <v>9</v>
      </c>
    </row>
    <row r="376853" spans="1:1" x14ac:dyDescent="0.3">
      <c r="A376853" s="15" t="s">
        <v>10</v>
      </c>
    </row>
    <row r="376854" spans="1:1" x14ac:dyDescent="0.3">
      <c r="A376854" s="15" t="s">
        <v>11</v>
      </c>
    </row>
    <row r="376855" spans="1:1" x14ac:dyDescent="0.3">
      <c r="A376855" s="15" t="s">
        <v>12</v>
      </c>
    </row>
    <row r="376856" spans="1:1" x14ac:dyDescent="0.3">
      <c r="A376856" s="15" t="s">
        <v>13</v>
      </c>
    </row>
    <row r="376857" spans="1:1" x14ac:dyDescent="0.3">
      <c r="A376857" s="15" t="s">
        <v>14</v>
      </c>
    </row>
    <row r="376858" spans="1:1" x14ac:dyDescent="0.3">
      <c r="A376858" s="13" t="s">
        <v>31</v>
      </c>
    </row>
    <row r="376859" spans="1:1" x14ac:dyDescent="0.3">
      <c r="A376859" s="13" t="s">
        <v>86</v>
      </c>
    </row>
    <row r="376860" spans="1:1" x14ac:dyDescent="0.3">
      <c r="A376860" s="15" t="s">
        <v>30</v>
      </c>
    </row>
    <row r="376861" spans="1:1" x14ac:dyDescent="0.3">
      <c r="A376861" s="15" t="s">
        <v>26</v>
      </c>
    </row>
    <row r="376862" spans="1:1" x14ac:dyDescent="0.3">
      <c r="A376862" s="15" t="s">
        <v>27</v>
      </c>
    </row>
    <row r="376863" spans="1:1" x14ac:dyDescent="0.3">
      <c r="A376863" s="15" t="s">
        <v>28</v>
      </c>
    </row>
    <row r="376864" spans="1:1" x14ac:dyDescent="0.3">
      <c r="A376864" s="15" t="s">
        <v>88</v>
      </c>
    </row>
    <row r="376865" spans="1:1" x14ac:dyDescent="0.3">
      <c r="A376865" s="15" t="s">
        <v>89</v>
      </c>
    </row>
    <row r="376866" spans="1:1" x14ac:dyDescent="0.3">
      <c r="A376866" s="15" t="s">
        <v>184</v>
      </c>
    </row>
    <row r="376867" spans="1:1" x14ac:dyDescent="0.3">
      <c r="A376867" s="15" t="s">
        <v>185</v>
      </c>
    </row>
    <row r="376868" spans="1:1" x14ac:dyDescent="0.3">
      <c r="A376868" s="15" t="s">
        <v>186</v>
      </c>
    </row>
    <row r="376869" spans="1:1" x14ac:dyDescent="0.3">
      <c r="A376869" s="15" t="s">
        <v>187</v>
      </c>
    </row>
    <row r="376870" spans="1:1" x14ac:dyDescent="0.3">
      <c r="A376870" s="15" t="s">
        <v>188</v>
      </c>
    </row>
    <row r="376871" spans="1:1" x14ac:dyDescent="0.3">
      <c r="A376871" s="15" t="s">
        <v>189</v>
      </c>
    </row>
    <row r="376872" spans="1:1" x14ac:dyDescent="0.3">
      <c r="A376872" s="15" t="s">
        <v>190</v>
      </c>
    </row>
    <row r="376873" spans="1:1" x14ac:dyDescent="0.3">
      <c r="A376873" s="14" t="s">
        <v>47</v>
      </c>
    </row>
    <row r="376874" spans="1:1" x14ac:dyDescent="0.3">
      <c r="A376874" s="14" t="s">
        <v>118</v>
      </c>
    </row>
    <row r="376875" spans="1:1" x14ac:dyDescent="0.3">
      <c r="A376875" s="14" t="s">
        <v>85</v>
      </c>
    </row>
    <row r="376876" spans="1:1" x14ac:dyDescent="0.3">
      <c r="A376876" s="13" t="s">
        <v>21</v>
      </c>
    </row>
    <row r="376877" spans="1:1" x14ac:dyDescent="0.3">
      <c r="A376877" s="14" t="s">
        <v>91</v>
      </c>
    </row>
    <row r="376878" spans="1:1" x14ac:dyDescent="0.3">
      <c r="A376878" s="14" t="s">
        <v>92</v>
      </c>
    </row>
    <row r="376879" spans="1:1" x14ac:dyDescent="0.3">
      <c r="A376879" s="14" t="s">
        <v>98</v>
      </c>
    </row>
    <row r="376880" spans="1:1" x14ac:dyDescent="0.3">
      <c r="A376880" s="14" t="s">
        <v>99</v>
      </c>
    </row>
    <row r="376881" spans="1:1" x14ac:dyDescent="0.3">
      <c r="A376881" s="13" t="s">
        <v>24</v>
      </c>
    </row>
    <row r="376882" spans="1:1" x14ac:dyDescent="0.3">
      <c r="A376882" s="13" t="s">
        <v>82</v>
      </c>
    </row>
    <row r="376883" spans="1:1" x14ac:dyDescent="0.3">
      <c r="A376883" s="13" t="s">
        <v>105</v>
      </c>
    </row>
    <row r="376884" spans="1:1" x14ac:dyDescent="0.3">
      <c r="A376884" s="13" t="s">
        <v>100</v>
      </c>
    </row>
    <row r="376885" spans="1:1" x14ac:dyDescent="0.3">
      <c r="A376885" s="13" t="s">
        <v>101</v>
      </c>
    </row>
    <row r="376886" spans="1:1" x14ac:dyDescent="0.3">
      <c r="A376886" s="13" t="s">
        <v>102</v>
      </c>
    </row>
    <row r="376887" spans="1:1" x14ac:dyDescent="0.3">
      <c r="A376887" s="13" t="s">
        <v>103</v>
      </c>
    </row>
    <row r="376888" spans="1:1" x14ac:dyDescent="0.3">
      <c r="A376888" s="13" t="s">
        <v>104</v>
      </c>
    </row>
    <row r="393218" spans="1:1" x14ac:dyDescent="0.3">
      <c r="A393218" s="13" t="s">
        <v>0</v>
      </c>
    </row>
    <row r="393219" spans="1:1" x14ac:dyDescent="0.3">
      <c r="A393219" s="13" t="s">
        <v>124</v>
      </c>
    </row>
    <row r="393220" spans="1:1" x14ac:dyDescent="0.3">
      <c r="A393220" s="13" t="s">
        <v>1</v>
      </c>
    </row>
    <row r="393221" spans="1:1" x14ac:dyDescent="0.3">
      <c r="A393221" s="13" t="s">
        <v>2</v>
      </c>
    </row>
    <row r="393222" spans="1:1" x14ac:dyDescent="0.3">
      <c r="A393222" s="14" t="s">
        <v>25</v>
      </c>
    </row>
    <row r="393223" spans="1:1" x14ac:dyDescent="0.3">
      <c r="A393223" s="13" t="s">
        <v>125</v>
      </c>
    </row>
    <row r="393224" spans="1:1" x14ac:dyDescent="0.3">
      <c r="A393224" s="13" t="s">
        <v>126</v>
      </c>
    </row>
    <row r="393225" spans="1:1" x14ac:dyDescent="0.3">
      <c r="A393225" s="13" t="s">
        <v>87</v>
      </c>
    </row>
    <row r="393226" spans="1:1" x14ac:dyDescent="0.3">
      <c r="A393226" s="13" t="s">
        <v>22</v>
      </c>
    </row>
    <row r="393227" spans="1:1" x14ac:dyDescent="0.3">
      <c r="A393227" s="13" t="s">
        <v>3</v>
      </c>
    </row>
    <row r="393228" spans="1:1" x14ac:dyDescent="0.3">
      <c r="A393228" s="15" t="s">
        <v>94</v>
      </c>
    </row>
    <row r="393229" spans="1:1" x14ac:dyDescent="0.3">
      <c r="A393229" s="15" t="s">
        <v>93</v>
      </c>
    </row>
    <row r="393230" spans="1:1" x14ac:dyDescent="0.3">
      <c r="A393230" s="15" t="s">
        <v>4</v>
      </c>
    </row>
    <row r="393231" spans="1:1" x14ac:dyDescent="0.3">
      <c r="A393231" s="15" t="s">
        <v>117</v>
      </c>
    </row>
    <row r="393232" spans="1:1" x14ac:dyDescent="0.3">
      <c r="A393232" s="15" t="s">
        <v>5</v>
      </c>
    </row>
    <row r="393233" spans="1:1" x14ac:dyDescent="0.3">
      <c r="A393233" s="15" t="s">
        <v>6</v>
      </c>
    </row>
    <row r="393234" spans="1:1" x14ac:dyDescent="0.3">
      <c r="A393234" s="15" t="s">
        <v>7</v>
      </c>
    </row>
    <row r="393235" spans="1:1" x14ac:dyDescent="0.3">
      <c r="A393235" s="15" t="s">
        <v>8</v>
      </c>
    </row>
    <row r="393236" spans="1:1" x14ac:dyDescent="0.3">
      <c r="A393236" s="15" t="s">
        <v>9</v>
      </c>
    </row>
    <row r="393237" spans="1:1" x14ac:dyDescent="0.3">
      <c r="A393237" s="15" t="s">
        <v>10</v>
      </c>
    </row>
    <row r="393238" spans="1:1" x14ac:dyDescent="0.3">
      <c r="A393238" s="15" t="s">
        <v>11</v>
      </c>
    </row>
    <row r="393239" spans="1:1" x14ac:dyDescent="0.3">
      <c r="A393239" s="15" t="s">
        <v>12</v>
      </c>
    </row>
    <row r="393240" spans="1:1" x14ac:dyDescent="0.3">
      <c r="A393240" s="15" t="s">
        <v>13</v>
      </c>
    </row>
    <row r="393241" spans="1:1" x14ac:dyDescent="0.3">
      <c r="A393241" s="15" t="s">
        <v>14</v>
      </c>
    </row>
    <row r="393242" spans="1:1" x14ac:dyDescent="0.3">
      <c r="A393242" s="13" t="s">
        <v>31</v>
      </c>
    </row>
    <row r="393243" spans="1:1" x14ac:dyDescent="0.3">
      <c r="A393243" s="13" t="s">
        <v>86</v>
      </c>
    </row>
    <row r="393244" spans="1:1" x14ac:dyDescent="0.3">
      <c r="A393244" s="15" t="s">
        <v>30</v>
      </c>
    </row>
    <row r="393245" spans="1:1" x14ac:dyDescent="0.3">
      <c r="A393245" s="15" t="s">
        <v>26</v>
      </c>
    </row>
    <row r="393246" spans="1:1" x14ac:dyDescent="0.3">
      <c r="A393246" s="15" t="s">
        <v>27</v>
      </c>
    </row>
    <row r="393247" spans="1:1" x14ac:dyDescent="0.3">
      <c r="A393247" s="15" t="s">
        <v>28</v>
      </c>
    </row>
    <row r="393248" spans="1:1" x14ac:dyDescent="0.3">
      <c r="A393248" s="15" t="s">
        <v>88</v>
      </c>
    </row>
    <row r="393249" spans="1:1" x14ac:dyDescent="0.3">
      <c r="A393249" s="15" t="s">
        <v>89</v>
      </c>
    </row>
    <row r="393250" spans="1:1" x14ac:dyDescent="0.3">
      <c r="A393250" s="15" t="s">
        <v>184</v>
      </c>
    </row>
    <row r="393251" spans="1:1" x14ac:dyDescent="0.3">
      <c r="A393251" s="15" t="s">
        <v>185</v>
      </c>
    </row>
    <row r="393252" spans="1:1" x14ac:dyDescent="0.3">
      <c r="A393252" s="15" t="s">
        <v>186</v>
      </c>
    </row>
    <row r="393253" spans="1:1" x14ac:dyDescent="0.3">
      <c r="A393253" s="15" t="s">
        <v>187</v>
      </c>
    </row>
    <row r="393254" spans="1:1" x14ac:dyDescent="0.3">
      <c r="A393254" s="15" t="s">
        <v>188</v>
      </c>
    </row>
    <row r="393255" spans="1:1" x14ac:dyDescent="0.3">
      <c r="A393255" s="15" t="s">
        <v>189</v>
      </c>
    </row>
    <row r="393256" spans="1:1" x14ac:dyDescent="0.3">
      <c r="A393256" s="15" t="s">
        <v>190</v>
      </c>
    </row>
    <row r="393257" spans="1:1" x14ac:dyDescent="0.3">
      <c r="A393257" s="14" t="s">
        <v>47</v>
      </c>
    </row>
    <row r="393258" spans="1:1" x14ac:dyDescent="0.3">
      <c r="A393258" s="14" t="s">
        <v>118</v>
      </c>
    </row>
    <row r="393259" spans="1:1" x14ac:dyDescent="0.3">
      <c r="A393259" s="14" t="s">
        <v>85</v>
      </c>
    </row>
    <row r="393260" spans="1:1" x14ac:dyDescent="0.3">
      <c r="A393260" s="13" t="s">
        <v>21</v>
      </c>
    </row>
    <row r="393261" spans="1:1" x14ac:dyDescent="0.3">
      <c r="A393261" s="14" t="s">
        <v>91</v>
      </c>
    </row>
    <row r="393262" spans="1:1" x14ac:dyDescent="0.3">
      <c r="A393262" s="14" t="s">
        <v>92</v>
      </c>
    </row>
    <row r="393263" spans="1:1" x14ac:dyDescent="0.3">
      <c r="A393263" s="14" t="s">
        <v>98</v>
      </c>
    </row>
    <row r="393264" spans="1:1" x14ac:dyDescent="0.3">
      <c r="A393264" s="14" t="s">
        <v>99</v>
      </c>
    </row>
    <row r="393265" spans="1:1" x14ac:dyDescent="0.3">
      <c r="A393265" s="13" t="s">
        <v>24</v>
      </c>
    </row>
    <row r="393266" spans="1:1" x14ac:dyDescent="0.3">
      <c r="A393266" s="13" t="s">
        <v>82</v>
      </c>
    </row>
    <row r="393267" spans="1:1" x14ac:dyDescent="0.3">
      <c r="A393267" s="13" t="s">
        <v>105</v>
      </c>
    </row>
    <row r="393268" spans="1:1" x14ac:dyDescent="0.3">
      <c r="A393268" s="13" t="s">
        <v>100</v>
      </c>
    </row>
    <row r="393269" spans="1:1" x14ac:dyDescent="0.3">
      <c r="A393269" s="13" t="s">
        <v>101</v>
      </c>
    </row>
    <row r="393270" spans="1:1" x14ac:dyDescent="0.3">
      <c r="A393270" s="13" t="s">
        <v>102</v>
      </c>
    </row>
    <row r="393271" spans="1:1" x14ac:dyDescent="0.3">
      <c r="A393271" s="13" t="s">
        <v>103</v>
      </c>
    </row>
    <row r="393272" spans="1:1" x14ac:dyDescent="0.3">
      <c r="A393272" s="13" t="s">
        <v>104</v>
      </c>
    </row>
    <row r="409602" spans="1:1" x14ac:dyDescent="0.3">
      <c r="A409602" s="13" t="s">
        <v>0</v>
      </c>
    </row>
    <row r="409603" spans="1:1" x14ac:dyDescent="0.3">
      <c r="A409603" s="13" t="s">
        <v>124</v>
      </c>
    </row>
    <row r="409604" spans="1:1" x14ac:dyDescent="0.3">
      <c r="A409604" s="13" t="s">
        <v>1</v>
      </c>
    </row>
    <row r="409605" spans="1:1" x14ac:dyDescent="0.3">
      <c r="A409605" s="13" t="s">
        <v>2</v>
      </c>
    </row>
    <row r="409606" spans="1:1" x14ac:dyDescent="0.3">
      <c r="A409606" s="14" t="s">
        <v>25</v>
      </c>
    </row>
    <row r="409607" spans="1:1" x14ac:dyDescent="0.3">
      <c r="A409607" s="13" t="s">
        <v>125</v>
      </c>
    </row>
    <row r="409608" spans="1:1" x14ac:dyDescent="0.3">
      <c r="A409608" s="13" t="s">
        <v>126</v>
      </c>
    </row>
    <row r="409609" spans="1:1" x14ac:dyDescent="0.3">
      <c r="A409609" s="13" t="s">
        <v>87</v>
      </c>
    </row>
    <row r="409610" spans="1:1" x14ac:dyDescent="0.3">
      <c r="A409610" s="13" t="s">
        <v>22</v>
      </c>
    </row>
    <row r="409611" spans="1:1" x14ac:dyDescent="0.3">
      <c r="A409611" s="13" t="s">
        <v>3</v>
      </c>
    </row>
    <row r="409612" spans="1:1" x14ac:dyDescent="0.3">
      <c r="A409612" s="15" t="s">
        <v>94</v>
      </c>
    </row>
    <row r="409613" spans="1:1" x14ac:dyDescent="0.3">
      <c r="A409613" s="15" t="s">
        <v>93</v>
      </c>
    </row>
    <row r="409614" spans="1:1" x14ac:dyDescent="0.3">
      <c r="A409614" s="15" t="s">
        <v>4</v>
      </c>
    </row>
    <row r="409615" spans="1:1" x14ac:dyDescent="0.3">
      <c r="A409615" s="15" t="s">
        <v>117</v>
      </c>
    </row>
    <row r="409616" spans="1:1" x14ac:dyDescent="0.3">
      <c r="A409616" s="15" t="s">
        <v>5</v>
      </c>
    </row>
    <row r="409617" spans="1:1" x14ac:dyDescent="0.3">
      <c r="A409617" s="15" t="s">
        <v>6</v>
      </c>
    </row>
    <row r="409618" spans="1:1" x14ac:dyDescent="0.3">
      <c r="A409618" s="15" t="s">
        <v>7</v>
      </c>
    </row>
    <row r="409619" spans="1:1" x14ac:dyDescent="0.3">
      <c r="A409619" s="15" t="s">
        <v>8</v>
      </c>
    </row>
    <row r="409620" spans="1:1" x14ac:dyDescent="0.3">
      <c r="A409620" s="15" t="s">
        <v>9</v>
      </c>
    </row>
    <row r="409621" spans="1:1" x14ac:dyDescent="0.3">
      <c r="A409621" s="15" t="s">
        <v>10</v>
      </c>
    </row>
    <row r="409622" spans="1:1" x14ac:dyDescent="0.3">
      <c r="A409622" s="15" t="s">
        <v>11</v>
      </c>
    </row>
    <row r="409623" spans="1:1" x14ac:dyDescent="0.3">
      <c r="A409623" s="15" t="s">
        <v>12</v>
      </c>
    </row>
    <row r="409624" spans="1:1" x14ac:dyDescent="0.3">
      <c r="A409624" s="15" t="s">
        <v>13</v>
      </c>
    </row>
    <row r="409625" spans="1:1" x14ac:dyDescent="0.3">
      <c r="A409625" s="15" t="s">
        <v>14</v>
      </c>
    </row>
    <row r="409626" spans="1:1" x14ac:dyDescent="0.3">
      <c r="A409626" s="13" t="s">
        <v>31</v>
      </c>
    </row>
    <row r="409627" spans="1:1" x14ac:dyDescent="0.3">
      <c r="A409627" s="13" t="s">
        <v>86</v>
      </c>
    </row>
    <row r="409628" spans="1:1" x14ac:dyDescent="0.3">
      <c r="A409628" s="15" t="s">
        <v>30</v>
      </c>
    </row>
    <row r="409629" spans="1:1" x14ac:dyDescent="0.3">
      <c r="A409629" s="15" t="s">
        <v>26</v>
      </c>
    </row>
    <row r="409630" spans="1:1" x14ac:dyDescent="0.3">
      <c r="A409630" s="15" t="s">
        <v>27</v>
      </c>
    </row>
    <row r="409631" spans="1:1" x14ac:dyDescent="0.3">
      <c r="A409631" s="15" t="s">
        <v>28</v>
      </c>
    </row>
    <row r="409632" spans="1:1" x14ac:dyDescent="0.3">
      <c r="A409632" s="15" t="s">
        <v>88</v>
      </c>
    </row>
    <row r="409633" spans="1:1" x14ac:dyDescent="0.3">
      <c r="A409633" s="15" t="s">
        <v>89</v>
      </c>
    </row>
    <row r="409634" spans="1:1" x14ac:dyDescent="0.3">
      <c r="A409634" s="15" t="s">
        <v>184</v>
      </c>
    </row>
    <row r="409635" spans="1:1" x14ac:dyDescent="0.3">
      <c r="A409635" s="15" t="s">
        <v>185</v>
      </c>
    </row>
    <row r="409636" spans="1:1" x14ac:dyDescent="0.3">
      <c r="A409636" s="15" t="s">
        <v>186</v>
      </c>
    </row>
    <row r="409637" spans="1:1" x14ac:dyDescent="0.3">
      <c r="A409637" s="15" t="s">
        <v>187</v>
      </c>
    </row>
    <row r="409638" spans="1:1" x14ac:dyDescent="0.3">
      <c r="A409638" s="15" t="s">
        <v>188</v>
      </c>
    </row>
    <row r="409639" spans="1:1" x14ac:dyDescent="0.3">
      <c r="A409639" s="15" t="s">
        <v>189</v>
      </c>
    </row>
    <row r="409640" spans="1:1" x14ac:dyDescent="0.3">
      <c r="A409640" s="15" t="s">
        <v>190</v>
      </c>
    </row>
    <row r="409641" spans="1:1" x14ac:dyDescent="0.3">
      <c r="A409641" s="14" t="s">
        <v>47</v>
      </c>
    </row>
    <row r="409642" spans="1:1" x14ac:dyDescent="0.3">
      <c r="A409642" s="14" t="s">
        <v>118</v>
      </c>
    </row>
    <row r="409643" spans="1:1" x14ac:dyDescent="0.3">
      <c r="A409643" s="14" t="s">
        <v>85</v>
      </c>
    </row>
    <row r="409644" spans="1:1" x14ac:dyDescent="0.3">
      <c r="A409644" s="13" t="s">
        <v>21</v>
      </c>
    </row>
    <row r="409645" spans="1:1" x14ac:dyDescent="0.3">
      <c r="A409645" s="14" t="s">
        <v>91</v>
      </c>
    </row>
    <row r="409646" spans="1:1" x14ac:dyDescent="0.3">
      <c r="A409646" s="14" t="s">
        <v>92</v>
      </c>
    </row>
    <row r="409647" spans="1:1" x14ac:dyDescent="0.3">
      <c r="A409647" s="14" t="s">
        <v>98</v>
      </c>
    </row>
    <row r="409648" spans="1:1" x14ac:dyDescent="0.3">
      <c r="A409648" s="14" t="s">
        <v>99</v>
      </c>
    </row>
    <row r="409649" spans="1:1" x14ac:dyDescent="0.3">
      <c r="A409649" s="13" t="s">
        <v>24</v>
      </c>
    </row>
    <row r="409650" spans="1:1" x14ac:dyDescent="0.3">
      <c r="A409650" s="13" t="s">
        <v>82</v>
      </c>
    </row>
    <row r="409651" spans="1:1" x14ac:dyDescent="0.3">
      <c r="A409651" s="13" t="s">
        <v>105</v>
      </c>
    </row>
    <row r="409652" spans="1:1" x14ac:dyDescent="0.3">
      <c r="A409652" s="13" t="s">
        <v>100</v>
      </c>
    </row>
    <row r="409653" spans="1:1" x14ac:dyDescent="0.3">
      <c r="A409653" s="13" t="s">
        <v>101</v>
      </c>
    </row>
    <row r="409654" spans="1:1" x14ac:dyDescent="0.3">
      <c r="A409654" s="13" t="s">
        <v>102</v>
      </c>
    </row>
    <row r="409655" spans="1:1" x14ac:dyDescent="0.3">
      <c r="A409655" s="13" t="s">
        <v>103</v>
      </c>
    </row>
    <row r="409656" spans="1:1" x14ac:dyDescent="0.3">
      <c r="A409656" s="13" t="s">
        <v>104</v>
      </c>
    </row>
    <row r="425986" spans="1:1" x14ac:dyDescent="0.3">
      <c r="A425986" s="13" t="s">
        <v>0</v>
      </c>
    </row>
    <row r="425987" spans="1:1" x14ac:dyDescent="0.3">
      <c r="A425987" s="13" t="s">
        <v>124</v>
      </c>
    </row>
    <row r="425988" spans="1:1" x14ac:dyDescent="0.3">
      <c r="A425988" s="13" t="s">
        <v>1</v>
      </c>
    </row>
    <row r="425989" spans="1:1" x14ac:dyDescent="0.3">
      <c r="A425989" s="13" t="s">
        <v>2</v>
      </c>
    </row>
    <row r="425990" spans="1:1" x14ac:dyDescent="0.3">
      <c r="A425990" s="14" t="s">
        <v>25</v>
      </c>
    </row>
    <row r="425991" spans="1:1" x14ac:dyDescent="0.3">
      <c r="A425991" s="13" t="s">
        <v>125</v>
      </c>
    </row>
    <row r="425992" spans="1:1" x14ac:dyDescent="0.3">
      <c r="A425992" s="13" t="s">
        <v>126</v>
      </c>
    </row>
    <row r="425993" spans="1:1" x14ac:dyDescent="0.3">
      <c r="A425993" s="13" t="s">
        <v>87</v>
      </c>
    </row>
    <row r="425994" spans="1:1" x14ac:dyDescent="0.3">
      <c r="A425994" s="13" t="s">
        <v>22</v>
      </c>
    </row>
    <row r="425995" spans="1:1" x14ac:dyDescent="0.3">
      <c r="A425995" s="13" t="s">
        <v>3</v>
      </c>
    </row>
    <row r="425996" spans="1:1" x14ac:dyDescent="0.3">
      <c r="A425996" s="15" t="s">
        <v>94</v>
      </c>
    </row>
    <row r="425997" spans="1:1" x14ac:dyDescent="0.3">
      <c r="A425997" s="15" t="s">
        <v>93</v>
      </c>
    </row>
    <row r="425998" spans="1:1" x14ac:dyDescent="0.3">
      <c r="A425998" s="15" t="s">
        <v>4</v>
      </c>
    </row>
    <row r="425999" spans="1:1" x14ac:dyDescent="0.3">
      <c r="A425999" s="15" t="s">
        <v>117</v>
      </c>
    </row>
    <row r="426000" spans="1:1" x14ac:dyDescent="0.3">
      <c r="A426000" s="15" t="s">
        <v>5</v>
      </c>
    </row>
    <row r="426001" spans="1:1" x14ac:dyDescent="0.3">
      <c r="A426001" s="15" t="s">
        <v>6</v>
      </c>
    </row>
    <row r="426002" spans="1:1" x14ac:dyDescent="0.3">
      <c r="A426002" s="15" t="s">
        <v>7</v>
      </c>
    </row>
    <row r="426003" spans="1:1" x14ac:dyDescent="0.3">
      <c r="A426003" s="15" t="s">
        <v>8</v>
      </c>
    </row>
    <row r="426004" spans="1:1" x14ac:dyDescent="0.3">
      <c r="A426004" s="15" t="s">
        <v>9</v>
      </c>
    </row>
    <row r="426005" spans="1:1" x14ac:dyDescent="0.3">
      <c r="A426005" s="15" t="s">
        <v>10</v>
      </c>
    </row>
    <row r="426006" spans="1:1" x14ac:dyDescent="0.3">
      <c r="A426006" s="15" t="s">
        <v>11</v>
      </c>
    </row>
    <row r="426007" spans="1:1" x14ac:dyDescent="0.3">
      <c r="A426007" s="15" t="s">
        <v>12</v>
      </c>
    </row>
    <row r="426008" spans="1:1" x14ac:dyDescent="0.3">
      <c r="A426008" s="15" t="s">
        <v>13</v>
      </c>
    </row>
    <row r="426009" spans="1:1" x14ac:dyDescent="0.3">
      <c r="A426009" s="15" t="s">
        <v>14</v>
      </c>
    </row>
    <row r="426010" spans="1:1" x14ac:dyDescent="0.3">
      <c r="A426010" s="13" t="s">
        <v>31</v>
      </c>
    </row>
    <row r="426011" spans="1:1" x14ac:dyDescent="0.3">
      <c r="A426011" s="13" t="s">
        <v>86</v>
      </c>
    </row>
    <row r="426012" spans="1:1" x14ac:dyDescent="0.3">
      <c r="A426012" s="15" t="s">
        <v>30</v>
      </c>
    </row>
    <row r="426013" spans="1:1" x14ac:dyDescent="0.3">
      <c r="A426013" s="15" t="s">
        <v>26</v>
      </c>
    </row>
    <row r="426014" spans="1:1" x14ac:dyDescent="0.3">
      <c r="A426014" s="15" t="s">
        <v>27</v>
      </c>
    </row>
    <row r="426015" spans="1:1" x14ac:dyDescent="0.3">
      <c r="A426015" s="15" t="s">
        <v>28</v>
      </c>
    </row>
    <row r="426016" spans="1:1" x14ac:dyDescent="0.3">
      <c r="A426016" s="15" t="s">
        <v>88</v>
      </c>
    </row>
    <row r="426017" spans="1:1" x14ac:dyDescent="0.3">
      <c r="A426017" s="15" t="s">
        <v>89</v>
      </c>
    </row>
    <row r="426018" spans="1:1" x14ac:dyDescent="0.3">
      <c r="A426018" s="15" t="s">
        <v>184</v>
      </c>
    </row>
    <row r="426019" spans="1:1" x14ac:dyDescent="0.3">
      <c r="A426019" s="15" t="s">
        <v>185</v>
      </c>
    </row>
    <row r="426020" spans="1:1" x14ac:dyDescent="0.3">
      <c r="A426020" s="15" t="s">
        <v>186</v>
      </c>
    </row>
    <row r="426021" spans="1:1" x14ac:dyDescent="0.3">
      <c r="A426021" s="15" t="s">
        <v>187</v>
      </c>
    </row>
    <row r="426022" spans="1:1" x14ac:dyDescent="0.3">
      <c r="A426022" s="15" t="s">
        <v>188</v>
      </c>
    </row>
    <row r="426023" spans="1:1" x14ac:dyDescent="0.3">
      <c r="A426023" s="15" t="s">
        <v>189</v>
      </c>
    </row>
    <row r="426024" spans="1:1" x14ac:dyDescent="0.3">
      <c r="A426024" s="15" t="s">
        <v>190</v>
      </c>
    </row>
    <row r="426025" spans="1:1" x14ac:dyDescent="0.3">
      <c r="A426025" s="14" t="s">
        <v>47</v>
      </c>
    </row>
    <row r="426026" spans="1:1" x14ac:dyDescent="0.3">
      <c r="A426026" s="14" t="s">
        <v>118</v>
      </c>
    </row>
    <row r="426027" spans="1:1" x14ac:dyDescent="0.3">
      <c r="A426027" s="14" t="s">
        <v>85</v>
      </c>
    </row>
    <row r="426028" spans="1:1" x14ac:dyDescent="0.3">
      <c r="A426028" s="13" t="s">
        <v>21</v>
      </c>
    </row>
    <row r="426029" spans="1:1" x14ac:dyDescent="0.3">
      <c r="A426029" s="14" t="s">
        <v>91</v>
      </c>
    </row>
    <row r="426030" spans="1:1" x14ac:dyDescent="0.3">
      <c r="A426030" s="14" t="s">
        <v>92</v>
      </c>
    </row>
    <row r="426031" spans="1:1" x14ac:dyDescent="0.3">
      <c r="A426031" s="14" t="s">
        <v>98</v>
      </c>
    </row>
    <row r="426032" spans="1:1" x14ac:dyDescent="0.3">
      <c r="A426032" s="14" t="s">
        <v>99</v>
      </c>
    </row>
    <row r="426033" spans="1:1" x14ac:dyDescent="0.3">
      <c r="A426033" s="13" t="s">
        <v>24</v>
      </c>
    </row>
    <row r="426034" spans="1:1" x14ac:dyDescent="0.3">
      <c r="A426034" s="13" t="s">
        <v>82</v>
      </c>
    </row>
    <row r="426035" spans="1:1" x14ac:dyDescent="0.3">
      <c r="A426035" s="13" t="s">
        <v>105</v>
      </c>
    </row>
    <row r="426036" spans="1:1" x14ac:dyDescent="0.3">
      <c r="A426036" s="13" t="s">
        <v>100</v>
      </c>
    </row>
    <row r="426037" spans="1:1" x14ac:dyDescent="0.3">
      <c r="A426037" s="13" t="s">
        <v>101</v>
      </c>
    </row>
    <row r="426038" spans="1:1" x14ac:dyDescent="0.3">
      <c r="A426038" s="13" t="s">
        <v>102</v>
      </c>
    </row>
    <row r="426039" spans="1:1" x14ac:dyDescent="0.3">
      <c r="A426039" s="13" t="s">
        <v>103</v>
      </c>
    </row>
    <row r="426040" spans="1:1" x14ac:dyDescent="0.3">
      <c r="A426040" s="13" t="s">
        <v>104</v>
      </c>
    </row>
    <row r="442370" spans="1:1" x14ac:dyDescent="0.3">
      <c r="A442370" s="13" t="s">
        <v>0</v>
      </c>
    </row>
    <row r="442371" spans="1:1" x14ac:dyDescent="0.3">
      <c r="A442371" s="13" t="s">
        <v>124</v>
      </c>
    </row>
    <row r="442372" spans="1:1" x14ac:dyDescent="0.3">
      <c r="A442372" s="13" t="s">
        <v>1</v>
      </c>
    </row>
    <row r="442373" spans="1:1" x14ac:dyDescent="0.3">
      <c r="A442373" s="13" t="s">
        <v>2</v>
      </c>
    </row>
    <row r="442374" spans="1:1" x14ac:dyDescent="0.3">
      <c r="A442374" s="14" t="s">
        <v>25</v>
      </c>
    </row>
    <row r="442375" spans="1:1" x14ac:dyDescent="0.3">
      <c r="A442375" s="13" t="s">
        <v>125</v>
      </c>
    </row>
    <row r="442376" spans="1:1" x14ac:dyDescent="0.3">
      <c r="A442376" s="13" t="s">
        <v>126</v>
      </c>
    </row>
    <row r="442377" spans="1:1" x14ac:dyDescent="0.3">
      <c r="A442377" s="13" t="s">
        <v>87</v>
      </c>
    </row>
    <row r="442378" spans="1:1" x14ac:dyDescent="0.3">
      <c r="A442378" s="13" t="s">
        <v>22</v>
      </c>
    </row>
    <row r="442379" spans="1:1" x14ac:dyDescent="0.3">
      <c r="A442379" s="13" t="s">
        <v>3</v>
      </c>
    </row>
    <row r="442380" spans="1:1" x14ac:dyDescent="0.3">
      <c r="A442380" s="15" t="s">
        <v>94</v>
      </c>
    </row>
    <row r="442381" spans="1:1" x14ac:dyDescent="0.3">
      <c r="A442381" s="15" t="s">
        <v>93</v>
      </c>
    </row>
    <row r="442382" spans="1:1" x14ac:dyDescent="0.3">
      <c r="A442382" s="15" t="s">
        <v>4</v>
      </c>
    </row>
    <row r="442383" spans="1:1" x14ac:dyDescent="0.3">
      <c r="A442383" s="15" t="s">
        <v>117</v>
      </c>
    </row>
    <row r="442384" spans="1:1" x14ac:dyDescent="0.3">
      <c r="A442384" s="15" t="s">
        <v>5</v>
      </c>
    </row>
    <row r="442385" spans="1:1" x14ac:dyDescent="0.3">
      <c r="A442385" s="15" t="s">
        <v>6</v>
      </c>
    </row>
    <row r="442386" spans="1:1" x14ac:dyDescent="0.3">
      <c r="A442386" s="15" t="s">
        <v>7</v>
      </c>
    </row>
    <row r="442387" spans="1:1" x14ac:dyDescent="0.3">
      <c r="A442387" s="15" t="s">
        <v>8</v>
      </c>
    </row>
    <row r="442388" spans="1:1" x14ac:dyDescent="0.3">
      <c r="A442388" s="15" t="s">
        <v>9</v>
      </c>
    </row>
    <row r="442389" spans="1:1" x14ac:dyDescent="0.3">
      <c r="A442389" s="15" t="s">
        <v>10</v>
      </c>
    </row>
    <row r="442390" spans="1:1" x14ac:dyDescent="0.3">
      <c r="A442390" s="15" t="s">
        <v>11</v>
      </c>
    </row>
    <row r="442391" spans="1:1" x14ac:dyDescent="0.3">
      <c r="A442391" s="15" t="s">
        <v>12</v>
      </c>
    </row>
    <row r="442392" spans="1:1" x14ac:dyDescent="0.3">
      <c r="A442392" s="15" t="s">
        <v>13</v>
      </c>
    </row>
    <row r="442393" spans="1:1" x14ac:dyDescent="0.3">
      <c r="A442393" s="15" t="s">
        <v>14</v>
      </c>
    </row>
    <row r="442394" spans="1:1" x14ac:dyDescent="0.3">
      <c r="A442394" s="13" t="s">
        <v>31</v>
      </c>
    </row>
    <row r="442395" spans="1:1" x14ac:dyDescent="0.3">
      <c r="A442395" s="13" t="s">
        <v>86</v>
      </c>
    </row>
    <row r="442396" spans="1:1" x14ac:dyDescent="0.3">
      <c r="A442396" s="15" t="s">
        <v>30</v>
      </c>
    </row>
    <row r="442397" spans="1:1" x14ac:dyDescent="0.3">
      <c r="A442397" s="15" t="s">
        <v>26</v>
      </c>
    </row>
    <row r="442398" spans="1:1" x14ac:dyDescent="0.3">
      <c r="A442398" s="15" t="s">
        <v>27</v>
      </c>
    </row>
    <row r="442399" spans="1:1" x14ac:dyDescent="0.3">
      <c r="A442399" s="15" t="s">
        <v>28</v>
      </c>
    </row>
    <row r="442400" spans="1:1" x14ac:dyDescent="0.3">
      <c r="A442400" s="15" t="s">
        <v>88</v>
      </c>
    </row>
    <row r="442401" spans="1:1" x14ac:dyDescent="0.3">
      <c r="A442401" s="15" t="s">
        <v>89</v>
      </c>
    </row>
    <row r="442402" spans="1:1" x14ac:dyDescent="0.3">
      <c r="A442402" s="15" t="s">
        <v>184</v>
      </c>
    </row>
    <row r="442403" spans="1:1" x14ac:dyDescent="0.3">
      <c r="A442403" s="15" t="s">
        <v>185</v>
      </c>
    </row>
    <row r="442404" spans="1:1" x14ac:dyDescent="0.3">
      <c r="A442404" s="15" t="s">
        <v>186</v>
      </c>
    </row>
    <row r="442405" spans="1:1" x14ac:dyDescent="0.3">
      <c r="A442405" s="15" t="s">
        <v>187</v>
      </c>
    </row>
    <row r="442406" spans="1:1" x14ac:dyDescent="0.3">
      <c r="A442406" s="15" t="s">
        <v>188</v>
      </c>
    </row>
    <row r="442407" spans="1:1" x14ac:dyDescent="0.3">
      <c r="A442407" s="15" t="s">
        <v>189</v>
      </c>
    </row>
    <row r="442408" spans="1:1" x14ac:dyDescent="0.3">
      <c r="A442408" s="15" t="s">
        <v>190</v>
      </c>
    </row>
    <row r="442409" spans="1:1" x14ac:dyDescent="0.3">
      <c r="A442409" s="14" t="s">
        <v>47</v>
      </c>
    </row>
    <row r="442410" spans="1:1" x14ac:dyDescent="0.3">
      <c r="A442410" s="14" t="s">
        <v>118</v>
      </c>
    </row>
    <row r="442411" spans="1:1" x14ac:dyDescent="0.3">
      <c r="A442411" s="14" t="s">
        <v>85</v>
      </c>
    </row>
    <row r="442412" spans="1:1" x14ac:dyDescent="0.3">
      <c r="A442412" s="13" t="s">
        <v>21</v>
      </c>
    </row>
    <row r="442413" spans="1:1" x14ac:dyDescent="0.3">
      <c r="A442413" s="14" t="s">
        <v>91</v>
      </c>
    </row>
    <row r="442414" spans="1:1" x14ac:dyDescent="0.3">
      <c r="A442414" s="14" t="s">
        <v>92</v>
      </c>
    </row>
    <row r="442415" spans="1:1" x14ac:dyDescent="0.3">
      <c r="A442415" s="14" t="s">
        <v>98</v>
      </c>
    </row>
    <row r="442416" spans="1:1" x14ac:dyDescent="0.3">
      <c r="A442416" s="14" t="s">
        <v>99</v>
      </c>
    </row>
    <row r="442417" spans="1:1" x14ac:dyDescent="0.3">
      <c r="A442417" s="13" t="s">
        <v>24</v>
      </c>
    </row>
    <row r="442418" spans="1:1" x14ac:dyDescent="0.3">
      <c r="A442418" s="13" t="s">
        <v>82</v>
      </c>
    </row>
    <row r="442419" spans="1:1" x14ac:dyDescent="0.3">
      <c r="A442419" s="13" t="s">
        <v>105</v>
      </c>
    </row>
    <row r="442420" spans="1:1" x14ac:dyDescent="0.3">
      <c r="A442420" s="13" t="s">
        <v>100</v>
      </c>
    </row>
    <row r="442421" spans="1:1" x14ac:dyDescent="0.3">
      <c r="A442421" s="13" t="s">
        <v>101</v>
      </c>
    </row>
    <row r="442422" spans="1:1" x14ac:dyDescent="0.3">
      <c r="A442422" s="13" t="s">
        <v>102</v>
      </c>
    </row>
    <row r="442423" spans="1:1" x14ac:dyDescent="0.3">
      <c r="A442423" s="13" t="s">
        <v>103</v>
      </c>
    </row>
    <row r="442424" spans="1:1" x14ac:dyDescent="0.3">
      <c r="A442424" s="13" t="s">
        <v>104</v>
      </c>
    </row>
    <row r="458754" spans="1:1" x14ac:dyDescent="0.3">
      <c r="A458754" s="13" t="s">
        <v>0</v>
      </c>
    </row>
    <row r="458755" spans="1:1" x14ac:dyDescent="0.3">
      <c r="A458755" s="13" t="s">
        <v>124</v>
      </c>
    </row>
    <row r="458756" spans="1:1" x14ac:dyDescent="0.3">
      <c r="A458756" s="13" t="s">
        <v>1</v>
      </c>
    </row>
    <row r="458757" spans="1:1" x14ac:dyDescent="0.3">
      <c r="A458757" s="13" t="s">
        <v>2</v>
      </c>
    </row>
    <row r="458758" spans="1:1" x14ac:dyDescent="0.3">
      <c r="A458758" s="14" t="s">
        <v>25</v>
      </c>
    </row>
    <row r="458759" spans="1:1" x14ac:dyDescent="0.3">
      <c r="A458759" s="13" t="s">
        <v>125</v>
      </c>
    </row>
    <row r="458760" spans="1:1" x14ac:dyDescent="0.3">
      <c r="A458760" s="13" t="s">
        <v>126</v>
      </c>
    </row>
    <row r="458761" spans="1:1" x14ac:dyDescent="0.3">
      <c r="A458761" s="13" t="s">
        <v>87</v>
      </c>
    </row>
    <row r="458762" spans="1:1" x14ac:dyDescent="0.3">
      <c r="A458762" s="13" t="s">
        <v>22</v>
      </c>
    </row>
    <row r="458763" spans="1:1" x14ac:dyDescent="0.3">
      <c r="A458763" s="13" t="s">
        <v>3</v>
      </c>
    </row>
    <row r="458764" spans="1:1" x14ac:dyDescent="0.3">
      <c r="A458764" s="15" t="s">
        <v>94</v>
      </c>
    </row>
    <row r="458765" spans="1:1" x14ac:dyDescent="0.3">
      <c r="A458765" s="15" t="s">
        <v>93</v>
      </c>
    </row>
    <row r="458766" spans="1:1" x14ac:dyDescent="0.3">
      <c r="A458766" s="15" t="s">
        <v>4</v>
      </c>
    </row>
    <row r="458767" spans="1:1" x14ac:dyDescent="0.3">
      <c r="A458767" s="15" t="s">
        <v>117</v>
      </c>
    </row>
    <row r="458768" spans="1:1" x14ac:dyDescent="0.3">
      <c r="A458768" s="15" t="s">
        <v>5</v>
      </c>
    </row>
    <row r="458769" spans="1:1" x14ac:dyDescent="0.3">
      <c r="A458769" s="15" t="s">
        <v>6</v>
      </c>
    </row>
    <row r="458770" spans="1:1" x14ac:dyDescent="0.3">
      <c r="A458770" s="15" t="s">
        <v>7</v>
      </c>
    </row>
    <row r="458771" spans="1:1" x14ac:dyDescent="0.3">
      <c r="A458771" s="15" t="s">
        <v>8</v>
      </c>
    </row>
    <row r="458772" spans="1:1" x14ac:dyDescent="0.3">
      <c r="A458772" s="15" t="s">
        <v>9</v>
      </c>
    </row>
    <row r="458773" spans="1:1" x14ac:dyDescent="0.3">
      <c r="A458773" s="15" t="s">
        <v>10</v>
      </c>
    </row>
    <row r="458774" spans="1:1" x14ac:dyDescent="0.3">
      <c r="A458774" s="15" t="s">
        <v>11</v>
      </c>
    </row>
    <row r="458775" spans="1:1" x14ac:dyDescent="0.3">
      <c r="A458775" s="15" t="s">
        <v>12</v>
      </c>
    </row>
    <row r="458776" spans="1:1" x14ac:dyDescent="0.3">
      <c r="A458776" s="15" t="s">
        <v>13</v>
      </c>
    </row>
    <row r="458777" spans="1:1" x14ac:dyDescent="0.3">
      <c r="A458777" s="15" t="s">
        <v>14</v>
      </c>
    </row>
    <row r="458778" spans="1:1" x14ac:dyDescent="0.3">
      <c r="A458778" s="13" t="s">
        <v>31</v>
      </c>
    </row>
    <row r="458779" spans="1:1" x14ac:dyDescent="0.3">
      <c r="A458779" s="13" t="s">
        <v>86</v>
      </c>
    </row>
    <row r="458780" spans="1:1" x14ac:dyDescent="0.3">
      <c r="A458780" s="15" t="s">
        <v>30</v>
      </c>
    </row>
    <row r="458781" spans="1:1" x14ac:dyDescent="0.3">
      <c r="A458781" s="15" t="s">
        <v>26</v>
      </c>
    </row>
    <row r="458782" spans="1:1" x14ac:dyDescent="0.3">
      <c r="A458782" s="15" t="s">
        <v>27</v>
      </c>
    </row>
    <row r="458783" spans="1:1" x14ac:dyDescent="0.3">
      <c r="A458783" s="15" t="s">
        <v>28</v>
      </c>
    </row>
    <row r="458784" spans="1:1" x14ac:dyDescent="0.3">
      <c r="A458784" s="15" t="s">
        <v>88</v>
      </c>
    </row>
    <row r="458785" spans="1:1" x14ac:dyDescent="0.3">
      <c r="A458785" s="15" t="s">
        <v>89</v>
      </c>
    </row>
    <row r="458786" spans="1:1" x14ac:dyDescent="0.3">
      <c r="A458786" s="15" t="s">
        <v>184</v>
      </c>
    </row>
    <row r="458787" spans="1:1" x14ac:dyDescent="0.3">
      <c r="A458787" s="15" t="s">
        <v>185</v>
      </c>
    </row>
    <row r="458788" spans="1:1" x14ac:dyDescent="0.3">
      <c r="A458788" s="15" t="s">
        <v>186</v>
      </c>
    </row>
    <row r="458789" spans="1:1" x14ac:dyDescent="0.3">
      <c r="A458789" s="15" t="s">
        <v>187</v>
      </c>
    </row>
    <row r="458790" spans="1:1" x14ac:dyDescent="0.3">
      <c r="A458790" s="15" t="s">
        <v>188</v>
      </c>
    </row>
    <row r="458791" spans="1:1" x14ac:dyDescent="0.3">
      <c r="A458791" s="15" t="s">
        <v>189</v>
      </c>
    </row>
    <row r="458792" spans="1:1" x14ac:dyDescent="0.3">
      <c r="A458792" s="15" t="s">
        <v>190</v>
      </c>
    </row>
    <row r="458793" spans="1:1" x14ac:dyDescent="0.3">
      <c r="A458793" s="14" t="s">
        <v>47</v>
      </c>
    </row>
    <row r="458794" spans="1:1" x14ac:dyDescent="0.3">
      <c r="A458794" s="14" t="s">
        <v>118</v>
      </c>
    </row>
    <row r="458795" spans="1:1" x14ac:dyDescent="0.3">
      <c r="A458795" s="14" t="s">
        <v>85</v>
      </c>
    </row>
    <row r="458796" spans="1:1" x14ac:dyDescent="0.3">
      <c r="A458796" s="13" t="s">
        <v>21</v>
      </c>
    </row>
    <row r="458797" spans="1:1" x14ac:dyDescent="0.3">
      <c r="A458797" s="14" t="s">
        <v>91</v>
      </c>
    </row>
    <row r="458798" spans="1:1" x14ac:dyDescent="0.3">
      <c r="A458798" s="14" t="s">
        <v>92</v>
      </c>
    </row>
    <row r="458799" spans="1:1" x14ac:dyDescent="0.3">
      <c r="A458799" s="14" t="s">
        <v>98</v>
      </c>
    </row>
    <row r="458800" spans="1:1" x14ac:dyDescent="0.3">
      <c r="A458800" s="14" t="s">
        <v>99</v>
      </c>
    </row>
    <row r="458801" spans="1:1" x14ac:dyDescent="0.3">
      <c r="A458801" s="13" t="s">
        <v>24</v>
      </c>
    </row>
    <row r="458802" spans="1:1" x14ac:dyDescent="0.3">
      <c r="A458802" s="13" t="s">
        <v>82</v>
      </c>
    </row>
    <row r="458803" spans="1:1" x14ac:dyDescent="0.3">
      <c r="A458803" s="13" t="s">
        <v>105</v>
      </c>
    </row>
    <row r="458804" spans="1:1" x14ac:dyDescent="0.3">
      <c r="A458804" s="13" t="s">
        <v>100</v>
      </c>
    </row>
    <row r="458805" spans="1:1" x14ac:dyDescent="0.3">
      <c r="A458805" s="13" t="s">
        <v>101</v>
      </c>
    </row>
    <row r="458806" spans="1:1" x14ac:dyDescent="0.3">
      <c r="A458806" s="13" t="s">
        <v>102</v>
      </c>
    </row>
    <row r="458807" spans="1:1" x14ac:dyDescent="0.3">
      <c r="A458807" s="13" t="s">
        <v>103</v>
      </c>
    </row>
    <row r="458808" spans="1:1" x14ac:dyDescent="0.3">
      <c r="A458808" s="13" t="s">
        <v>104</v>
      </c>
    </row>
    <row r="475138" spans="1:1" x14ac:dyDescent="0.3">
      <c r="A475138" s="13" t="s">
        <v>0</v>
      </c>
    </row>
    <row r="475139" spans="1:1" x14ac:dyDescent="0.3">
      <c r="A475139" s="13" t="s">
        <v>124</v>
      </c>
    </row>
    <row r="475140" spans="1:1" x14ac:dyDescent="0.3">
      <c r="A475140" s="13" t="s">
        <v>1</v>
      </c>
    </row>
    <row r="475141" spans="1:1" x14ac:dyDescent="0.3">
      <c r="A475141" s="13" t="s">
        <v>2</v>
      </c>
    </row>
    <row r="475142" spans="1:1" x14ac:dyDescent="0.3">
      <c r="A475142" s="14" t="s">
        <v>25</v>
      </c>
    </row>
    <row r="475143" spans="1:1" x14ac:dyDescent="0.3">
      <c r="A475143" s="13" t="s">
        <v>125</v>
      </c>
    </row>
    <row r="475144" spans="1:1" x14ac:dyDescent="0.3">
      <c r="A475144" s="13" t="s">
        <v>126</v>
      </c>
    </row>
    <row r="475145" spans="1:1" x14ac:dyDescent="0.3">
      <c r="A475145" s="13" t="s">
        <v>87</v>
      </c>
    </row>
    <row r="475146" spans="1:1" x14ac:dyDescent="0.3">
      <c r="A475146" s="13" t="s">
        <v>22</v>
      </c>
    </row>
    <row r="475147" spans="1:1" x14ac:dyDescent="0.3">
      <c r="A475147" s="13" t="s">
        <v>3</v>
      </c>
    </row>
    <row r="475148" spans="1:1" x14ac:dyDescent="0.3">
      <c r="A475148" s="15" t="s">
        <v>94</v>
      </c>
    </row>
    <row r="475149" spans="1:1" x14ac:dyDescent="0.3">
      <c r="A475149" s="15" t="s">
        <v>93</v>
      </c>
    </row>
    <row r="475150" spans="1:1" x14ac:dyDescent="0.3">
      <c r="A475150" s="15" t="s">
        <v>4</v>
      </c>
    </row>
    <row r="475151" spans="1:1" x14ac:dyDescent="0.3">
      <c r="A475151" s="15" t="s">
        <v>117</v>
      </c>
    </row>
    <row r="475152" spans="1:1" x14ac:dyDescent="0.3">
      <c r="A475152" s="15" t="s">
        <v>5</v>
      </c>
    </row>
    <row r="475153" spans="1:1" x14ac:dyDescent="0.3">
      <c r="A475153" s="15" t="s">
        <v>6</v>
      </c>
    </row>
    <row r="475154" spans="1:1" x14ac:dyDescent="0.3">
      <c r="A475154" s="15" t="s">
        <v>7</v>
      </c>
    </row>
    <row r="475155" spans="1:1" x14ac:dyDescent="0.3">
      <c r="A475155" s="15" t="s">
        <v>8</v>
      </c>
    </row>
    <row r="475156" spans="1:1" x14ac:dyDescent="0.3">
      <c r="A475156" s="15" t="s">
        <v>9</v>
      </c>
    </row>
    <row r="475157" spans="1:1" x14ac:dyDescent="0.3">
      <c r="A475157" s="15" t="s">
        <v>10</v>
      </c>
    </row>
    <row r="475158" spans="1:1" x14ac:dyDescent="0.3">
      <c r="A475158" s="15" t="s">
        <v>11</v>
      </c>
    </row>
    <row r="475159" spans="1:1" x14ac:dyDescent="0.3">
      <c r="A475159" s="15" t="s">
        <v>12</v>
      </c>
    </row>
    <row r="475160" spans="1:1" x14ac:dyDescent="0.3">
      <c r="A475160" s="15" t="s">
        <v>13</v>
      </c>
    </row>
    <row r="475161" spans="1:1" x14ac:dyDescent="0.3">
      <c r="A475161" s="15" t="s">
        <v>14</v>
      </c>
    </row>
    <row r="475162" spans="1:1" x14ac:dyDescent="0.3">
      <c r="A475162" s="13" t="s">
        <v>31</v>
      </c>
    </row>
    <row r="475163" spans="1:1" x14ac:dyDescent="0.3">
      <c r="A475163" s="13" t="s">
        <v>86</v>
      </c>
    </row>
    <row r="475164" spans="1:1" x14ac:dyDescent="0.3">
      <c r="A475164" s="15" t="s">
        <v>30</v>
      </c>
    </row>
    <row r="475165" spans="1:1" x14ac:dyDescent="0.3">
      <c r="A475165" s="15" t="s">
        <v>26</v>
      </c>
    </row>
    <row r="475166" spans="1:1" x14ac:dyDescent="0.3">
      <c r="A475166" s="15" t="s">
        <v>27</v>
      </c>
    </row>
    <row r="475167" spans="1:1" x14ac:dyDescent="0.3">
      <c r="A475167" s="15" t="s">
        <v>28</v>
      </c>
    </row>
    <row r="475168" spans="1:1" x14ac:dyDescent="0.3">
      <c r="A475168" s="15" t="s">
        <v>88</v>
      </c>
    </row>
    <row r="475169" spans="1:1" x14ac:dyDescent="0.3">
      <c r="A475169" s="15" t="s">
        <v>89</v>
      </c>
    </row>
    <row r="475170" spans="1:1" x14ac:dyDescent="0.3">
      <c r="A475170" s="15" t="s">
        <v>184</v>
      </c>
    </row>
    <row r="475171" spans="1:1" x14ac:dyDescent="0.3">
      <c r="A475171" s="15" t="s">
        <v>185</v>
      </c>
    </row>
    <row r="475172" spans="1:1" x14ac:dyDescent="0.3">
      <c r="A475172" s="15" t="s">
        <v>186</v>
      </c>
    </row>
    <row r="475173" spans="1:1" x14ac:dyDescent="0.3">
      <c r="A475173" s="15" t="s">
        <v>187</v>
      </c>
    </row>
    <row r="475174" spans="1:1" x14ac:dyDescent="0.3">
      <c r="A475174" s="15" t="s">
        <v>188</v>
      </c>
    </row>
    <row r="475175" spans="1:1" x14ac:dyDescent="0.3">
      <c r="A475175" s="15" t="s">
        <v>189</v>
      </c>
    </row>
    <row r="475176" spans="1:1" x14ac:dyDescent="0.3">
      <c r="A475176" s="15" t="s">
        <v>190</v>
      </c>
    </row>
    <row r="475177" spans="1:1" x14ac:dyDescent="0.3">
      <c r="A475177" s="14" t="s">
        <v>47</v>
      </c>
    </row>
    <row r="475178" spans="1:1" x14ac:dyDescent="0.3">
      <c r="A475178" s="14" t="s">
        <v>118</v>
      </c>
    </row>
    <row r="475179" spans="1:1" x14ac:dyDescent="0.3">
      <c r="A475179" s="14" t="s">
        <v>85</v>
      </c>
    </row>
    <row r="475180" spans="1:1" x14ac:dyDescent="0.3">
      <c r="A475180" s="13" t="s">
        <v>21</v>
      </c>
    </row>
    <row r="475181" spans="1:1" x14ac:dyDescent="0.3">
      <c r="A475181" s="14" t="s">
        <v>91</v>
      </c>
    </row>
    <row r="475182" spans="1:1" x14ac:dyDescent="0.3">
      <c r="A475182" s="14" t="s">
        <v>92</v>
      </c>
    </row>
    <row r="475183" spans="1:1" x14ac:dyDescent="0.3">
      <c r="A475183" s="14" t="s">
        <v>98</v>
      </c>
    </row>
    <row r="475184" spans="1:1" x14ac:dyDescent="0.3">
      <c r="A475184" s="14" t="s">
        <v>99</v>
      </c>
    </row>
    <row r="475185" spans="1:1" x14ac:dyDescent="0.3">
      <c r="A475185" s="13" t="s">
        <v>24</v>
      </c>
    </row>
    <row r="475186" spans="1:1" x14ac:dyDescent="0.3">
      <c r="A475186" s="13" t="s">
        <v>82</v>
      </c>
    </row>
    <row r="475187" spans="1:1" x14ac:dyDescent="0.3">
      <c r="A475187" s="13" t="s">
        <v>105</v>
      </c>
    </row>
    <row r="475188" spans="1:1" x14ac:dyDescent="0.3">
      <c r="A475188" s="13" t="s">
        <v>100</v>
      </c>
    </row>
    <row r="475189" spans="1:1" x14ac:dyDescent="0.3">
      <c r="A475189" s="13" t="s">
        <v>101</v>
      </c>
    </row>
    <row r="475190" spans="1:1" x14ac:dyDescent="0.3">
      <c r="A475190" s="13" t="s">
        <v>102</v>
      </c>
    </row>
    <row r="475191" spans="1:1" x14ac:dyDescent="0.3">
      <c r="A475191" s="13" t="s">
        <v>103</v>
      </c>
    </row>
    <row r="475192" spans="1:1" x14ac:dyDescent="0.3">
      <c r="A475192" s="13" t="s">
        <v>104</v>
      </c>
    </row>
    <row r="491522" spans="1:1" x14ac:dyDescent="0.3">
      <c r="A491522" s="13" t="s">
        <v>0</v>
      </c>
    </row>
    <row r="491523" spans="1:1" x14ac:dyDescent="0.3">
      <c r="A491523" s="13" t="s">
        <v>124</v>
      </c>
    </row>
    <row r="491524" spans="1:1" x14ac:dyDescent="0.3">
      <c r="A491524" s="13" t="s">
        <v>1</v>
      </c>
    </row>
    <row r="491525" spans="1:1" x14ac:dyDescent="0.3">
      <c r="A491525" s="13" t="s">
        <v>2</v>
      </c>
    </row>
    <row r="491526" spans="1:1" x14ac:dyDescent="0.3">
      <c r="A491526" s="14" t="s">
        <v>25</v>
      </c>
    </row>
    <row r="491527" spans="1:1" x14ac:dyDescent="0.3">
      <c r="A491527" s="13" t="s">
        <v>125</v>
      </c>
    </row>
    <row r="491528" spans="1:1" x14ac:dyDescent="0.3">
      <c r="A491528" s="13" t="s">
        <v>126</v>
      </c>
    </row>
    <row r="491529" spans="1:1" x14ac:dyDescent="0.3">
      <c r="A491529" s="13" t="s">
        <v>87</v>
      </c>
    </row>
    <row r="491530" spans="1:1" x14ac:dyDescent="0.3">
      <c r="A491530" s="13" t="s">
        <v>22</v>
      </c>
    </row>
    <row r="491531" spans="1:1" x14ac:dyDescent="0.3">
      <c r="A491531" s="13" t="s">
        <v>3</v>
      </c>
    </row>
    <row r="491532" spans="1:1" x14ac:dyDescent="0.3">
      <c r="A491532" s="15" t="s">
        <v>94</v>
      </c>
    </row>
    <row r="491533" spans="1:1" x14ac:dyDescent="0.3">
      <c r="A491533" s="15" t="s">
        <v>93</v>
      </c>
    </row>
    <row r="491534" spans="1:1" x14ac:dyDescent="0.3">
      <c r="A491534" s="15" t="s">
        <v>4</v>
      </c>
    </row>
    <row r="491535" spans="1:1" x14ac:dyDescent="0.3">
      <c r="A491535" s="15" t="s">
        <v>117</v>
      </c>
    </row>
    <row r="491536" spans="1:1" x14ac:dyDescent="0.3">
      <c r="A491536" s="15" t="s">
        <v>5</v>
      </c>
    </row>
    <row r="491537" spans="1:1" x14ac:dyDescent="0.3">
      <c r="A491537" s="15" t="s">
        <v>6</v>
      </c>
    </row>
    <row r="491538" spans="1:1" x14ac:dyDescent="0.3">
      <c r="A491538" s="15" t="s">
        <v>7</v>
      </c>
    </row>
    <row r="491539" spans="1:1" x14ac:dyDescent="0.3">
      <c r="A491539" s="15" t="s">
        <v>8</v>
      </c>
    </row>
    <row r="491540" spans="1:1" x14ac:dyDescent="0.3">
      <c r="A491540" s="15" t="s">
        <v>9</v>
      </c>
    </row>
    <row r="491541" spans="1:1" x14ac:dyDescent="0.3">
      <c r="A491541" s="15" t="s">
        <v>10</v>
      </c>
    </row>
    <row r="491542" spans="1:1" x14ac:dyDescent="0.3">
      <c r="A491542" s="15" t="s">
        <v>11</v>
      </c>
    </row>
    <row r="491543" spans="1:1" x14ac:dyDescent="0.3">
      <c r="A491543" s="15" t="s">
        <v>12</v>
      </c>
    </row>
    <row r="491544" spans="1:1" x14ac:dyDescent="0.3">
      <c r="A491544" s="15" t="s">
        <v>13</v>
      </c>
    </row>
    <row r="491545" spans="1:1" x14ac:dyDescent="0.3">
      <c r="A491545" s="15" t="s">
        <v>14</v>
      </c>
    </row>
    <row r="491546" spans="1:1" x14ac:dyDescent="0.3">
      <c r="A491546" s="13" t="s">
        <v>31</v>
      </c>
    </row>
    <row r="491547" spans="1:1" x14ac:dyDescent="0.3">
      <c r="A491547" s="13" t="s">
        <v>86</v>
      </c>
    </row>
    <row r="491548" spans="1:1" x14ac:dyDescent="0.3">
      <c r="A491548" s="15" t="s">
        <v>30</v>
      </c>
    </row>
    <row r="491549" spans="1:1" x14ac:dyDescent="0.3">
      <c r="A491549" s="15" t="s">
        <v>26</v>
      </c>
    </row>
    <row r="491550" spans="1:1" x14ac:dyDescent="0.3">
      <c r="A491550" s="15" t="s">
        <v>27</v>
      </c>
    </row>
    <row r="491551" spans="1:1" x14ac:dyDescent="0.3">
      <c r="A491551" s="15" t="s">
        <v>28</v>
      </c>
    </row>
    <row r="491552" spans="1:1" x14ac:dyDescent="0.3">
      <c r="A491552" s="15" t="s">
        <v>88</v>
      </c>
    </row>
    <row r="491553" spans="1:1" x14ac:dyDescent="0.3">
      <c r="A491553" s="15" t="s">
        <v>89</v>
      </c>
    </row>
    <row r="491554" spans="1:1" x14ac:dyDescent="0.3">
      <c r="A491554" s="15" t="s">
        <v>184</v>
      </c>
    </row>
    <row r="491555" spans="1:1" x14ac:dyDescent="0.3">
      <c r="A491555" s="15" t="s">
        <v>185</v>
      </c>
    </row>
    <row r="491556" spans="1:1" x14ac:dyDescent="0.3">
      <c r="A491556" s="15" t="s">
        <v>186</v>
      </c>
    </row>
    <row r="491557" spans="1:1" x14ac:dyDescent="0.3">
      <c r="A491557" s="15" t="s">
        <v>187</v>
      </c>
    </row>
    <row r="491558" spans="1:1" x14ac:dyDescent="0.3">
      <c r="A491558" s="15" t="s">
        <v>188</v>
      </c>
    </row>
    <row r="491559" spans="1:1" x14ac:dyDescent="0.3">
      <c r="A491559" s="15" t="s">
        <v>189</v>
      </c>
    </row>
    <row r="491560" spans="1:1" x14ac:dyDescent="0.3">
      <c r="A491560" s="15" t="s">
        <v>190</v>
      </c>
    </row>
    <row r="491561" spans="1:1" x14ac:dyDescent="0.3">
      <c r="A491561" s="14" t="s">
        <v>47</v>
      </c>
    </row>
    <row r="491562" spans="1:1" x14ac:dyDescent="0.3">
      <c r="A491562" s="14" t="s">
        <v>118</v>
      </c>
    </row>
    <row r="491563" spans="1:1" x14ac:dyDescent="0.3">
      <c r="A491563" s="14" t="s">
        <v>85</v>
      </c>
    </row>
    <row r="491564" spans="1:1" x14ac:dyDescent="0.3">
      <c r="A491564" s="13" t="s">
        <v>21</v>
      </c>
    </row>
    <row r="491565" spans="1:1" x14ac:dyDescent="0.3">
      <c r="A491565" s="14" t="s">
        <v>91</v>
      </c>
    </row>
    <row r="491566" spans="1:1" x14ac:dyDescent="0.3">
      <c r="A491566" s="14" t="s">
        <v>92</v>
      </c>
    </row>
    <row r="491567" spans="1:1" x14ac:dyDescent="0.3">
      <c r="A491567" s="14" t="s">
        <v>98</v>
      </c>
    </row>
    <row r="491568" spans="1:1" x14ac:dyDescent="0.3">
      <c r="A491568" s="14" t="s">
        <v>99</v>
      </c>
    </row>
    <row r="491569" spans="1:1" x14ac:dyDescent="0.3">
      <c r="A491569" s="13" t="s">
        <v>24</v>
      </c>
    </row>
    <row r="491570" spans="1:1" x14ac:dyDescent="0.3">
      <c r="A491570" s="13" t="s">
        <v>82</v>
      </c>
    </row>
    <row r="491571" spans="1:1" x14ac:dyDescent="0.3">
      <c r="A491571" s="13" t="s">
        <v>105</v>
      </c>
    </row>
    <row r="491572" spans="1:1" x14ac:dyDescent="0.3">
      <c r="A491572" s="13" t="s">
        <v>100</v>
      </c>
    </row>
    <row r="491573" spans="1:1" x14ac:dyDescent="0.3">
      <c r="A491573" s="13" t="s">
        <v>101</v>
      </c>
    </row>
    <row r="491574" spans="1:1" x14ac:dyDescent="0.3">
      <c r="A491574" s="13" t="s">
        <v>102</v>
      </c>
    </row>
    <row r="491575" spans="1:1" x14ac:dyDescent="0.3">
      <c r="A491575" s="13" t="s">
        <v>103</v>
      </c>
    </row>
    <row r="491576" spans="1:1" x14ac:dyDescent="0.3">
      <c r="A491576" s="13" t="s">
        <v>104</v>
      </c>
    </row>
    <row r="507906" spans="1:1" x14ac:dyDescent="0.3">
      <c r="A507906" s="13" t="s">
        <v>0</v>
      </c>
    </row>
    <row r="507907" spans="1:1" x14ac:dyDescent="0.3">
      <c r="A507907" s="13" t="s">
        <v>124</v>
      </c>
    </row>
    <row r="507908" spans="1:1" x14ac:dyDescent="0.3">
      <c r="A507908" s="13" t="s">
        <v>1</v>
      </c>
    </row>
    <row r="507909" spans="1:1" x14ac:dyDescent="0.3">
      <c r="A507909" s="13" t="s">
        <v>2</v>
      </c>
    </row>
    <row r="507910" spans="1:1" x14ac:dyDescent="0.3">
      <c r="A507910" s="14" t="s">
        <v>25</v>
      </c>
    </row>
    <row r="507911" spans="1:1" x14ac:dyDescent="0.3">
      <c r="A507911" s="13" t="s">
        <v>125</v>
      </c>
    </row>
    <row r="507912" spans="1:1" x14ac:dyDescent="0.3">
      <c r="A507912" s="13" t="s">
        <v>126</v>
      </c>
    </row>
    <row r="507913" spans="1:1" x14ac:dyDescent="0.3">
      <c r="A507913" s="13" t="s">
        <v>87</v>
      </c>
    </row>
    <row r="507914" spans="1:1" x14ac:dyDescent="0.3">
      <c r="A507914" s="13" t="s">
        <v>22</v>
      </c>
    </row>
    <row r="507915" spans="1:1" x14ac:dyDescent="0.3">
      <c r="A507915" s="13" t="s">
        <v>3</v>
      </c>
    </row>
    <row r="507916" spans="1:1" x14ac:dyDescent="0.3">
      <c r="A507916" s="15" t="s">
        <v>94</v>
      </c>
    </row>
    <row r="507917" spans="1:1" x14ac:dyDescent="0.3">
      <c r="A507917" s="15" t="s">
        <v>93</v>
      </c>
    </row>
    <row r="507918" spans="1:1" x14ac:dyDescent="0.3">
      <c r="A507918" s="15" t="s">
        <v>4</v>
      </c>
    </row>
    <row r="507919" spans="1:1" x14ac:dyDescent="0.3">
      <c r="A507919" s="15" t="s">
        <v>117</v>
      </c>
    </row>
    <row r="507920" spans="1:1" x14ac:dyDescent="0.3">
      <c r="A507920" s="15" t="s">
        <v>5</v>
      </c>
    </row>
    <row r="507921" spans="1:1" x14ac:dyDescent="0.3">
      <c r="A507921" s="15" t="s">
        <v>6</v>
      </c>
    </row>
    <row r="507922" spans="1:1" x14ac:dyDescent="0.3">
      <c r="A507922" s="15" t="s">
        <v>7</v>
      </c>
    </row>
    <row r="507923" spans="1:1" x14ac:dyDescent="0.3">
      <c r="A507923" s="15" t="s">
        <v>8</v>
      </c>
    </row>
    <row r="507924" spans="1:1" x14ac:dyDescent="0.3">
      <c r="A507924" s="15" t="s">
        <v>9</v>
      </c>
    </row>
    <row r="507925" spans="1:1" x14ac:dyDescent="0.3">
      <c r="A507925" s="15" t="s">
        <v>10</v>
      </c>
    </row>
    <row r="507926" spans="1:1" x14ac:dyDescent="0.3">
      <c r="A507926" s="15" t="s">
        <v>11</v>
      </c>
    </row>
    <row r="507927" spans="1:1" x14ac:dyDescent="0.3">
      <c r="A507927" s="15" t="s">
        <v>12</v>
      </c>
    </row>
    <row r="507928" spans="1:1" x14ac:dyDescent="0.3">
      <c r="A507928" s="15" t="s">
        <v>13</v>
      </c>
    </row>
    <row r="507929" spans="1:1" x14ac:dyDescent="0.3">
      <c r="A507929" s="15" t="s">
        <v>14</v>
      </c>
    </row>
    <row r="507930" spans="1:1" x14ac:dyDescent="0.3">
      <c r="A507930" s="13" t="s">
        <v>31</v>
      </c>
    </row>
    <row r="507931" spans="1:1" x14ac:dyDescent="0.3">
      <c r="A507931" s="13" t="s">
        <v>86</v>
      </c>
    </row>
    <row r="507932" spans="1:1" x14ac:dyDescent="0.3">
      <c r="A507932" s="15" t="s">
        <v>30</v>
      </c>
    </row>
    <row r="507933" spans="1:1" x14ac:dyDescent="0.3">
      <c r="A507933" s="15" t="s">
        <v>26</v>
      </c>
    </row>
    <row r="507934" spans="1:1" x14ac:dyDescent="0.3">
      <c r="A507934" s="15" t="s">
        <v>27</v>
      </c>
    </row>
    <row r="507935" spans="1:1" x14ac:dyDescent="0.3">
      <c r="A507935" s="15" t="s">
        <v>28</v>
      </c>
    </row>
    <row r="507936" spans="1:1" x14ac:dyDescent="0.3">
      <c r="A507936" s="15" t="s">
        <v>88</v>
      </c>
    </row>
    <row r="507937" spans="1:1" x14ac:dyDescent="0.3">
      <c r="A507937" s="15" t="s">
        <v>89</v>
      </c>
    </row>
    <row r="507938" spans="1:1" x14ac:dyDescent="0.3">
      <c r="A507938" s="15" t="s">
        <v>184</v>
      </c>
    </row>
    <row r="507939" spans="1:1" x14ac:dyDescent="0.3">
      <c r="A507939" s="15" t="s">
        <v>185</v>
      </c>
    </row>
    <row r="507940" spans="1:1" x14ac:dyDescent="0.3">
      <c r="A507940" s="15" t="s">
        <v>186</v>
      </c>
    </row>
    <row r="507941" spans="1:1" x14ac:dyDescent="0.3">
      <c r="A507941" s="15" t="s">
        <v>187</v>
      </c>
    </row>
    <row r="507942" spans="1:1" x14ac:dyDescent="0.3">
      <c r="A507942" s="15" t="s">
        <v>188</v>
      </c>
    </row>
    <row r="507943" spans="1:1" x14ac:dyDescent="0.3">
      <c r="A507943" s="15" t="s">
        <v>189</v>
      </c>
    </row>
    <row r="507944" spans="1:1" x14ac:dyDescent="0.3">
      <c r="A507944" s="15" t="s">
        <v>190</v>
      </c>
    </row>
    <row r="507945" spans="1:1" x14ac:dyDescent="0.3">
      <c r="A507945" s="14" t="s">
        <v>47</v>
      </c>
    </row>
    <row r="507946" spans="1:1" x14ac:dyDescent="0.3">
      <c r="A507946" s="14" t="s">
        <v>118</v>
      </c>
    </row>
    <row r="507947" spans="1:1" x14ac:dyDescent="0.3">
      <c r="A507947" s="14" t="s">
        <v>85</v>
      </c>
    </row>
    <row r="507948" spans="1:1" x14ac:dyDescent="0.3">
      <c r="A507948" s="13" t="s">
        <v>21</v>
      </c>
    </row>
    <row r="507949" spans="1:1" x14ac:dyDescent="0.3">
      <c r="A507949" s="14" t="s">
        <v>91</v>
      </c>
    </row>
    <row r="507950" spans="1:1" x14ac:dyDescent="0.3">
      <c r="A507950" s="14" t="s">
        <v>92</v>
      </c>
    </row>
    <row r="507951" spans="1:1" x14ac:dyDescent="0.3">
      <c r="A507951" s="14" t="s">
        <v>98</v>
      </c>
    </row>
    <row r="507952" spans="1:1" x14ac:dyDescent="0.3">
      <c r="A507952" s="14" t="s">
        <v>99</v>
      </c>
    </row>
    <row r="507953" spans="1:1" x14ac:dyDescent="0.3">
      <c r="A507953" s="13" t="s">
        <v>24</v>
      </c>
    </row>
    <row r="507954" spans="1:1" x14ac:dyDescent="0.3">
      <c r="A507954" s="13" t="s">
        <v>82</v>
      </c>
    </row>
    <row r="507955" spans="1:1" x14ac:dyDescent="0.3">
      <c r="A507955" s="13" t="s">
        <v>105</v>
      </c>
    </row>
    <row r="507956" spans="1:1" x14ac:dyDescent="0.3">
      <c r="A507956" s="13" t="s">
        <v>100</v>
      </c>
    </row>
    <row r="507957" spans="1:1" x14ac:dyDescent="0.3">
      <c r="A507957" s="13" t="s">
        <v>101</v>
      </c>
    </row>
    <row r="507958" spans="1:1" x14ac:dyDescent="0.3">
      <c r="A507958" s="13" t="s">
        <v>102</v>
      </c>
    </row>
    <row r="507959" spans="1:1" x14ac:dyDescent="0.3">
      <c r="A507959" s="13" t="s">
        <v>103</v>
      </c>
    </row>
    <row r="507960" spans="1:1" x14ac:dyDescent="0.3">
      <c r="A507960" s="13" t="s">
        <v>104</v>
      </c>
    </row>
    <row r="524290" spans="1:1" x14ac:dyDescent="0.3">
      <c r="A524290" s="13" t="s">
        <v>0</v>
      </c>
    </row>
    <row r="524291" spans="1:1" x14ac:dyDescent="0.3">
      <c r="A524291" s="13" t="s">
        <v>124</v>
      </c>
    </row>
    <row r="524292" spans="1:1" x14ac:dyDescent="0.3">
      <c r="A524292" s="13" t="s">
        <v>1</v>
      </c>
    </row>
    <row r="524293" spans="1:1" x14ac:dyDescent="0.3">
      <c r="A524293" s="13" t="s">
        <v>2</v>
      </c>
    </row>
    <row r="524294" spans="1:1" x14ac:dyDescent="0.3">
      <c r="A524294" s="14" t="s">
        <v>25</v>
      </c>
    </row>
    <row r="524295" spans="1:1" x14ac:dyDescent="0.3">
      <c r="A524295" s="13" t="s">
        <v>125</v>
      </c>
    </row>
    <row r="524296" spans="1:1" x14ac:dyDescent="0.3">
      <c r="A524296" s="13" t="s">
        <v>126</v>
      </c>
    </row>
    <row r="524297" spans="1:1" x14ac:dyDescent="0.3">
      <c r="A524297" s="13" t="s">
        <v>87</v>
      </c>
    </row>
    <row r="524298" spans="1:1" x14ac:dyDescent="0.3">
      <c r="A524298" s="13" t="s">
        <v>22</v>
      </c>
    </row>
    <row r="524299" spans="1:1" x14ac:dyDescent="0.3">
      <c r="A524299" s="13" t="s">
        <v>3</v>
      </c>
    </row>
    <row r="524300" spans="1:1" x14ac:dyDescent="0.3">
      <c r="A524300" s="15" t="s">
        <v>94</v>
      </c>
    </row>
    <row r="524301" spans="1:1" x14ac:dyDescent="0.3">
      <c r="A524301" s="15" t="s">
        <v>93</v>
      </c>
    </row>
    <row r="524302" spans="1:1" x14ac:dyDescent="0.3">
      <c r="A524302" s="15" t="s">
        <v>4</v>
      </c>
    </row>
    <row r="524303" spans="1:1" x14ac:dyDescent="0.3">
      <c r="A524303" s="15" t="s">
        <v>117</v>
      </c>
    </row>
    <row r="524304" spans="1:1" x14ac:dyDescent="0.3">
      <c r="A524304" s="15" t="s">
        <v>5</v>
      </c>
    </row>
    <row r="524305" spans="1:1" x14ac:dyDescent="0.3">
      <c r="A524305" s="15" t="s">
        <v>6</v>
      </c>
    </row>
    <row r="524306" spans="1:1" x14ac:dyDescent="0.3">
      <c r="A524306" s="15" t="s">
        <v>7</v>
      </c>
    </row>
    <row r="524307" spans="1:1" x14ac:dyDescent="0.3">
      <c r="A524307" s="15" t="s">
        <v>8</v>
      </c>
    </row>
    <row r="524308" spans="1:1" x14ac:dyDescent="0.3">
      <c r="A524308" s="15" t="s">
        <v>9</v>
      </c>
    </row>
    <row r="524309" spans="1:1" x14ac:dyDescent="0.3">
      <c r="A524309" s="15" t="s">
        <v>10</v>
      </c>
    </row>
    <row r="524310" spans="1:1" x14ac:dyDescent="0.3">
      <c r="A524310" s="15" t="s">
        <v>11</v>
      </c>
    </row>
    <row r="524311" spans="1:1" x14ac:dyDescent="0.3">
      <c r="A524311" s="15" t="s">
        <v>12</v>
      </c>
    </row>
    <row r="524312" spans="1:1" x14ac:dyDescent="0.3">
      <c r="A524312" s="15" t="s">
        <v>13</v>
      </c>
    </row>
    <row r="524313" spans="1:1" x14ac:dyDescent="0.3">
      <c r="A524313" s="15" t="s">
        <v>14</v>
      </c>
    </row>
    <row r="524314" spans="1:1" x14ac:dyDescent="0.3">
      <c r="A524314" s="13" t="s">
        <v>31</v>
      </c>
    </row>
    <row r="524315" spans="1:1" x14ac:dyDescent="0.3">
      <c r="A524315" s="13" t="s">
        <v>86</v>
      </c>
    </row>
    <row r="524316" spans="1:1" x14ac:dyDescent="0.3">
      <c r="A524316" s="15" t="s">
        <v>30</v>
      </c>
    </row>
    <row r="524317" spans="1:1" x14ac:dyDescent="0.3">
      <c r="A524317" s="15" t="s">
        <v>26</v>
      </c>
    </row>
    <row r="524318" spans="1:1" x14ac:dyDescent="0.3">
      <c r="A524318" s="15" t="s">
        <v>27</v>
      </c>
    </row>
    <row r="524319" spans="1:1" x14ac:dyDescent="0.3">
      <c r="A524319" s="15" t="s">
        <v>28</v>
      </c>
    </row>
    <row r="524320" spans="1:1" x14ac:dyDescent="0.3">
      <c r="A524320" s="15" t="s">
        <v>88</v>
      </c>
    </row>
    <row r="524321" spans="1:1" x14ac:dyDescent="0.3">
      <c r="A524321" s="15" t="s">
        <v>89</v>
      </c>
    </row>
    <row r="524322" spans="1:1" x14ac:dyDescent="0.3">
      <c r="A524322" s="15" t="s">
        <v>184</v>
      </c>
    </row>
    <row r="524323" spans="1:1" x14ac:dyDescent="0.3">
      <c r="A524323" s="15" t="s">
        <v>185</v>
      </c>
    </row>
    <row r="524324" spans="1:1" x14ac:dyDescent="0.3">
      <c r="A524324" s="15" t="s">
        <v>186</v>
      </c>
    </row>
    <row r="524325" spans="1:1" x14ac:dyDescent="0.3">
      <c r="A524325" s="15" t="s">
        <v>187</v>
      </c>
    </row>
    <row r="524326" spans="1:1" x14ac:dyDescent="0.3">
      <c r="A524326" s="15" t="s">
        <v>188</v>
      </c>
    </row>
    <row r="524327" spans="1:1" x14ac:dyDescent="0.3">
      <c r="A524327" s="15" t="s">
        <v>189</v>
      </c>
    </row>
    <row r="524328" spans="1:1" x14ac:dyDescent="0.3">
      <c r="A524328" s="15" t="s">
        <v>190</v>
      </c>
    </row>
    <row r="524329" spans="1:1" x14ac:dyDescent="0.3">
      <c r="A524329" s="14" t="s">
        <v>47</v>
      </c>
    </row>
    <row r="524330" spans="1:1" x14ac:dyDescent="0.3">
      <c r="A524330" s="14" t="s">
        <v>118</v>
      </c>
    </row>
    <row r="524331" spans="1:1" x14ac:dyDescent="0.3">
      <c r="A524331" s="14" t="s">
        <v>85</v>
      </c>
    </row>
    <row r="524332" spans="1:1" x14ac:dyDescent="0.3">
      <c r="A524332" s="13" t="s">
        <v>21</v>
      </c>
    </row>
    <row r="524333" spans="1:1" x14ac:dyDescent="0.3">
      <c r="A524333" s="14" t="s">
        <v>91</v>
      </c>
    </row>
    <row r="524334" spans="1:1" x14ac:dyDescent="0.3">
      <c r="A524334" s="14" t="s">
        <v>92</v>
      </c>
    </row>
    <row r="524335" spans="1:1" x14ac:dyDescent="0.3">
      <c r="A524335" s="14" t="s">
        <v>98</v>
      </c>
    </row>
    <row r="524336" spans="1:1" x14ac:dyDescent="0.3">
      <c r="A524336" s="14" t="s">
        <v>99</v>
      </c>
    </row>
    <row r="524337" spans="1:1" x14ac:dyDescent="0.3">
      <c r="A524337" s="13" t="s">
        <v>24</v>
      </c>
    </row>
    <row r="524338" spans="1:1" x14ac:dyDescent="0.3">
      <c r="A524338" s="13" t="s">
        <v>82</v>
      </c>
    </row>
    <row r="524339" spans="1:1" x14ac:dyDescent="0.3">
      <c r="A524339" s="13" t="s">
        <v>105</v>
      </c>
    </row>
    <row r="524340" spans="1:1" x14ac:dyDescent="0.3">
      <c r="A524340" s="13" t="s">
        <v>100</v>
      </c>
    </row>
    <row r="524341" spans="1:1" x14ac:dyDescent="0.3">
      <c r="A524341" s="13" t="s">
        <v>101</v>
      </c>
    </row>
    <row r="524342" spans="1:1" x14ac:dyDescent="0.3">
      <c r="A524342" s="13" t="s">
        <v>102</v>
      </c>
    </row>
    <row r="524343" spans="1:1" x14ac:dyDescent="0.3">
      <c r="A524343" s="13" t="s">
        <v>103</v>
      </c>
    </row>
    <row r="524344" spans="1:1" x14ac:dyDescent="0.3">
      <c r="A524344" s="13" t="s">
        <v>104</v>
      </c>
    </row>
    <row r="540674" spans="1:1" x14ac:dyDescent="0.3">
      <c r="A540674" s="13" t="s">
        <v>0</v>
      </c>
    </row>
    <row r="540675" spans="1:1" x14ac:dyDescent="0.3">
      <c r="A540675" s="13" t="s">
        <v>124</v>
      </c>
    </row>
    <row r="540676" spans="1:1" x14ac:dyDescent="0.3">
      <c r="A540676" s="13" t="s">
        <v>1</v>
      </c>
    </row>
    <row r="540677" spans="1:1" x14ac:dyDescent="0.3">
      <c r="A540677" s="13" t="s">
        <v>2</v>
      </c>
    </row>
    <row r="540678" spans="1:1" x14ac:dyDescent="0.3">
      <c r="A540678" s="14" t="s">
        <v>25</v>
      </c>
    </row>
    <row r="540679" spans="1:1" x14ac:dyDescent="0.3">
      <c r="A540679" s="13" t="s">
        <v>125</v>
      </c>
    </row>
    <row r="540680" spans="1:1" x14ac:dyDescent="0.3">
      <c r="A540680" s="13" t="s">
        <v>126</v>
      </c>
    </row>
    <row r="540681" spans="1:1" x14ac:dyDescent="0.3">
      <c r="A540681" s="13" t="s">
        <v>87</v>
      </c>
    </row>
    <row r="540682" spans="1:1" x14ac:dyDescent="0.3">
      <c r="A540682" s="13" t="s">
        <v>22</v>
      </c>
    </row>
    <row r="540683" spans="1:1" x14ac:dyDescent="0.3">
      <c r="A540683" s="13" t="s">
        <v>3</v>
      </c>
    </row>
    <row r="540684" spans="1:1" x14ac:dyDescent="0.3">
      <c r="A540684" s="15" t="s">
        <v>94</v>
      </c>
    </row>
    <row r="540685" spans="1:1" x14ac:dyDescent="0.3">
      <c r="A540685" s="15" t="s">
        <v>93</v>
      </c>
    </row>
    <row r="540686" spans="1:1" x14ac:dyDescent="0.3">
      <c r="A540686" s="15" t="s">
        <v>4</v>
      </c>
    </row>
    <row r="540687" spans="1:1" x14ac:dyDescent="0.3">
      <c r="A540687" s="15" t="s">
        <v>117</v>
      </c>
    </row>
    <row r="540688" spans="1:1" x14ac:dyDescent="0.3">
      <c r="A540688" s="15" t="s">
        <v>5</v>
      </c>
    </row>
    <row r="540689" spans="1:1" x14ac:dyDescent="0.3">
      <c r="A540689" s="15" t="s">
        <v>6</v>
      </c>
    </row>
    <row r="540690" spans="1:1" x14ac:dyDescent="0.3">
      <c r="A540690" s="15" t="s">
        <v>7</v>
      </c>
    </row>
    <row r="540691" spans="1:1" x14ac:dyDescent="0.3">
      <c r="A540691" s="15" t="s">
        <v>8</v>
      </c>
    </row>
    <row r="540692" spans="1:1" x14ac:dyDescent="0.3">
      <c r="A540692" s="15" t="s">
        <v>9</v>
      </c>
    </row>
    <row r="540693" spans="1:1" x14ac:dyDescent="0.3">
      <c r="A540693" s="15" t="s">
        <v>10</v>
      </c>
    </row>
    <row r="540694" spans="1:1" x14ac:dyDescent="0.3">
      <c r="A540694" s="15" t="s">
        <v>11</v>
      </c>
    </row>
    <row r="540695" spans="1:1" x14ac:dyDescent="0.3">
      <c r="A540695" s="15" t="s">
        <v>12</v>
      </c>
    </row>
    <row r="540696" spans="1:1" x14ac:dyDescent="0.3">
      <c r="A540696" s="15" t="s">
        <v>13</v>
      </c>
    </row>
    <row r="540697" spans="1:1" x14ac:dyDescent="0.3">
      <c r="A540697" s="15" t="s">
        <v>14</v>
      </c>
    </row>
    <row r="540698" spans="1:1" x14ac:dyDescent="0.3">
      <c r="A540698" s="13" t="s">
        <v>31</v>
      </c>
    </row>
    <row r="540699" spans="1:1" x14ac:dyDescent="0.3">
      <c r="A540699" s="13" t="s">
        <v>86</v>
      </c>
    </row>
    <row r="540700" spans="1:1" x14ac:dyDescent="0.3">
      <c r="A540700" s="15" t="s">
        <v>30</v>
      </c>
    </row>
    <row r="540701" spans="1:1" x14ac:dyDescent="0.3">
      <c r="A540701" s="15" t="s">
        <v>26</v>
      </c>
    </row>
    <row r="540702" spans="1:1" x14ac:dyDescent="0.3">
      <c r="A540702" s="15" t="s">
        <v>27</v>
      </c>
    </row>
    <row r="540703" spans="1:1" x14ac:dyDescent="0.3">
      <c r="A540703" s="15" t="s">
        <v>28</v>
      </c>
    </row>
    <row r="540704" spans="1:1" x14ac:dyDescent="0.3">
      <c r="A540704" s="15" t="s">
        <v>88</v>
      </c>
    </row>
    <row r="540705" spans="1:1" x14ac:dyDescent="0.3">
      <c r="A540705" s="15" t="s">
        <v>89</v>
      </c>
    </row>
    <row r="540706" spans="1:1" x14ac:dyDescent="0.3">
      <c r="A540706" s="15" t="s">
        <v>184</v>
      </c>
    </row>
    <row r="540707" spans="1:1" x14ac:dyDescent="0.3">
      <c r="A540707" s="15" t="s">
        <v>185</v>
      </c>
    </row>
    <row r="540708" spans="1:1" x14ac:dyDescent="0.3">
      <c r="A540708" s="15" t="s">
        <v>186</v>
      </c>
    </row>
    <row r="540709" spans="1:1" x14ac:dyDescent="0.3">
      <c r="A540709" s="15" t="s">
        <v>187</v>
      </c>
    </row>
    <row r="540710" spans="1:1" x14ac:dyDescent="0.3">
      <c r="A540710" s="15" t="s">
        <v>188</v>
      </c>
    </row>
    <row r="540711" spans="1:1" x14ac:dyDescent="0.3">
      <c r="A540711" s="15" t="s">
        <v>189</v>
      </c>
    </row>
    <row r="540712" spans="1:1" x14ac:dyDescent="0.3">
      <c r="A540712" s="15" t="s">
        <v>190</v>
      </c>
    </row>
    <row r="540713" spans="1:1" x14ac:dyDescent="0.3">
      <c r="A540713" s="14" t="s">
        <v>47</v>
      </c>
    </row>
    <row r="540714" spans="1:1" x14ac:dyDescent="0.3">
      <c r="A540714" s="14" t="s">
        <v>118</v>
      </c>
    </row>
    <row r="540715" spans="1:1" x14ac:dyDescent="0.3">
      <c r="A540715" s="14" t="s">
        <v>85</v>
      </c>
    </row>
    <row r="540716" spans="1:1" x14ac:dyDescent="0.3">
      <c r="A540716" s="13" t="s">
        <v>21</v>
      </c>
    </row>
    <row r="540717" spans="1:1" x14ac:dyDescent="0.3">
      <c r="A540717" s="14" t="s">
        <v>91</v>
      </c>
    </row>
    <row r="540718" spans="1:1" x14ac:dyDescent="0.3">
      <c r="A540718" s="14" t="s">
        <v>92</v>
      </c>
    </row>
    <row r="540719" spans="1:1" x14ac:dyDescent="0.3">
      <c r="A540719" s="14" t="s">
        <v>98</v>
      </c>
    </row>
    <row r="540720" spans="1:1" x14ac:dyDescent="0.3">
      <c r="A540720" s="14" t="s">
        <v>99</v>
      </c>
    </row>
    <row r="540721" spans="1:1" x14ac:dyDescent="0.3">
      <c r="A540721" s="13" t="s">
        <v>24</v>
      </c>
    </row>
    <row r="540722" spans="1:1" x14ac:dyDescent="0.3">
      <c r="A540722" s="13" t="s">
        <v>82</v>
      </c>
    </row>
    <row r="540723" spans="1:1" x14ac:dyDescent="0.3">
      <c r="A540723" s="13" t="s">
        <v>105</v>
      </c>
    </row>
    <row r="540724" spans="1:1" x14ac:dyDescent="0.3">
      <c r="A540724" s="13" t="s">
        <v>100</v>
      </c>
    </row>
    <row r="540725" spans="1:1" x14ac:dyDescent="0.3">
      <c r="A540725" s="13" t="s">
        <v>101</v>
      </c>
    </row>
    <row r="540726" spans="1:1" x14ac:dyDescent="0.3">
      <c r="A540726" s="13" t="s">
        <v>102</v>
      </c>
    </row>
    <row r="540727" spans="1:1" x14ac:dyDescent="0.3">
      <c r="A540727" s="13" t="s">
        <v>103</v>
      </c>
    </row>
    <row r="540728" spans="1:1" x14ac:dyDescent="0.3">
      <c r="A540728" s="13" t="s">
        <v>104</v>
      </c>
    </row>
    <row r="557058" spans="1:1" x14ac:dyDescent="0.3">
      <c r="A557058" s="13" t="s">
        <v>0</v>
      </c>
    </row>
    <row r="557059" spans="1:1" x14ac:dyDescent="0.3">
      <c r="A557059" s="13" t="s">
        <v>124</v>
      </c>
    </row>
    <row r="557060" spans="1:1" x14ac:dyDescent="0.3">
      <c r="A557060" s="13" t="s">
        <v>1</v>
      </c>
    </row>
    <row r="557061" spans="1:1" x14ac:dyDescent="0.3">
      <c r="A557061" s="13" t="s">
        <v>2</v>
      </c>
    </row>
    <row r="557062" spans="1:1" x14ac:dyDescent="0.3">
      <c r="A557062" s="14" t="s">
        <v>25</v>
      </c>
    </row>
    <row r="557063" spans="1:1" x14ac:dyDescent="0.3">
      <c r="A557063" s="13" t="s">
        <v>125</v>
      </c>
    </row>
    <row r="557064" spans="1:1" x14ac:dyDescent="0.3">
      <c r="A557064" s="13" t="s">
        <v>126</v>
      </c>
    </row>
    <row r="557065" spans="1:1" x14ac:dyDescent="0.3">
      <c r="A557065" s="13" t="s">
        <v>87</v>
      </c>
    </row>
    <row r="557066" spans="1:1" x14ac:dyDescent="0.3">
      <c r="A557066" s="13" t="s">
        <v>22</v>
      </c>
    </row>
    <row r="557067" spans="1:1" x14ac:dyDescent="0.3">
      <c r="A557067" s="13" t="s">
        <v>3</v>
      </c>
    </row>
    <row r="557068" spans="1:1" x14ac:dyDescent="0.3">
      <c r="A557068" s="15" t="s">
        <v>94</v>
      </c>
    </row>
    <row r="557069" spans="1:1" x14ac:dyDescent="0.3">
      <c r="A557069" s="15" t="s">
        <v>93</v>
      </c>
    </row>
    <row r="557070" spans="1:1" x14ac:dyDescent="0.3">
      <c r="A557070" s="15" t="s">
        <v>4</v>
      </c>
    </row>
    <row r="557071" spans="1:1" x14ac:dyDescent="0.3">
      <c r="A557071" s="15" t="s">
        <v>117</v>
      </c>
    </row>
    <row r="557072" spans="1:1" x14ac:dyDescent="0.3">
      <c r="A557072" s="15" t="s">
        <v>5</v>
      </c>
    </row>
    <row r="557073" spans="1:1" x14ac:dyDescent="0.3">
      <c r="A557073" s="15" t="s">
        <v>6</v>
      </c>
    </row>
    <row r="557074" spans="1:1" x14ac:dyDescent="0.3">
      <c r="A557074" s="15" t="s">
        <v>7</v>
      </c>
    </row>
    <row r="557075" spans="1:1" x14ac:dyDescent="0.3">
      <c r="A557075" s="15" t="s">
        <v>8</v>
      </c>
    </row>
    <row r="557076" spans="1:1" x14ac:dyDescent="0.3">
      <c r="A557076" s="15" t="s">
        <v>9</v>
      </c>
    </row>
    <row r="557077" spans="1:1" x14ac:dyDescent="0.3">
      <c r="A557077" s="15" t="s">
        <v>10</v>
      </c>
    </row>
    <row r="557078" spans="1:1" x14ac:dyDescent="0.3">
      <c r="A557078" s="15" t="s">
        <v>11</v>
      </c>
    </row>
    <row r="557079" spans="1:1" x14ac:dyDescent="0.3">
      <c r="A557079" s="15" t="s">
        <v>12</v>
      </c>
    </row>
    <row r="557080" spans="1:1" x14ac:dyDescent="0.3">
      <c r="A557080" s="15" t="s">
        <v>13</v>
      </c>
    </row>
    <row r="557081" spans="1:1" x14ac:dyDescent="0.3">
      <c r="A557081" s="15" t="s">
        <v>14</v>
      </c>
    </row>
    <row r="557082" spans="1:1" x14ac:dyDescent="0.3">
      <c r="A557082" s="13" t="s">
        <v>31</v>
      </c>
    </row>
    <row r="557083" spans="1:1" x14ac:dyDescent="0.3">
      <c r="A557083" s="13" t="s">
        <v>86</v>
      </c>
    </row>
    <row r="557084" spans="1:1" x14ac:dyDescent="0.3">
      <c r="A557084" s="15" t="s">
        <v>30</v>
      </c>
    </row>
    <row r="557085" spans="1:1" x14ac:dyDescent="0.3">
      <c r="A557085" s="15" t="s">
        <v>26</v>
      </c>
    </row>
    <row r="557086" spans="1:1" x14ac:dyDescent="0.3">
      <c r="A557086" s="15" t="s">
        <v>27</v>
      </c>
    </row>
    <row r="557087" spans="1:1" x14ac:dyDescent="0.3">
      <c r="A557087" s="15" t="s">
        <v>28</v>
      </c>
    </row>
    <row r="557088" spans="1:1" x14ac:dyDescent="0.3">
      <c r="A557088" s="15" t="s">
        <v>88</v>
      </c>
    </row>
    <row r="557089" spans="1:1" x14ac:dyDescent="0.3">
      <c r="A557089" s="15" t="s">
        <v>89</v>
      </c>
    </row>
    <row r="557090" spans="1:1" x14ac:dyDescent="0.3">
      <c r="A557090" s="15" t="s">
        <v>184</v>
      </c>
    </row>
    <row r="557091" spans="1:1" x14ac:dyDescent="0.3">
      <c r="A557091" s="15" t="s">
        <v>185</v>
      </c>
    </row>
    <row r="557092" spans="1:1" x14ac:dyDescent="0.3">
      <c r="A557092" s="15" t="s">
        <v>186</v>
      </c>
    </row>
    <row r="557093" spans="1:1" x14ac:dyDescent="0.3">
      <c r="A557093" s="15" t="s">
        <v>187</v>
      </c>
    </row>
    <row r="557094" spans="1:1" x14ac:dyDescent="0.3">
      <c r="A557094" s="15" t="s">
        <v>188</v>
      </c>
    </row>
    <row r="557095" spans="1:1" x14ac:dyDescent="0.3">
      <c r="A557095" s="15" t="s">
        <v>189</v>
      </c>
    </row>
    <row r="557096" spans="1:1" x14ac:dyDescent="0.3">
      <c r="A557096" s="15" t="s">
        <v>190</v>
      </c>
    </row>
    <row r="557097" spans="1:1" x14ac:dyDescent="0.3">
      <c r="A557097" s="14" t="s">
        <v>47</v>
      </c>
    </row>
    <row r="557098" spans="1:1" x14ac:dyDescent="0.3">
      <c r="A557098" s="14" t="s">
        <v>118</v>
      </c>
    </row>
    <row r="557099" spans="1:1" x14ac:dyDescent="0.3">
      <c r="A557099" s="14" t="s">
        <v>85</v>
      </c>
    </row>
    <row r="557100" spans="1:1" x14ac:dyDescent="0.3">
      <c r="A557100" s="13" t="s">
        <v>21</v>
      </c>
    </row>
    <row r="557101" spans="1:1" x14ac:dyDescent="0.3">
      <c r="A557101" s="14" t="s">
        <v>91</v>
      </c>
    </row>
    <row r="557102" spans="1:1" x14ac:dyDescent="0.3">
      <c r="A557102" s="14" t="s">
        <v>92</v>
      </c>
    </row>
    <row r="557103" spans="1:1" x14ac:dyDescent="0.3">
      <c r="A557103" s="14" t="s">
        <v>98</v>
      </c>
    </row>
    <row r="557104" spans="1:1" x14ac:dyDescent="0.3">
      <c r="A557104" s="14" t="s">
        <v>99</v>
      </c>
    </row>
    <row r="557105" spans="1:1" x14ac:dyDescent="0.3">
      <c r="A557105" s="13" t="s">
        <v>24</v>
      </c>
    </row>
    <row r="557106" spans="1:1" x14ac:dyDescent="0.3">
      <c r="A557106" s="13" t="s">
        <v>82</v>
      </c>
    </row>
    <row r="557107" spans="1:1" x14ac:dyDescent="0.3">
      <c r="A557107" s="13" t="s">
        <v>105</v>
      </c>
    </row>
    <row r="557108" spans="1:1" x14ac:dyDescent="0.3">
      <c r="A557108" s="13" t="s">
        <v>100</v>
      </c>
    </row>
    <row r="557109" spans="1:1" x14ac:dyDescent="0.3">
      <c r="A557109" s="13" t="s">
        <v>101</v>
      </c>
    </row>
    <row r="557110" spans="1:1" x14ac:dyDescent="0.3">
      <c r="A557110" s="13" t="s">
        <v>102</v>
      </c>
    </row>
    <row r="557111" spans="1:1" x14ac:dyDescent="0.3">
      <c r="A557111" s="13" t="s">
        <v>103</v>
      </c>
    </row>
    <row r="557112" spans="1:1" x14ac:dyDescent="0.3">
      <c r="A557112" s="13" t="s">
        <v>104</v>
      </c>
    </row>
    <row r="573442" spans="1:1" x14ac:dyDescent="0.3">
      <c r="A573442" s="13" t="s">
        <v>0</v>
      </c>
    </row>
    <row r="573443" spans="1:1" x14ac:dyDescent="0.3">
      <c r="A573443" s="13" t="s">
        <v>124</v>
      </c>
    </row>
    <row r="573444" spans="1:1" x14ac:dyDescent="0.3">
      <c r="A573444" s="13" t="s">
        <v>1</v>
      </c>
    </row>
    <row r="573445" spans="1:1" x14ac:dyDescent="0.3">
      <c r="A573445" s="13" t="s">
        <v>2</v>
      </c>
    </row>
    <row r="573446" spans="1:1" x14ac:dyDescent="0.3">
      <c r="A573446" s="14" t="s">
        <v>25</v>
      </c>
    </row>
    <row r="573447" spans="1:1" x14ac:dyDescent="0.3">
      <c r="A573447" s="13" t="s">
        <v>125</v>
      </c>
    </row>
    <row r="573448" spans="1:1" x14ac:dyDescent="0.3">
      <c r="A573448" s="13" t="s">
        <v>126</v>
      </c>
    </row>
    <row r="573449" spans="1:1" x14ac:dyDescent="0.3">
      <c r="A573449" s="13" t="s">
        <v>87</v>
      </c>
    </row>
    <row r="573450" spans="1:1" x14ac:dyDescent="0.3">
      <c r="A573450" s="13" t="s">
        <v>22</v>
      </c>
    </row>
    <row r="573451" spans="1:1" x14ac:dyDescent="0.3">
      <c r="A573451" s="13" t="s">
        <v>3</v>
      </c>
    </row>
    <row r="573452" spans="1:1" x14ac:dyDescent="0.3">
      <c r="A573452" s="15" t="s">
        <v>94</v>
      </c>
    </row>
    <row r="573453" spans="1:1" x14ac:dyDescent="0.3">
      <c r="A573453" s="15" t="s">
        <v>93</v>
      </c>
    </row>
    <row r="573454" spans="1:1" x14ac:dyDescent="0.3">
      <c r="A573454" s="15" t="s">
        <v>4</v>
      </c>
    </row>
    <row r="573455" spans="1:1" x14ac:dyDescent="0.3">
      <c r="A573455" s="15" t="s">
        <v>117</v>
      </c>
    </row>
    <row r="573456" spans="1:1" x14ac:dyDescent="0.3">
      <c r="A573456" s="15" t="s">
        <v>5</v>
      </c>
    </row>
    <row r="573457" spans="1:1" x14ac:dyDescent="0.3">
      <c r="A573457" s="15" t="s">
        <v>6</v>
      </c>
    </row>
    <row r="573458" spans="1:1" x14ac:dyDescent="0.3">
      <c r="A573458" s="15" t="s">
        <v>7</v>
      </c>
    </row>
    <row r="573459" spans="1:1" x14ac:dyDescent="0.3">
      <c r="A573459" s="15" t="s">
        <v>8</v>
      </c>
    </row>
    <row r="573460" spans="1:1" x14ac:dyDescent="0.3">
      <c r="A573460" s="15" t="s">
        <v>9</v>
      </c>
    </row>
    <row r="573461" spans="1:1" x14ac:dyDescent="0.3">
      <c r="A573461" s="15" t="s">
        <v>10</v>
      </c>
    </row>
    <row r="573462" spans="1:1" x14ac:dyDescent="0.3">
      <c r="A573462" s="15" t="s">
        <v>11</v>
      </c>
    </row>
    <row r="573463" spans="1:1" x14ac:dyDescent="0.3">
      <c r="A573463" s="15" t="s">
        <v>12</v>
      </c>
    </row>
    <row r="573464" spans="1:1" x14ac:dyDescent="0.3">
      <c r="A573464" s="15" t="s">
        <v>13</v>
      </c>
    </row>
    <row r="573465" spans="1:1" x14ac:dyDescent="0.3">
      <c r="A573465" s="15" t="s">
        <v>14</v>
      </c>
    </row>
    <row r="573466" spans="1:1" x14ac:dyDescent="0.3">
      <c r="A573466" s="13" t="s">
        <v>31</v>
      </c>
    </row>
    <row r="573467" spans="1:1" x14ac:dyDescent="0.3">
      <c r="A573467" s="13" t="s">
        <v>86</v>
      </c>
    </row>
    <row r="573468" spans="1:1" x14ac:dyDescent="0.3">
      <c r="A573468" s="15" t="s">
        <v>30</v>
      </c>
    </row>
    <row r="573469" spans="1:1" x14ac:dyDescent="0.3">
      <c r="A573469" s="15" t="s">
        <v>26</v>
      </c>
    </row>
    <row r="573470" spans="1:1" x14ac:dyDescent="0.3">
      <c r="A573470" s="15" t="s">
        <v>27</v>
      </c>
    </row>
    <row r="573471" spans="1:1" x14ac:dyDescent="0.3">
      <c r="A573471" s="15" t="s">
        <v>28</v>
      </c>
    </row>
    <row r="573472" spans="1:1" x14ac:dyDescent="0.3">
      <c r="A573472" s="15" t="s">
        <v>88</v>
      </c>
    </row>
    <row r="573473" spans="1:1" x14ac:dyDescent="0.3">
      <c r="A573473" s="15" t="s">
        <v>89</v>
      </c>
    </row>
    <row r="573474" spans="1:1" x14ac:dyDescent="0.3">
      <c r="A573474" s="15" t="s">
        <v>184</v>
      </c>
    </row>
    <row r="573475" spans="1:1" x14ac:dyDescent="0.3">
      <c r="A573475" s="15" t="s">
        <v>185</v>
      </c>
    </row>
    <row r="573476" spans="1:1" x14ac:dyDescent="0.3">
      <c r="A573476" s="15" t="s">
        <v>186</v>
      </c>
    </row>
    <row r="573477" spans="1:1" x14ac:dyDescent="0.3">
      <c r="A573477" s="15" t="s">
        <v>187</v>
      </c>
    </row>
    <row r="573478" spans="1:1" x14ac:dyDescent="0.3">
      <c r="A573478" s="15" t="s">
        <v>188</v>
      </c>
    </row>
    <row r="573479" spans="1:1" x14ac:dyDescent="0.3">
      <c r="A573479" s="15" t="s">
        <v>189</v>
      </c>
    </row>
    <row r="573480" spans="1:1" x14ac:dyDescent="0.3">
      <c r="A573480" s="15" t="s">
        <v>190</v>
      </c>
    </row>
    <row r="573481" spans="1:1" x14ac:dyDescent="0.3">
      <c r="A573481" s="14" t="s">
        <v>47</v>
      </c>
    </row>
    <row r="573482" spans="1:1" x14ac:dyDescent="0.3">
      <c r="A573482" s="14" t="s">
        <v>118</v>
      </c>
    </row>
    <row r="573483" spans="1:1" x14ac:dyDescent="0.3">
      <c r="A573483" s="14" t="s">
        <v>85</v>
      </c>
    </row>
    <row r="573484" spans="1:1" x14ac:dyDescent="0.3">
      <c r="A573484" s="13" t="s">
        <v>21</v>
      </c>
    </row>
    <row r="573485" spans="1:1" x14ac:dyDescent="0.3">
      <c r="A573485" s="14" t="s">
        <v>91</v>
      </c>
    </row>
    <row r="573486" spans="1:1" x14ac:dyDescent="0.3">
      <c r="A573486" s="14" t="s">
        <v>92</v>
      </c>
    </row>
    <row r="573487" spans="1:1" x14ac:dyDescent="0.3">
      <c r="A573487" s="14" t="s">
        <v>98</v>
      </c>
    </row>
    <row r="573488" spans="1:1" x14ac:dyDescent="0.3">
      <c r="A573488" s="14" t="s">
        <v>99</v>
      </c>
    </row>
    <row r="573489" spans="1:1" x14ac:dyDescent="0.3">
      <c r="A573489" s="13" t="s">
        <v>24</v>
      </c>
    </row>
    <row r="573490" spans="1:1" x14ac:dyDescent="0.3">
      <c r="A573490" s="13" t="s">
        <v>82</v>
      </c>
    </row>
    <row r="573491" spans="1:1" x14ac:dyDescent="0.3">
      <c r="A573491" s="13" t="s">
        <v>105</v>
      </c>
    </row>
    <row r="573492" spans="1:1" x14ac:dyDescent="0.3">
      <c r="A573492" s="13" t="s">
        <v>100</v>
      </c>
    </row>
    <row r="573493" spans="1:1" x14ac:dyDescent="0.3">
      <c r="A573493" s="13" t="s">
        <v>101</v>
      </c>
    </row>
    <row r="573494" spans="1:1" x14ac:dyDescent="0.3">
      <c r="A573494" s="13" t="s">
        <v>102</v>
      </c>
    </row>
    <row r="573495" spans="1:1" x14ac:dyDescent="0.3">
      <c r="A573495" s="13" t="s">
        <v>103</v>
      </c>
    </row>
    <row r="573496" spans="1:1" x14ac:dyDescent="0.3">
      <c r="A573496" s="13" t="s">
        <v>104</v>
      </c>
    </row>
    <row r="589826" spans="1:1" x14ac:dyDescent="0.3">
      <c r="A589826" s="13" t="s">
        <v>0</v>
      </c>
    </row>
    <row r="589827" spans="1:1" x14ac:dyDescent="0.3">
      <c r="A589827" s="13" t="s">
        <v>124</v>
      </c>
    </row>
    <row r="589828" spans="1:1" x14ac:dyDescent="0.3">
      <c r="A589828" s="13" t="s">
        <v>1</v>
      </c>
    </row>
    <row r="589829" spans="1:1" x14ac:dyDescent="0.3">
      <c r="A589829" s="13" t="s">
        <v>2</v>
      </c>
    </row>
    <row r="589830" spans="1:1" x14ac:dyDescent="0.3">
      <c r="A589830" s="14" t="s">
        <v>25</v>
      </c>
    </row>
    <row r="589831" spans="1:1" x14ac:dyDescent="0.3">
      <c r="A589831" s="13" t="s">
        <v>125</v>
      </c>
    </row>
    <row r="589832" spans="1:1" x14ac:dyDescent="0.3">
      <c r="A589832" s="13" t="s">
        <v>126</v>
      </c>
    </row>
    <row r="589833" spans="1:1" x14ac:dyDescent="0.3">
      <c r="A589833" s="13" t="s">
        <v>87</v>
      </c>
    </row>
    <row r="589834" spans="1:1" x14ac:dyDescent="0.3">
      <c r="A589834" s="13" t="s">
        <v>22</v>
      </c>
    </row>
    <row r="589835" spans="1:1" x14ac:dyDescent="0.3">
      <c r="A589835" s="13" t="s">
        <v>3</v>
      </c>
    </row>
    <row r="589836" spans="1:1" x14ac:dyDescent="0.3">
      <c r="A589836" s="15" t="s">
        <v>94</v>
      </c>
    </row>
    <row r="589837" spans="1:1" x14ac:dyDescent="0.3">
      <c r="A589837" s="15" t="s">
        <v>93</v>
      </c>
    </row>
    <row r="589838" spans="1:1" x14ac:dyDescent="0.3">
      <c r="A589838" s="15" t="s">
        <v>4</v>
      </c>
    </row>
    <row r="589839" spans="1:1" x14ac:dyDescent="0.3">
      <c r="A589839" s="15" t="s">
        <v>117</v>
      </c>
    </row>
    <row r="589840" spans="1:1" x14ac:dyDescent="0.3">
      <c r="A589840" s="15" t="s">
        <v>5</v>
      </c>
    </row>
    <row r="589841" spans="1:1" x14ac:dyDescent="0.3">
      <c r="A589841" s="15" t="s">
        <v>6</v>
      </c>
    </row>
    <row r="589842" spans="1:1" x14ac:dyDescent="0.3">
      <c r="A589842" s="15" t="s">
        <v>7</v>
      </c>
    </row>
    <row r="589843" spans="1:1" x14ac:dyDescent="0.3">
      <c r="A589843" s="15" t="s">
        <v>8</v>
      </c>
    </row>
    <row r="589844" spans="1:1" x14ac:dyDescent="0.3">
      <c r="A589844" s="15" t="s">
        <v>9</v>
      </c>
    </row>
    <row r="589845" spans="1:1" x14ac:dyDescent="0.3">
      <c r="A589845" s="15" t="s">
        <v>10</v>
      </c>
    </row>
    <row r="589846" spans="1:1" x14ac:dyDescent="0.3">
      <c r="A589846" s="15" t="s">
        <v>11</v>
      </c>
    </row>
    <row r="589847" spans="1:1" x14ac:dyDescent="0.3">
      <c r="A589847" s="15" t="s">
        <v>12</v>
      </c>
    </row>
    <row r="589848" spans="1:1" x14ac:dyDescent="0.3">
      <c r="A589848" s="15" t="s">
        <v>13</v>
      </c>
    </row>
    <row r="589849" spans="1:1" x14ac:dyDescent="0.3">
      <c r="A589849" s="15" t="s">
        <v>14</v>
      </c>
    </row>
    <row r="589850" spans="1:1" x14ac:dyDescent="0.3">
      <c r="A589850" s="13" t="s">
        <v>31</v>
      </c>
    </row>
    <row r="589851" spans="1:1" x14ac:dyDescent="0.3">
      <c r="A589851" s="13" t="s">
        <v>86</v>
      </c>
    </row>
    <row r="589852" spans="1:1" x14ac:dyDescent="0.3">
      <c r="A589852" s="15" t="s">
        <v>30</v>
      </c>
    </row>
    <row r="589853" spans="1:1" x14ac:dyDescent="0.3">
      <c r="A589853" s="15" t="s">
        <v>26</v>
      </c>
    </row>
    <row r="589854" spans="1:1" x14ac:dyDescent="0.3">
      <c r="A589854" s="15" t="s">
        <v>27</v>
      </c>
    </row>
    <row r="589855" spans="1:1" x14ac:dyDescent="0.3">
      <c r="A589855" s="15" t="s">
        <v>28</v>
      </c>
    </row>
    <row r="589856" spans="1:1" x14ac:dyDescent="0.3">
      <c r="A589856" s="15" t="s">
        <v>88</v>
      </c>
    </row>
    <row r="589857" spans="1:1" x14ac:dyDescent="0.3">
      <c r="A589857" s="15" t="s">
        <v>89</v>
      </c>
    </row>
    <row r="589858" spans="1:1" x14ac:dyDescent="0.3">
      <c r="A589858" s="15" t="s">
        <v>184</v>
      </c>
    </row>
    <row r="589859" spans="1:1" x14ac:dyDescent="0.3">
      <c r="A589859" s="15" t="s">
        <v>185</v>
      </c>
    </row>
    <row r="589860" spans="1:1" x14ac:dyDescent="0.3">
      <c r="A589860" s="15" t="s">
        <v>186</v>
      </c>
    </row>
    <row r="589861" spans="1:1" x14ac:dyDescent="0.3">
      <c r="A589861" s="15" t="s">
        <v>187</v>
      </c>
    </row>
    <row r="589862" spans="1:1" x14ac:dyDescent="0.3">
      <c r="A589862" s="15" t="s">
        <v>188</v>
      </c>
    </row>
    <row r="589863" spans="1:1" x14ac:dyDescent="0.3">
      <c r="A589863" s="15" t="s">
        <v>189</v>
      </c>
    </row>
    <row r="589864" spans="1:1" x14ac:dyDescent="0.3">
      <c r="A589864" s="15" t="s">
        <v>190</v>
      </c>
    </row>
    <row r="589865" spans="1:1" x14ac:dyDescent="0.3">
      <c r="A589865" s="14" t="s">
        <v>47</v>
      </c>
    </row>
    <row r="589866" spans="1:1" x14ac:dyDescent="0.3">
      <c r="A589866" s="14" t="s">
        <v>118</v>
      </c>
    </row>
    <row r="589867" spans="1:1" x14ac:dyDescent="0.3">
      <c r="A589867" s="14" t="s">
        <v>85</v>
      </c>
    </row>
    <row r="589868" spans="1:1" x14ac:dyDescent="0.3">
      <c r="A589868" s="13" t="s">
        <v>21</v>
      </c>
    </row>
    <row r="589869" spans="1:1" x14ac:dyDescent="0.3">
      <c r="A589869" s="14" t="s">
        <v>91</v>
      </c>
    </row>
    <row r="589870" spans="1:1" x14ac:dyDescent="0.3">
      <c r="A589870" s="14" t="s">
        <v>92</v>
      </c>
    </row>
    <row r="589871" spans="1:1" x14ac:dyDescent="0.3">
      <c r="A589871" s="14" t="s">
        <v>98</v>
      </c>
    </row>
    <row r="589872" spans="1:1" x14ac:dyDescent="0.3">
      <c r="A589872" s="14" t="s">
        <v>99</v>
      </c>
    </row>
    <row r="589873" spans="1:1" x14ac:dyDescent="0.3">
      <c r="A589873" s="13" t="s">
        <v>24</v>
      </c>
    </row>
    <row r="589874" spans="1:1" x14ac:dyDescent="0.3">
      <c r="A589874" s="13" t="s">
        <v>82</v>
      </c>
    </row>
    <row r="589875" spans="1:1" x14ac:dyDescent="0.3">
      <c r="A589875" s="13" t="s">
        <v>105</v>
      </c>
    </row>
    <row r="589876" spans="1:1" x14ac:dyDescent="0.3">
      <c r="A589876" s="13" t="s">
        <v>100</v>
      </c>
    </row>
    <row r="589877" spans="1:1" x14ac:dyDescent="0.3">
      <c r="A589877" s="13" t="s">
        <v>101</v>
      </c>
    </row>
    <row r="589878" spans="1:1" x14ac:dyDescent="0.3">
      <c r="A589878" s="13" t="s">
        <v>102</v>
      </c>
    </row>
    <row r="589879" spans="1:1" x14ac:dyDescent="0.3">
      <c r="A589879" s="13" t="s">
        <v>103</v>
      </c>
    </row>
    <row r="589880" spans="1:1" x14ac:dyDescent="0.3">
      <c r="A589880" s="13" t="s">
        <v>104</v>
      </c>
    </row>
    <row r="606210" spans="1:1" x14ac:dyDescent="0.3">
      <c r="A606210" s="13" t="s">
        <v>0</v>
      </c>
    </row>
    <row r="606211" spans="1:1" x14ac:dyDescent="0.3">
      <c r="A606211" s="13" t="s">
        <v>124</v>
      </c>
    </row>
    <row r="606212" spans="1:1" x14ac:dyDescent="0.3">
      <c r="A606212" s="13" t="s">
        <v>1</v>
      </c>
    </row>
    <row r="606213" spans="1:1" x14ac:dyDescent="0.3">
      <c r="A606213" s="13" t="s">
        <v>2</v>
      </c>
    </row>
    <row r="606214" spans="1:1" x14ac:dyDescent="0.3">
      <c r="A606214" s="14" t="s">
        <v>25</v>
      </c>
    </row>
    <row r="606215" spans="1:1" x14ac:dyDescent="0.3">
      <c r="A606215" s="13" t="s">
        <v>125</v>
      </c>
    </row>
    <row r="606216" spans="1:1" x14ac:dyDescent="0.3">
      <c r="A606216" s="13" t="s">
        <v>126</v>
      </c>
    </row>
    <row r="606217" spans="1:1" x14ac:dyDescent="0.3">
      <c r="A606217" s="13" t="s">
        <v>87</v>
      </c>
    </row>
    <row r="606218" spans="1:1" x14ac:dyDescent="0.3">
      <c r="A606218" s="13" t="s">
        <v>22</v>
      </c>
    </row>
    <row r="606219" spans="1:1" x14ac:dyDescent="0.3">
      <c r="A606219" s="13" t="s">
        <v>3</v>
      </c>
    </row>
    <row r="606220" spans="1:1" x14ac:dyDescent="0.3">
      <c r="A606220" s="15" t="s">
        <v>94</v>
      </c>
    </row>
    <row r="606221" spans="1:1" x14ac:dyDescent="0.3">
      <c r="A606221" s="15" t="s">
        <v>93</v>
      </c>
    </row>
    <row r="606222" spans="1:1" x14ac:dyDescent="0.3">
      <c r="A606222" s="15" t="s">
        <v>4</v>
      </c>
    </row>
    <row r="606223" spans="1:1" x14ac:dyDescent="0.3">
      <c r="A606223" s="15" t="s">
        <v>117</v>
      </c>
    </row>
    <row r="606224" spans="1:1" x14ac:dyDescent="0.3">
      <c r="A606224" s="15" t="s">
        <v>5</v>
      </c>
    </row>
    <row r="606225" spans="1:1" x14ac:dyDescent="0.3">
      <c r="A606225" s="15" t="s">
        <v>6</v>
      </c>
    </row>
    <row r="606226" spans="1:1" x14ac:dyDescent="0.3">
      <c r="A606226" s="15" t="s">
        <v>7</v>
      </c>
    </row>
    <row r="606227" spans="1:1" x14ac:dyDescent="0.3">
      <c r="A606227" s="15" t="s">
        <v>8</v>
      </c>
    </row>
    <row r="606228" spans="1:1" x14ac:dyDescent="0.3">
      <c r="A606228" s="15" t="s">
        <v>9</v>
      </c>
    </row>
    <row r="606229" spans="1:1" x14ac:dyDescent="0.3">
      <c r="A606229" s="15" t="s">
        <v>10</v>
      </c>
    </row>
    <row r="606230" spans="1:1" x14ac:dyDescent="0.3">
      <c r="A606230" s="15" t="s">
        <v>11</v>
      </c>
    </row>
    <row r="606231" spans="1:1" x14ac:dyDescent="0.3">
      <c r="A606231" s="15" t="s">
        <v>12</v>
      </c>
    </row>
    <row r="606232" spans="1:1" x14ac:dyDescent="0.3">
      <c r="A606232" s="15" t="s">
        <v>13</v>
      </c>
    </row>
    <row r="606233" spans="1:1" x14ac:dyDescent="0.3">
      <c r="A606233" s="15" t="s">
        <v>14</v>
      </c>
    </row>
    <row r="606234" spans="1:1" x14ac:dyDescent="0.3">
      <c r="A606234" s="13" t="s">
        <v>31</v>
      </c>
    </row>
    <row r="606235" spans="1:1" x14ac:dyDescent="0.3">
      <c r="A606235" s="13" t="s">
        <v>86</v>
      </c>
    </row>
    <row r="606236" spans="1:1" x14ac:dyDescent="0.3">
      <c r="A606236" s="15" t="s">
        <v>30</v>
      </c>
    </row>
    <row r="606237" spans="1:1" x14ac:dyDescent="0.3">
      <c r="A606237" s="15" t="s">
        <v>26</v>
      </c>
    </row>
    <row r="606238" spans="1:1" x14ac:dyDescent="0.3">
      <c r="A606238" s="15" t="s">
        <v>27</v>
      </c>
    </row>
    <row r="606239" spans="1:1" x14ac:dyDescent="0.3">
      <c r="A606239" s="15" t="s">
        <v>28</v>
      </c>
    </row>
    <row r="606240" spans="1:1" x14ac:dyDescent="0.3">
      <c r="A606240" s="15" t="s">
        <v>88</v>
      </c>
    </row>
    <row r="606241" spans="1:1" x14ac:dyDescent="0.3">
      <c r="A606241" s="15" t="s">
        <v>89</v>
      </c>
    </row>
    <row r="606242" spans="1:1" x14ac:dyDescent="0.3">
      <c r="A606242" s="15" t="s">
        <v>184</v>
      </c>
    </row>
    <row r="606243" spans="1:1" x14ac:dyDescent="0.3">
      <c r="A606243" s="15" t="s">
        <v>185</v>
      </c>
    </row>
    <row r="606244" spans="1:1" x14ac:dyDescent="0.3">
      <c r="A606244" s="15" t="s">
        <v>186</v>
      </c>
    </row>
    <row r="606245" spans="1:1" x14ac:dyDescent="0.3">
      <c r="A606245" s="15" t="s">
        <v>187</v>
      </c>
    </row>
    <row r="606246" spans="1:1" x14ac:dyDescent="0.3">
      <c r="A606246" s="15" t="s">
        <v>188</v>
      </c>
    </row>
    <row r="606247" spans="1:1" x14ac:dyDescent="0.3">
      <c r="A606247" s="15" t="s">
        <v>189</v>
      </c>
    </row>
    <row r="606248" spans="1:1" x14ac:dyDescent="0.3">
      <c r="A606248" s="15" t="s">
        <v>190</v>
      </c>
    </row>
    <row r="606249" spans="1:1" x14ac:dyDescent="0.3">
      <c r="A606249" s="14" t="s">
        <v>47</v>
      </c>
    </row>
    <row r="606250" spans="1:1" x14ac:dyDescent="0.3">
      <c r="A606250" s="14" t="s">
        <v>118</v>
      </c>
    </row>
    <row r="606251" spans="1:1" x14ac:dyDescent="0.3">
      <c r="A606251" s="14" t="s">
        <v>85</v>
      </c>
    </row>
    <row r="606252" spans="1:1" x14ac:dyDescent="0.3">
      <c r="A606252" s="13" t="s">
        <v>21</v>
      </c>
    </row>
    <row r="606253" spans="1:1" x14ac:dyDescent="0.3">
      <c r="A606253" s="14" t="s">
        <v>91</v>
      </c>
    </row>
    <row r="606254" spans="1:1" x14ac:dyDescent="0.3">
      <c r="A606254" s="14" t="s">
        <v>92</v>
      </c>
    </row>
    <row r="606255" spans="1:1" x14ac:dyDescent="0.3">
      <c r="A606255" s="14" t="s">
        <v>98</v>
      </c>
    </row>
    <row r="606256" spans="1:1" x14ac:dyDescent="0.3">
      <c r="A606256" s="14" t="s">
        <v>99</v>
      </c>
    </row>
    <row r="606257" spans="1:1" x14ac:dyDescent="0.3">
      <c r="A606257" s="13" t="s">
        <v>24</v>
      </c>
    </row>
    <row r="606258" spans="1:1" x14ac:dyDescent="0.3">
      <c r="A606258" s="13" t="s">
        <v>82</v>
      </c>
    </row>
    <row r="606259" spans="1:1" x14ac:dyDescent="0.3">
      <c r="A606259" s="13" t="s">
        <v>105</v>
      </c>
    </row>
    <row r="606260" spans="1:1" x14ac:dyDescent="0.3">
      <c r="A606260" s="13" t="s">
        <v>100</v>
      </c>
    </row>
    <row r="606261" spans="1:1" x14ac:dyDescent="0.3">
      <c r="A606261" s="13" t="s">
        <v>101</v>
      </c>
    </row>
    <row r="606262" spans="1:1" x14ac:dyDescent="0.3">
      <c r="A606262" s="13" t="s">
        <v>102</v>
      </c>
    </row>
    <row r="606263" spans="1:1" x14ac:dyDescent="0.3">
      <c r="A606263" s="13" t="s">
        <v>103</v>
      </c>
    </row>
    <row r="606264" spans="1:1" x14ac:dyDescent="0.3">
      <c r="A606264" s="13" t="s">
        <v>104</v>
      </c>
    </row>
    <row r="622594" spans="1:1" x14ac:dyDescent="0.3">
      <c r="A622594" s="13" t="s">
        <v>0</v>
      </c>
    </row>
    <row r="622595" spans="1:1" x14ac:dyDescent="0.3">
      <c r="A622595" s="13" t="s">
        <v>124</v>
      </c>
    </row>
    <row r="622596" spans="1:1" x14ac:dyDescent="0.3">
      <c r="A622596" s="13" t="s">
        <v>1</v>
      </c>
    </row>
    <row r="622597" spans="1:1" x14ac:dyDescent="0.3">
      <c r="A622597" s="13" t="s">
        <v>2</v>
      </c>
    </row>
    <row r="622598" spans="1:1" x14ac:dyDescent="0.3">
      <c r="A622598" s="14" t="s">
        <v>25</v>
      </c>
    </row>
    <row r="622599" spans="1:1" x14ac:dyDescent="0.3">
      <c r="A622599" s="13" t="s">
        <v>125</v>
      </c>
    </row>
    <row r="622600" spans="1:1" x14ac:dyDescent="0.3">
      <c r="A622600" s="13" t="s">
        <v>126</v>
      </c>
    </row>
    <row r="622601" spans="1:1" x14ac:dyDescent="0.3">
      <c r="A622601" s="13" t="s">
        <v>87</v>
      </c>
    </row>
    <row r="622602" spans="1:1" x14ac:dyDescent="0.3">
      <c r="A622602" s="13" t="s">
        <v>22</v>
      </c>
    </row>
    <row r="622603" spans="1:1" x14ac:dyDescent="0.3">
      <c r="A622603" s="13" t="s">
        <v>3</v>
      </c>
    </row>
    <row r="622604" spans="1:1" x14ac:dyDescent="0.3">
      <c r="A622604" s="15" t="s">
        <v>94</v>
      </c>
    </row>
    <row r="622605" spans="1:1" x14ac:dyDescent="0.3">
      <c r="A622605" s="15" t="s">
        <v>93</v>
      </c>
    </row>
    <row r="622606" spans="1:1" x14ac:dyDescent="0.3">
      <c r="A622606" s="15" t="s">
        <v>4</v>
      </c>
    </row>
    <row r="622607" spans="1:1" x14ac:dyDescent="0.3">
      <c r="A622607" s="15" t="s">
        <v>117</v>
      </c>
    </row>
    <row r="622608" spans="1:1" x14ac:dyDescent="0.3">
      <c r="A622608" s="15" t="s">
        <v>5</v>
      </c>
    </row>
    <row r="622609" spans="1:1" x14ac:dyDescent="0.3">
      <c r="A622609" s="15" t="s">
        <v>6</v>
      </c>
    </row>
    <row r="622610" spans="1:1" x14ac:dyDescent="0.3">
      <c r="A622610" s="15" t="s">
        <v>7</v>
      </c>
    </row>
    <row r="622611" spans="1:1" x14ac:dyDescent="0.3">
      <c r="A622611" s="15" t="s">
        <v>8</v>
      </c>
    </row>
    <row r="622612" spans="1:1" x14ac:dyDescent="0.3">
      <c r="A622612" s="15" t="s">
        <v>9</v>
      </c>
    </row>
    <row r="622613" spans="1:1" x14ac:dyDescent="0.3">
      <c r="A622613" s="15" t="s">
        <v>10</v>
      </c>
    </row>
    <row r="622614" spans="1:1" x14ac:dyDescent="0.3">
      <c r="A622614" s="15" t="s">
        <v>11</v>
      </c>
    </row>
    <row r="622615" spans="1:1" x14ac:dyDescent="0.3">
      <c r="A622615" s="15" t="s">
        <v>12</v>
      </c>
    </row>
    <row r="622616" spans="1:1" x14ac:dyDescent="0.3">
      <c r="A622616" s="15" t="s">
        <v>13</v>
      </c>
    </row>
    <row r="622617" spans="1:1" x14ac:dyDescent="0.3">
      <c r="A622617" s="15" t="s">
        <v>14</v>
      </c>
    </row>
    <row r="622618" spans="1:1" x14ac:dyDescent="0.3">
      <c r="A622618" s="13" t="s">
        <v>31</v>
      </c>
    </row>
    <row r="622619" spans="1:1" x14ac:dyDescent="0.3">
      <c r="A622619" s="13" t="s">
        <v>86</v>
      </c>
    </row>
    <row r="622620" spans="1:1" x14ac:dyDescent="0.3">
      <c r="A622620" s="15" t="s">
        <v>30</v>
      </c>
    </row>
    <row r="622621" spans="1:1" x14ac:dyDescent="0.3">
      <c r="A622621" s="15" t="s">
        <v>26</v>
      </c>
    </row>
    <row r="622622" spans="1:1" x14ac:dyDescent="0.3">
      <c r="A622622" s="15" t="s">
        <v>27</v>
      </c>
    </row>
    <row r="622623" spans="1:1" x14ac:dyDescent="0.3">
      <c r="A622623" s="15" t="s">
        <v>28</v>
      </c>
    </row>
    <row r="622624" spans="1:1" x14ac:dyDescent="0.3">
      <c r="A622624" s="15" t="s">
        <v>88</v>
      </c>
    </row>
    <row r="622625" spans="1:1" x14ac:dyDescent="0.3">
      <c r="A622625" s="15" t="s">
        <v>89</v>
      </c>
    </row>
    <row r="622626" spans="1:1" x14ac:dyDescent="0.3">
      <c r="A622626" s="15" t="s">
        <v>184</v>
      </c>
    </row>
    <row r="622627" spans="1:1" x14ac:dyDescent="0.3">
      <c r="A622627" s="15" t="s">
        <v>185</v>
      </c>
    </row>
    <row r="622628" spans="1:1" x14ac:dyDescent="0.3">
      <c r="A622628" s="15" t="s">
        <v>186</v>
      </c>
    </row>
    <row r="622629" spans="1:1" x14ac:dyDescent="0.3">
      <c r="A622629" s="15" t="s">
        <v>187</v>
      </c>
    </row>
    <row r="622630" spans="1:1" x14ac:dyDescent="0.3">
      <c r="A622630" s="15" t="s">
        <v>188</v>
      </c>
    </row>
    <row r="622631" spans="1:1" x14ac:dyDescent="0.3">
      <c r="A622631" s="15" t="s">
        <v>189</v>
      </c>
    </row>
    <row r="622632" spans="1:1" x14ac:dyDescent="0.3">
      <c r="A622632" s="15" t="s">
        <v>190</v>
      </c>
    </row>
    <row r="622633" spans="1:1" x14ac:dyDescent="0.3">
      <c r="A622633" s="14" t="s">
        <v>47</v>
      </c>
    </row>
    <row r="622634" spans="1:1" x14ac:dyDescent="0.3">
      <c r="A622634" s="14" t="s">
        <v>118</v>
      </c>
    </row>
    <row r="622635" spans="1:1" x14ac:dyDescent="0.3">
      <c r="A622635" s="14" t="s">
        <v>85</v>
      </c>
    </row>
    <row r="622636" spans="1:1" x14ac:dyDescent="0.3">
      <c r="A622636" s="13" t="s">
        <v>21</v>
      </c>
    </row>
    <row r="622637" spans="1:1" x14ac:dyDescent="0.3">
      <c r="A622637" s="14" t="s">
        <v>91</v>
      </c>
    </row>
    <row r="622638" spans="1:1" x14ac:dyDescent="0.3">
      <c r="A622638" s="14" t="s">
        <v>92</v>
      </c>
    </row>
    <row r="622639" spans="1:1" x14ac:dyDescent="0.3">
      <c r="A622639" s="14" t="s">
        <v>98</v>
      </c>
    </row>
    <row r="622640" spans="1:1" x14ac:dyDescent="0.3">
      <c r="A622640" s="14" t="s">
        <v>99</v>
      </c>
    </row>
    <row r="622641" spans="1:1" x14ac:dyDescent="0.3">
      <c r="A622641" s="13" t="s">
        <v>24</v>
      </c>
    </row>
    <row r="622642" spans="1:1" x14ac:dyDescent="0.3">
      <c r="A622642" s="13" t="s">
        <v>82</v>
      </c>
    </row>
    <row r="622643" spans="1:1" x14ac:dyDescent="0.3">
      <c r="A622643" s="13" t="s">
        <v>105</v>
      </c>
    </row>
    <row r="622644" spans="1:1" x14ac:dyDescent="0.3">
      <c r="A622644" s="13" t="s">
        <v>100</v>
      </c>
    </row>
    <row r="622645" spans="1:1" x14ac:dyDescent="0.3">
      <c r="A622645" s="13" t="s">
        <v>101</v>
      </c>
    </row>
    <row r="622646" spans="1:1" x14ac:dyDescent="0.3">
      <c r="A622646" s="13" t="s">
        <v>102</v>
      </c>
    </row>
    <row r="622647" spans="1:1" x14ac:dyDescent="0.3">
      <c r="A622647" s="13" t="s">
        <v>103</v>
      </c>
    </row>
    <row r="622648" spans="1:1" x14ac:dyDescent="0.3">
      <c r="A622648" s="13" t="s">
        <v>104</v>
      </c>
    </row>
    <row r="638978" spans="1:1" x14ac:dyDescent="0.3">
      <c r="A638978" s="13" t="s">
        <v>0</v>
      </c>
    </row>
    <row r="638979" spans="1:1" x14ac:dyDescent="0.3">
      <c r="A638979" s="13" t="s">
        <v>124</v>
      </c>
    </row>
    <row r="638980" spans="1:1" x14ac:dyDescent="0.3">
      <c r="A638980" s="13" t="s">
        <v>1</v>
      </c>
    </row>
    <row r="638981" spans="1:1" x14ac:dyDescent="0.3">
      <c r="A638981" s="13" t="s">
        <v>2</v>
      </c>
    </row>
    <row r="638982" spans="1:1" x14ac:dyDescent="0.3">
      <c r="A638982" s="14" t="s">
        <v>25</v>
      </c>
    </row>
    <row r="638983" spans="1:1" x14ac:dyDescent="0.3">
      <c r="A638983" s="13" t="s">
        <v>125</v>
      </c>
    </row>
    <row r="638984" spans="1:1" x14ac:dyDescent="0.3">
      <c r="A638984" s="13" t="s">
        <v>126</v>
      </c>
    </row>
    <row r="638985" spans="1:1" x14ac:dyDescent="0.3">
      <c r="A638985" s="13" t="s">
        <v>87</v>
      </c>
    </row>
    <row r="638986" spans="1:1" x14ac:dyDescent="0.3">
      <c r="A638986" s="13" t="s">
        <v>22</v>
      </c>
    </row>
    <row r="638987" spans="1:1" x14ac:dyDescent="0.3">
      <c r="A638987" s="13" t="s">
        <v>3</v>
      </c>
    </row>
    <row r="638988" spans="1:1" x14ac:dyDescent="0.3">
      <c r="A638988" s="15" t="s">
        <v>94</v>
      </c>
    </row>
    <row r="638989" spans="1:1" x14ac:dyDescent="0.3">
      <c r="A638989" s="15" t="s">
        <v>93</v>
      </c>
    </row>
    <row r="638990" spans="1:1" x14ac:dyDescent="0.3">
      <c r="A638990" s="15" t="s">
        <v>4</v>
      </c>
    </row>
    <row r="638991" spans="1:1" x14ac:dyDescent="0.3">
      <c r="A638991" s="15" t="s">
        <v>117</v>
      </c>
    </row>
    <row r="638992" spans="1:1" x14ac:dyDescent="0.3">
      <c r="A638992" s="15" t="s">
        <v>5</v>
      </c>
    </row>
    <row r="638993" spans="1:1" x14ac:dyDescent="0.3">
      <c r="A638993" s="15" t="s">
        <v>6</v>
      </c>
    </row>
    <row r="638994" spans="1:1" x14ac:dyDescent="0.3">
      <c r="A638994" s="15" t="s">
        <v>7</v>
      </c>
    </row>
    <row r="638995" spans="1:1" x14ac:dyDescent="0.3">
      <c r="A638995" s="15" t="s">
        <v>8</v>
      </c>
    </row>
    <row r="638996" spans="1:1" x14ac:dyDescent="0.3">
      <c r="A638996" s="15" t="s">
        <v>9</v>
      </c>
    </row>
    <row r="638997" spans="1:1" x14ac:dyDescent="0.3">
      <c r="A638997" s="15" t="s">
        <v>10</v>
      </c>
    </row>
    <row r="638998" spans="1:1" x14ac:dyDescent="0.3">
      <c r="A638998" s="15" t="s">
        <v>11</v>
      </c>
    </row>
    <row r="638999" spans="1:1" x14ac:dyDescent="0.3">
      <c r="A638999" s="15" t="s">
        <v>12</v>
      </c>
    </row>
    <row r="639000" spans="1:1" x14ac:dyDescent="0.3">
      <c r="A639000" s="15" t="s">
        <v>13</v>
      </c>
    </row>
    <row r="639001" spans="1:1" x14ac:dyDescent="0.3">
      <c r="A639001" s="15" t="s">
        <v>14</v>
      </c>
    </row>
    <row r="639002" spans="1:1" x14ac:dyDescent="0.3">
      <c r="A639002" s="13" t="s">
        <v>31</v>
      </c>
    </row>
    <row r="639003" spans="1:1" x14ac:dyDescent="0.3">
      <c r="A639003" s="13" t="s">
        <v>86</v>
      </c>
    </row>
    <row r="639004" spans="1:1" x14ac:dyDescent="0.3">
      <c r="A639004" s="15" t="s">
        <v>30</v>
      </c>
    </row>
    <row r="639005" spans="1:1" x14ac:dyDescent="0.3">
      <c r="A639005" s="15" t="s">
        <v>26</v>
      </c>
    </row>
    <row r="639006" spans="1:1" x14ac:dyDescent="0.3">
      <c r="A639006" s="15" t="s">
        <v>27</v>
      </c>
    </row>
    <row r="639007" spans="1:1" x14ac:dyDescent="0.3">
      <c r="A639007" s="15" t="s">
        <v>28</v>
      </c>
    </row>
    <row r="639008" spans="1:1" x14ac:dyDescent="0.3">
      <c r="A639008" s="15" t="s">
        <v>88</v>
      </c>
    </row>
    <row r="639009" spans="1:1" x14ac:dyDescent="0.3">
      <c r="A639009" s="15" t="s">
        <v>89</v>
      </c>
    </row>
    <row r="639010" spans="1:1" x14ac:dyDescent="0.3">
      <c r="A639010" s="15" t="s">
        <v>184</v>
      </c>
    </row>
    <row r="639011" spans="1:1" x14ac:dyDescent="0.3">
      <c r="A639011" s="15" t="s">
        <v>185</v>
      </c>
    </row>
    <row r="639012" spans="1:1" x14ac:dyDescent="0.3">
      <c r="A639012" s="15" t="s">
        <v>186</v>
      </c>
    </row>
    <row r="639013" spans="1:1" x14ac:dyDescent="0.3">
      <c r="A639013" s="15" t="s">
        <v>187</v>
      </c>
    </row>
    <row r="639014" spans="1:1" x14ac:dyDescent="0.3">
      <c r="A639014" s="15" t="s">
        <v>188</v>
      </c>
    </row>
    <row r="639015" spans="1:1" x14ac:dyDescent="0.3">
      <c r="A639015" s="15" t="s">
        <v>189</v>
      </c>
    </row>
    <row r="639016" spans="1:1" x14ac:dyDescent="0.3">
      <c r="A639016" s="15" t="s">
        <v>190</v>
      </c>
    </row>
    <row r="639017" spans="1:1" x14ac:dyDescent="0.3">
      <c r="A639017" s="14" t="s">
        <v>47</v>
      </c>
    </row>
    <row r="639018" spans="1:1" x14ac:dyDescent="0.3">
      <c r="A639018" s="14" t="s">
        <v>118</v>
      </c>
    </row>
    <row r="639019" spans="1:1" x14ac:dyDescent="0.3">
      <c r="A639019" s="14" t="s">
        <v>85</v>
      </c>
    </row>
    <row r="639020" spans="1:1" x14ac:dyDescent="0.3">
      <c r="A639020" s="13" t="s">
        <v>21</v>
      </c>
    </row>
    <row r="639021" spans="1:1" x14ac:dyDescent="0.3">
      <c r="A639021" s="14" t="s">
        <v>91</v>
      </c>
    </row>
    <row r="639022" spans="1:1" x14ac:dyDescent="0.3">
      <c r="A639022" s="14" t="s">
        <v>92</v>
      </c>
    </row>
    <row r="639023" spans="1:1" x14ac:dyDescent="0.3">
      <c r="A639023" s="14" t="s">
        <v>98</v>
      </c>
    </row>
    <row r="639024" spans="1:1" x14ac:dyDescent="0.3">
      <c r="A639024" s="14" t="s">
        <v>99</v>
      </c>
    </row>
    <row r="639025" spans="1:1" x14ac:dyDescent="0.3">
      <c r="A639025" s="13" t="s">
        <v>24</v>
      </c>
    </row>
    <row r="639026" spans="1:1" x14ac:dyDescent="0.3">
      <c r="A639026" s="13" t="s">
        <v>82</v>
      </c>
    </row>
    <row r="639027" spans="1:1" x14ac:dyDescent="0.3">
      <c r="A639027" s="13" t="s">
        <v>105</v>
      </c>
    </row>
    <row r="639028" spans="1:1" x14ac:dyDescent="0.3">
      <c r="A639028" s="13" t="s">
        <v>100</v>
      </c>
    </row>
    <row r="639029" spans="1:1" x14ac:dyDescent="0.3">
      <c r="A639029" s="13" t="s">
        <v>101</v>
      </c>
    </row>
    <row r="639030" spans="1:1" x14ac:dyDescent="0.3">
      <c r="A639030" s="13" t="s">
        <v>102</v>
      </c>
    </row>
    <row r="639031" spans="1:1" x14ac:dyDescent="0.3">
      <c r="A639031" s="13" t="s">
        <v>103</v>
      </c>
    </row>
    <row r="639032" spans="1:1" x14ac:dyDescent="0.3">
      <c r="A639032" s="13" t="s">
        <v>104</v>
      </c>
    </row>
    <row r="655362" spans="1:1" x14ac:dyDescent="0.3">
      <c r="A655362" s="13" t="s">
        <v>0</v>
      </c>
    </row>
    <row r="655363" spans="1:1" x14ac:dyDescent="0.3">
      <c r="A655363" s="13" t="s">
        <v>124</v>
      </c>
    </row>
    <row r="655364" spans="1:1" x14ac:dyDescent="0.3">
      <c r="A655364" s="13" t="s">
        <v>1</v>
      </c>
    </row>
    <row r="655365" spans="1:1" x14ac:dyDescent="0.3">
      <c r="A655365" s="13" t="s">
        <v>2</v>
      </c>
    </row>
    <row r="655366" spans="1:1" x14ac:dyDescent="0.3">
      <c r="A655366" s="14" t="s">
        <v>25</v>
      </c>
    </row>
    <row r="655367" spans="1:1" x14ac:dyDescent="0.3">
      <c r="A655367" s="13" t="s">
        <v>125</v>
      </c>
    </row>
    <row r="655368" spans="1:1" x14ac:dyDescent="0.3">
      <c r="A655368" s="13" t="s">
        <v>126</v>
      </c>
    </row>
    <row r="655369" spans="1:1" x14ac:dyDescent="0.3">
      <c r="A655369" s="13" t="s">
        <v>87</v>
      </c>
    </row>
    <row r="655370" spans="1:1" x14ac:dyDescent="0.3">
      <c r="A655370" s="13" t="s">
        <v>22</v>
      </c>
    </row>
    <row r="655371" spans="1:1" x14ac:dyDescent="0.3">
      <c r="A655371" s="13" t="s">
        <v>3</v>
      </c>
    </row>
    <row r="655372" spans="1:1" x14ac:dyDescent="0.3">
      <c r="A655372" s="15" t="s">
        <v>94</v>
      </c>
    </row>
    <row r="655373" spans="1:1" x14ac:dyDescent="0.3">
      <c r="A655373" s="15" t="s">
        <v>93</v>
      </c>
    </row>
    <row r="655374" spans="1:1" x14ac:dyDescent="0.3">
      <c r="A655374" s="15" t="s">
        <v>4</v>
      </c>
    </row>
    <row r="655375" spans="1:1" x14ac:dyDescent="0.3">
      <c r="A655375" s="15" t="s">
        <v>117</v>
      </c>
    </row>
    <row r="655376" spans="1:1" x14ac:dyDescent="0.3">
      <c r="A655376" s="15" t="s">
        <v>5</v>
      </c>
    </row>
    <row r="655377" spans="1:1" x14ac:dyDescent="0.3">
      <c r="A655377" s="15" t="s">
        <v>6</v>
      </c>
    </row>
    <row r="655378" spans="1:1" x14ac:dyDescent="0.3">
      <c r="A655378" s="15" t="s">
        <v>7</v>
      </c>
    </row>
    <row r="655379" spans="1:1" x14ac:dyDescent="0.3">
      <c r="A655379" s="15" t="s">
        <v>8</v>
      </c>
    </row>
    <row r="655380" spans="1:1" x14ac:dyDescent="0.3">
      <c r="A655380" s="15" t="s">
        <v>9</v>
      </c>
    </row>
    <row r="655381" spans="1:1" x14ac:dyDescent="0.3">
      <c r="A655381" s="15" t="s">
        <v>10</v>
      </c>
    </row>
    <row r="655382" spans="1:1" x14ac:dyDescent="0.3">
      <c r="A655382" s="15" t="s">
        <v>11</v>
      </c>
    </row>
    <row r="655383" spans="1:1" x14ac:dyDescent="0.3">
      <c r="A655383" s="15" t="s">
        <v>12</v>
      </c>
    </row>
    <row r="655384" spans="1:1" x14ac:dyDescent="0.3">
      <c r="A655384" s="15" t="s">
        <v>13</v>
      </c>
    </row>
    <row r="655385" spans="1:1" x14ac:dyDescent="0.3">
      <c r="A655385" s="15" t="s">
        <v>14</v>
      </c>
    </row>
    <row r="655386" spans="1:1" x14ac:dyDescent="0.3">
      <c r="A655386" s="13" t="s">
        <v>31</v>
      </c>
    </row>
    <row r="655387" spans="1:1" x14ac:dyDescent="0.3">
      <c r="A655387" s="13" t="s">
        <v>86</v>
      </c>
    </row>
    <row r="655388" spans="1:1" x14ac:dyDescent="0.3">
      <c r="A655388" s="15" t="s">
        <v>30</v>
      </c>
    </row>
    <row r="655389" spans="1:1" x14ac:dyDescent="0.3">
      <c r="A655389" s="15" t="s">
        <v>26</v>
      </c>
    </row>
    <row r="655390" spans="1:1" x14ac:dyDescent="0.3">
      <c r="A655390" s="15" t="s">
        <v>27</v>
      </c>
    </row>
    <row r="655391" spans="1:1" x14ac:dyDescent="0.3">
      <c r="A655391" s="15" t="s">
        <v>28</v>
      </c>
    </row>
    <row r="655392" spans="1:1" x14ac:dyDescent="0.3">
      <c r="A655392" s="15" t="s">
        <v>88</v>
      </c>
    </row>
    <row r="655393" spans="1:1" x14ac:dyDescent="0.3">
      <c r="A655393" s="15" t="s">
        <v>89</v>
      </c>
    </row>
    <row r="655394" spans="1:1" x14ac:dyDescent="0.3">
      <c r="A655394" s="15" t="s">
        <v>184</v>
      </c>
    </row>
    <row r="655395" spans="1:1" x14ac:dyDescent="0.3">
      <c r="A655395" s="15" t="s">
        <v>185</v>
      </c>
    </row>
    <row r="655396" spans="1:1" x14ac:dyDescent="0.3">
      <c r="A655396" s="15" t="s">
        <v>186</v>
      </c>
    </row>
    <row r="655397" spans="1:1" x14ac:dyDescent="0.3">
      <c r="A655397" s="15" t="s">
        <v>187</v>
      </c>
    </row>
    <row r="655398" spans="1:1" x14ac:dyDescent="0.3">
      <c r="A655398" s="15" t="s">
        <v>188</v>
      </c>
    </row>
    <row r="655399" spans="1:1" x14ac:dyDescent="0.3">
      <c r="A655399" s="15" t="s">
        <v>189</v>
      </c>
    </row>
    <row r="655400" spans="1:1" x14ac:dyDescent="0.3">
      <c r="A655400" s="15" t="s">
        <v>190</v>
      </c>
    </row>
    <row r="655401" spans="1:1" x14ac:dyDescent="0.3">
      <c r="A655401" s="14" t="s">
        <v>47</v>
      </c>
    </row>
    <row r="655402" spans="1:1" x14ac:dyDescent="0.3">
      <c r="A655402" s="14" t="s">
        <v>118</v>
      </c>
    </row>
    <row r="655403" spans="1:1" x14ac:dyDescent="0.3">
      <c r="A655403" s="14" t="s">
        <v>85</v>
      </c>
    </row>
    <row r="655404" spans="1:1" x14ac:dyDescent="0.3">
      <c r="A655404" s="13" t="s">
        <v>21</v>
      </c>
    </row>
    <row r="655405" spans="1:1" x14ac:dyDescent="0.3">
      <c r="A655405" s="14" t="s">
        <v>91</v>
      </c>
    </row>
    <row r="655406" spans="1:1" x14ac:dyDescent="0.3">
      <c r="A655406" s="14" t="s">
        <v>92</v>
      </c>
    </row>
    <row r="655407" spans="1:1" x14ac:dyDescent="0.3">
      <c r="A655407" s="14" t="s">
        <v>98</v>
      </c>
    </row>
    <row r="655408" spans="1:1" x14ac:dyDescent="0.3">
      <c r="A655408" s="14" t="s">
        <v>99</v>
      </c>
    </row>
    <row r="655409" spans="1:1" x14ac:dyDescent="0.3">
      <c r="A655409" s="13" t="s">
        <v>24</v>
      </c>
    </row>
    <row r="655410" spans="1:1" x14ac:dyDescent="0.3">
      <c r="A655410" s="13" t="s">
        <v>82</v>
      </c>
    </row>
    <row r="655411" spans="1:1" x14ac:dyDescent="0.3">
      <c r="A655411" s="13" t="s">
        <v>105</v>
      </c>
    </row>
    <row r="655412" spans="1:1" x14ac:dyDescent="0.3">
      <c r="A655412" s="13" t="s">
        <v>100</v>
      </c>
    </row>
    <row r="655413" spans="1:1" x14ac:dyDescent="0.3">
      <c r="A655413" s="13" t="s">
        <v>101</v>
      </c>
    </row>
    <row r="655414" spans="1:1" x14ac:dyDescent="0.3">
      <c r="A655414" s="13" t="s">
        <v>102</v>
      </c>
    </row>
    <row r="655415" spans="1:1" x14ac:dyDescent="0.3">
      <c r="A655415" s="13" t="s">
        <v>103</v>
      </c>
    </row>
    <row r="655416" spans="1:1" x14ac:dyDescent="0.3">
      <c r="A655416" s="13" t="s">
        <v>104</v>
      </c>
    </row>
    <row r="671746" spans="1:1" x14ac:dyDescent="0.3">
      <c r="A671746" s="13" t="s">
        <v>0</v>
      </c>
    </row>
    <row r="671747" spans="1:1" x14ac:dyDescent="0.3">
      <c r="A671747" s="13" t="s">
        <v>124</v>
      </c>
    </row>
    <row r="671748" spans="1:1" x14ac:dyDescent="0.3">
      <c r="A671748" s="13" t="s">
        <v>1</v>
      </c>
    </row>
    <row r="671749" spans="1:1" x14ac:dyDescent="0.3">
      <c r="A671749" s="13" t="s">
        <v>2</v>
      </c>
    </row>
    <row r="671750" spans="1:1" x14ac:dyDescent="0.3">
      <c r="A671750" s="14" t="s">
        <v>25</v>
      </c>
    </row>
    <row r="671751" spans="1:1" x14ac:dyDescent="0.3">
      <c r="A671751" s="13" t="s">
        <v>125</v>
      </c>
    </row>
    <row r="671752" spans="1:1" x14ac:dyDescent="0.3">
      <c r="A671752" s="13" t="s">
        <v>126</v>
      </c>
    </row>
    <row r="671753" spans="1:1" x14ac:dyDescent="0.3">
      <c r="A671753" s="13" t="s">
        <v>87</v>
      </c>
    </row>
    <row r="671754" spans="1:1" x14ac:dyDescent="0.3">
      <c r="A671754" s="13" t="s">
        <v>22</v>
      </c>
    </row>
    <row r="671755" spans="1:1" x14ac:dyDescent="0.3">
      <c r="A671755" s="13" t="s">
        <v>3</v>
      </c>
    </row>
    <row r="671756" spans="1:1" x14ac:dyDescent="0.3">
      <c r="A671756" s="15" t="s">
        <v>94</v>
      </c>
    </row>
    <row r="671757" spans="1:1" x14ac:dyDescent="0.3">
      <c r="A671757" s="15" t="s">
        <v>93</v>
      </c>
    </row>
    <row r="671758" spans="1:1" x14ac:dyDescent="0.3">
      <c r="A671758" s="15" t="s">
        <v>4</v>
      </c>
    </row>
    <row r="671759" spans="1:1" x14ac:dyDescent="0.3">
      <c r="A671759" s="15" t="s">
        <v>117</v>
      </c>
    </row>
    <row r="671760" spans="1:1" x14ac:dyDescent="0.3">
      <c r="A671760" s="15" t="s">
        <v>5</v>
      </c>
    </row>
    <row r="671761" spans="1:1" x14ac:dyDescent="0.3">
      <c r="A671761" s="15" t="s">
        <v>6</v>
      </c>
    </row>
    <row r="671762" spans="1:1" x14ac:dyDescent="0.3">
      <c r="A671762" s="15" t="s">
        <v>7</v>
      </c>
    </row>
    <row r="671763" spans="1:1" x14ac:dyDescent="0.3">
      <c r="A671763" s="15" t="s">
        <v>8</v>
      </c>
    </row>
    <row r="671764" spans="1:1" x14ac:dyDescent="0.3">
      <c r="A671764" s="15" t="s">
        <v>9</v>
      </c>
    </row>
    <row r="671765" spans="1:1" x14ac:dyDescent="0.3">
      <c r="A671765" s="15" t="s">
        <v>10</v>
      </c>
    </row>
    <row r="671766" spans="1:1" x14ac:dyDescent="0.3">
      <c r="A671766" s="15" t="s">
        <v>11</v>
      </c>
    </row>
    <row r="671767" spans="1:1" x14ac:dyDescent="0.3">
      <c r="A671767" s="15" t="s">
        <v>12</v>
      </c>
    </row>
    <row r="671768" spans="1:1" x14ac:dyDescent="0.3">
      <c r="A671768" s="15" t="s">
        <v>13</v>
      </c>
    </row>
    <row r="671769" spans="1:1" x14ac:dyDescent="0.3">
      <c r="A671769" s="15" t="s">
        <v>14</v>
      </c>
    </row>
    <row r="671770" spans="1:1" x14ac:dyDescent="0.3">
      <c r="A671770" s="13" t="s">
        <v>31</v>
      </c>
    </row>
    <row r="671771" spans="1:1" x14ac:dyDescent="0.3">
      <c r="A671771" s="13" t="s">
        <v>86</v>
      </c>
    </row>
    <row r="671772" spans="1:1" x14ac:dyDescent="0.3">
      <c r="A671772" s="15" t="s">
        <v>30</v>
      </c>
    </row>
    <row r="671773" spans="1:1" x14ac:dyDescent="0.3">
      <c r="A671773" s="15" t="s">
        <v>26</v>
      </c>
    </row>
    <row r="671774" spans="1:1" x14ac:dyDescent="0.3">
      <c r="A671774" s="15" t="s">
        <v>27</v>
      </c>
    </row>
    <row r="671775" spans="1:1" x14ac:dyDescent="0.3">
      <c r="A671775" s="15" t="s">
        <v>28</v>
      </c>
    </row>
    <row r="671776" spans="1:1" x14ac:dyDescent="0.3">
      <c r="A671776" s="15" t="s">
        <v>88</v>
      </c>
    </row>
    <row r="671777" spans="1:1" x14ac:dyDescent="0.3">
      <c r="A671777" s="15" t="s">
        <v>89</v>
      </c>
    </row>
    <row r="671778" spans="1:1" x14ac:dyDescent="0.3">
      <c r="A671778" s="15" t="s">
        <v>184</v>
      </c>
    </row>
    <row r="671779" spans="1:1" x14ac:dyDescent="0.3">
      <c r="A671779" s="15" t="s">
        <v>185</v>
      </c>
    </row>
    <row r="671780" spans="1:1" x14ac:dyDescent="0.3">
      <c r="A671780" s="15" t="s">
        <v>186</v>
      </c>
    </row>
    <row r="671781" spans="1:1" x14ac:dyDescent="0.3">
      <c r="A671781" s="15" t="s">
        <v>187</v>
      </c>
    </row>
    <row r="671782" spans="1:1" x14ac:dyDescent="0.3">
      <c r="A671782" s="15" t="s">
        <v>188</v>
      </c>
    </row>
    <row r="671783" spans="1:1" x14ac:dyDescent="0.3">
      <c r="A671783" s="15" t="s">
        <v>189</v>
      </c>
    </row>
    <row r="671784" spans="1:1" x14ac:dyDescent="0.3">
      <c r="A671784" s="15" t="s">
        <v>190</v>
      </c>
    </row>
    <row r="671785" spans="1:1" x14ac:dyDescent="0.3">
      <c r="A671785" s="14" t="s">
        <v>47</v>
      </c>
    </row>
    <row r="671786" spans="1:1" x14ac:dyDescent="0.3">
      <c r="A671786" s="14" t="s">
        <v>118</v>
      </c>
    </row>
    <row r="671787" spans="1:1" x14ac:dyDescent="0.3">
      <c r="A671787" s="14" t="s">
        <v>85</v>
      </c>
    </row>
    <row r="671788" spans="1:1" x14ac:dyDescent="0.3">
      <c r="A671788" s="13" t="s">
        <v>21</v>
      </c>
    </row>
    <row r="671789" spans="1:1" x14ac:dyDescent="0.3">
      <c r="A671789" s="14" t="s">
        <v>91</v>
      </c>
    </row>
    <row r="671790" spans="1:1" x14ac:dyDescent="0.3">
      <c r="A671790" s="14" t="s">
        <v>92</v>
      </c>
    </row>
    <row r="671791" spans="1:1" x14ac:dyDescent="0.3">
      <c r="A671791" s="14" t="s">
        <v>98</v>
      </c>
    </row>
    <row r="671792" spans="1:1" x14ac:dyDescent="0.3">
      <c r="A671792" s="14" t="s">
        <v>99</v>
      </c>
    </row>
    <row r="671793" spans="1:1" x14ac:dyDescent="0.3">
      <c r="A671793" s="13" t="s">
        <v>24</v>
      </c>
    </row>
    <row r="671794" spans="1:1" x14ac:dyDescent="0.3">
      <c r="A671794" s="13" t="s">
        <v>82</v>
      </c>
    </row>
    <row r="671795" spans="1:1" x14ac:dyDescent="0.3">
      <c r="A671795" s="13" t="s">
        <v>105</v>
      </c>
    </row>
    <row r="671796" spans="1:1" x14ac:dyDescent="0.3">
      <c r="A671796" s="13" t="s">
        <v>100</v>
      </c>
    </row>
    <row r="671797" spans="1:1" x14ac:dyDescent="0.3">
      <c r="A671797" s="13" t="s">
        <v>101</v>
      </c>
    </row>
    <row r="671798" spans="1:1" x14ac:dyDescent="0.3">
      <c r="A671798" s="13" t="s">
        <v>102</v>
      </c>
    </row>
    <row r="671799" spans="1:1" x14ac:dyDescent="0.3">
      <c r="A671799" s="13" t="s">
        <v>103</v>
      </c>
    </row>
    <row r="671800" spans="1:1" x14ac:dyDescent="0.3">
      <c r="A671800" s="13" t="s">
        <v>104</v>
      </c>
    </row>
    <row r="688130" spans="1:1" x14ac:dyDescent="0.3">
      <c r="A688130" s="13" t="s">
        <v>0</v>
      </c>
    </row>
    <row r="688131" spans="1:1" x14ac:dyDescent="0.3">
      <c r="A688131" s="13" t="s">
        <v>124</v>
      </c>
    </row>
    <row r="688132" spans="1:1" x14ac:dyDescent="0.3">
      <c r="A688132" s="13" t="s">
        <v>1</v>
      </c>
    </row>
    <row r="688133" spans="1:1" x14ac:dyDescent="0.3">
      <c r="A688133" s="13" t="s">
        <v>2</v>
      </c>
    </row>
    <row r="688134" spans="1:1" x14ac:dyDescent="0.3">
      <c r="A688134" s="14" t="s">
        <v>25</v>
      </c>
    </row>
    <row r="688135" spans="1:1" x14ac:dyDescent="0.3">
      <c r="A688135" s="13" t="s">
        <v>125</v>
      </c>
    </row>
    <row r="688136" spans="1:1" x14ac:dyDescent="0.3">
      <c r="A688136" s="13" t="s">
        <v>126</v>
      </c>
    </row>
    <row r="688137" spans="1:1" x14ac:dyDescent="0.3">
      <c r="A688137" s="13" t="s">
        <v>87</v>
      </c>
    </row>
    <row r="688138" spans="1:1" x14ac:dyDescent="0.3">
      <c r="A688138" s="13" t="s">
        <v>22</v>
      </c>
    </row>
    <row r="688139" spans="1:1" x14ac:dyDescent="0.3">
      <c r="A688139" s="13" t="s">
        <v>3</v>
      </c>
    </row>
    <row r="688140" spans="1:1" x14ac:dyDescent="0.3">
      <c r="A688140" s="15" t="s">
        <v>94</v>
      </c>
    </row>
    <row r="688141" spans="1:1" x14ac:dyDescent="0.3">
      <c r="A688141" s="15" t="s">
        <v>93</v>
      </c>
    </row>
    <row r="688142" spans="1:1" x14ac:dyDescent="0.3">
      <c r="A688142" s="15" t="s">
        <v>4</v>
      </c>
    </row>
    <row r="688143" spans="1:1" x14ac:dyDescent="0.3">
      <c r="A688143" s="15" t="s">
        <v>117</v>
      </c>
    </row>
    <row r="688144" spans="1:1" x14ac:dyDescent="0.3">
      <c r="A688144" s="15" t="s">
        <v>5</v>
      </c>
    </row>
    <row r="688145" spans="1:1" x14ac:dyDescent="0.3">
      <c r="A688145" s="15" t="s">
        <v>6</v>
      </c>
    </row>
    <row r="688146" spans="1:1" x14ac:dyDescent="0.3">
      <c r="A688146" s="15" t="s">
        <v>7</v>
      </c>
    </row>
    <row r="688147" spans="1:1" x14ac:dyDescent="0.3">
      <c r="A688147" s="15" t="s">
        <v>8</v>
      </c>
    </row>
    <row r="688148" spans="1:1" x14ac:dyDescent="0.3">
      <c r="A688148" s="15" t="s">
        <v>9</v>
      </c>
    </row>
    <row r="688149" spans="1:1" x14ac:dyDescent="0.3">
      <c r="A688149" s="15" t="s">
        <v>10</v>
      </c>
    </row>
    <row r="688150" spans="1:1" x14ac:dyDescent="0.3">
      <c r="A688150" s="15" t="s">
        <v>11</v>
      </c>
    </row>
    <row r="688151" spans="1:1" x14ac:dyDescent="0.3">
      <c r="A688151" s="15" t="s">
        <v>12</v>
      </c>
    </row>
    <row r="688152" spans="1:1" x14ac:dyDescent="0.3">
      <c r="A688152" s="15" t="s">
        <v>13</v>
      </c>
    </row>
    <row r="688153" spans="1:1" x14ac:dyDescent="0.3">
      <c r="A688153" s="15" t="s">
        <v>14</v>
      </c>
    </row>
    <row r="688154" spans="1:1" x14ac:dyDescent="0.3">
      <c r="A688154" s="13" t="s">
        <v>31</v>
      </c>
    </row>
    <row r="688155" spans="1:1" x14ac:dyDescent="0.3">
      <c r="A688155" s="13" t="s">
        <v>86</v>
      </c>
    </row>
    <row r="688156" spans="1:1" x14ac:dyDescent="0.3">
      <c r="A688156" s="15" t="s">
        <v>30</v>
      </c>
    </row>
    <row r="688157" spans="1:1" x14ac:dyDescent="0.3">
      <c r="A688157" s="15" t="s">
        <v>26</v>
      </c>
    </row>
    <row r="688158" spans="1:1" x14ac:dyDescent="0.3">
      <c r="A688158" s="15" t="s">
        <v>27</v>
      </c>
    </row>
    <row r="688159" spans="1:1" x14ac:dyDescent="0.3">
      <c r="A688159" s="15" t="s">
        <v>28</v>
      </c>
    </row>
    <row r="688160" spans="1:1" x14ac:dyDescent="0.3">
      <c r="A688160" s="15" t="s">
        <v>88</v>
      </c>
    </row>
    <row r="688161" spans="1:1" x14ac:dyDescent="0.3">
      <c r="A688161" s="15" t="s">
        <v>89</v>
      </c>
    </row>
    <row r="688162" spans="1:1" x14ac:dyDescent="0.3">
      <c r="A688162" s="15" t="s">
        <v>184</v>
      </c>
    </row>
    <row r="688163" spans="1:1" x14ac:dyDescent="0.3">
      <c r="A688163" s="15" t="s">
        <v>185</v>
      </c>
    </row>
    <row r="688164" spans="1:1" x14ac:dyDescent="0.3">
      <c r="A688164" s="15" t="s">
        <v>186</v>
      </c>
    </row>
    <row r="688165" spans="1:1" x14ac:dyDescent="0.3">
      <c r="A688165" s="15" t="s">
        <v>187</v>
      </c>
    </row>
    <row r="688166" spans="1:1" x14ac:dyDescent="0.3">
      <c r="A688166" s="15" t="s">
        <v>188</v>
      </c>
    </row>
    <row r="688167" spans="1:1" x14ac:dyDescent="0.3">
      <c r="A688167" s="15" t="s">
        <v>189</v>
      </c>
    </row>
    <row r="688168" spans="1:1" x14ac:dyDescent="0.3">
      <c r="A688168" s="15" t="s">
        <v>190</v>
      </c>
    </row>
    <row r="688169" spans="1:1" x14ac:dyDescent="0.3">
      <c r="A688169" s="14" t="s">
        <v>47</v>
      </c>
    </row>
    <row r="688170" spans="1:1" x14ac:dyDescent="0.3">
      <c r="A688170" s="14" t="s">
        <v>118</v>
      </c>
    </row>
    <row r="688171" spans="1:1" x14ac:dyDescent="0.3">
      <c r="A688171" s="14" t="s">
        <v>85</v>
      </c>
    </row>
    <row r="688172" spans="1:1" x14ac:dyDescent="0.3">
      <c r="A688172" s="13" t="s">
        <v>21</v>
      </c>
    </row>
    <row r="688173" spans="1:1" x14ac:dyDescent="0.3">
      <c r="A688173" s="14" t="s">
        <v>91</v>
      </c>
    </row>
    <row r="688174" spans="1:1" x14ac:dyDescent="0.3">
      <c r="A688174" s="14" t="s">
        <v>92</v>
      </c>
    </row>
    <row r="688175" spans="1:1" x14ac:dyDescent="0.3">
      <c r="A688175" s="14" t="s">
        <v>98</v>
      </c>
    </row>
    <row r="688176" spans="1:1" x14ac:dyDescent="0.3">
      <c r="A688176" s="14" t="s">
        <v>99</v>
      </c>
    </row>
    <row r="688177" spans="1:1" x14ac:dyDescent="0.3">
      <c r="A688177" s="13" t="s">
        <v>24</v>
      </c>
    </row>
    <row r="688178" spans="1:1" x14ac:dyDescent="0.3">
      <c r="A688178" s="13" t="s">
        <v>82</v>
      </c>
    </row>
    <row r="688179" spans="1:1" x14ac:dyDescent="0.3">
      <c r="A688179" s="13" t="s">
        <v>105</v>
      </c>
    </row>
    <row r="688180" spans="1:1" x14ac:dyDescent="0.3">
      <c r="A688180" s="13" t="s">
        <v>100</v>
      </c>
    </row>
    <row r="688181" spans="1:1" x14ac:dyDescent="0.3">
      <c r="A688181" s="13" t="s">
        <v>101</v>
      </c>
    </row>
    <row r="688182" spans="1:1" x14ac:dyDescent="0.3">
      <c r="A688182" s="13" t="s">
        <v>102</v>
      </c>
    </row>
    <row r="688183" spans="1:1" x14ac:dyDescent="0.3">
      <c r="A688183" s="13" t="s">
        <v>103</v>
      </c>
    </row>
    <row r="688184" spans="1:1" x14ac:dyDescent="0.3">
      <c r="A688184" s="13" t="s">
        <v>104</v>
      </c>
    </row>
    <row r="704514" spans="1:1" x14ac:dyDescent="0.3">
      <c r="A704514" s="13" t="s">
        <v>0</v>
      </c>
    </row>
    <row r="704515" spans="1:1" x14ac:dyDescent="0.3">
      <c r="A704515" s="13" t="s">
        <v>124</v>
      </c>
    </row>
    <row r="704516" spans="1:1" x14ac:dyDescent="0.3">
      <c r="A704516" s="13" t="s">
        <v>1</v>
      </c>
    </row>
    <row r="704517" spans="1:1" x14ac:dyDescent="0.3">
      <c r="A704517" s="13" t="s">
        <v>2</v>
      </c>
    </row>
    <row r="704518" spans="1:1" x14ac:dyDescent="0.3">
      <c r="A704518" s="14" t="s">
        <v>25</v>
      </c>
    </row>
    <row r="704519" spans="1:1" x14ac:dyDescent="0.3">
      <c r="A704519" s="13" t="s">
        <v>125</v>
      </c>
    </row>
    <row r="704520" spans="1:1" x14ac:dyDescent="0.3">
      <c r="A704520" s="13" t="s">
        <v>126</v>
      </c>
    </row>
    <row r="704521" spans="1:1" x14ac:dyDescent="0.3">
      <c r="A704521" s="13" t="s">
        <v>87</v>
      </c>
    </row>
    <row r="704522" spans="1:1" x14ac:dyDescent="0.3">
      <c r="A704522" s="13" t="s">
        <v>22</v>
      </c>
    </row>
    <row r="704523" spans="1:1" x14ac:dyDescent="0.3">
      <c r="A704523" s="13" t="s">
        <v>3</v>
      </c>
    </row>
    <row r="704524" spans="1:1" x14ac:dyDescent="0.3">
      <c r="A704524" s="15" t="s">
        <v>94</v>
      </c>
    </row>
    <row r="704525" spans="1:1" x14ac:dyDescent="0.3">
      <c r="A704525" s="15" t="s">
        <v>93</v>
      </c>
    </row>
    <row r="704526" spans="1:1" x14ac:dyDescent="0.3">
      <c r="A704526" s="15" t="s">
        <v>4</v>
      </c>
    </row>
    <row r="704527" spans="1:1" x14ac:dyDescent="0.3">
      <c r="A704527" s="15" t="s">
        <v>117</v>
      </c>
    </row>
    <row r="704528" spans="1:1" x14ac:dyDescent="0.3">
      <c r="A704528" s="15" t="s">
        <v>5</v>
      </c>
    </row>
    <row r="704529" spans="1:1" x14ac:dyDescent="0.3">
      <c r="A704529" s="15" t="s">
        <v>6</v>
      </c>
    </row>
    <row r="704530" spans="1:1" x14ac:dyDescent="0.3">
      <c r="A704530" s="15" t="s">
        <v>7</v>
      </c>
    </row>
    <row r="704531" spans="1:1" x14ac:dyDescent="0.3">
      <c r="A704531" s="15" t="s">
        <v>8</v>
      </c>
    </row>
    <row r="704532" spans="1:1" x14ac:dyDescent="0.3">
      <c r="A704532" s="15" t="s">
        <v>9</v>
      </c>
    </row>
    <row r="704533" spans="1:1" x14ac:dyDescent="0.3">
      <c r="A704533" s="15" t="s">
        <v>10</v>
      </c>
    </row>
    <row r="704534" spans="1:1" x14ac:dyDescent="0.3">
      <c r="A704534" s="15" t="s">
        <v>11</v>
      </c>
    </row>
    <row r="704535" spans="1:1" x14ac:dyDescent="0.3">
      <c r="A704535" s="15" t="s">
        <v>12</v>
      </c>
    </row>
    <row r="704536" spans="1:1" x14ac:dyDescent="0.3">
      <c r="A704536" s="15" t="s">
        <v>13</v>
      </c>
    </row>
    <row r="704537" spans="1:1" x14ac:dyDescent="0.3">
      <c r="A704537" s="15" t="s">
        <v>14</v>
      </c>
    </row>
    <row r="704538" spans="1:1" x14ac:dyDescent="0.3">
      <c r="A704538" s="13" t="s">
        <v>31</v>
      </c>
    </row>
    <row r="704539" spans="1:1" x14ac:dyDescent="0.3">
      <c r="A704539" s="13" t="s">
        <v>86</v>
      </c>
    </row>
    <row r="704540" spans="1:1" x14ac:dyDescent="0.3">
      <c r="A704540" s="15" t="s">
        <v>30</v>
      </c>
    </row>
    <row r="704541" spans="1:1" x14ac:dyDescent="0.3">
      <c r="A704541" s="15" t="s">
        <v>26</v>
      </c>
    </row>
    <row r="704542" spans="1:1" x14ac:dyDescent="0.3">
      <c r="A704542" s="15" t="s">
        <v>27</v>
      </c>
    </row>
    <row r="704543" spans="1:1" x14ac:dyDescent="0.3">
      <c r="A704543" s="15" t="s">
        <v>28</v>
      </c>
    </row>
    <row r="704544" spans="1:1" x14ac:dyDescent="0.3">
      <c r="A704544" s="15" t="s">
        <v>88</v>
      </c>
    </row>
    <row r="704545" spans="1:1" x14ac:dyDescent="0.3">
      <c r="A704545" s="15" t="s">
        <v>89</v>
      </c>
    </row>
    <row r="704546" spans="1:1" x14ac:dyDescent="0.3">
      <c r="A704546" s="15" t="s">
        <v>184</v>
      </c>
    </row>
    <row r="704547" spans="1:1" x14ac:dyDescent="0.3">
      <c r="A704547" s="15" t="s">
        <v>185</v>
      </c>
    </row>
    <row r="704548" spans="1:1" x14ac:dyDescent="0.3">
      <c r="A704548" s="15" t="s">
        <v>186</v>
      </c>
    </row>
    <row r="704549" spans="1:1" x14ac:dyDescent="0.3">
      <c r="A704549" s="15" t="s">
        <v>187</v>
      </c>
    </row>
    <row r="704550" spans="1:1" x14ac:dyDescent="0.3">
      <c r="A704550" s="15" t="s">
        <v>188</v>
      </c>
    </row>
    <row r="704551" spans="1:1" x14ac:dyDescent="0.3">
      <c r="A704551" s="15" t="s">
        <v>189</v>
      </c>
    </row>
    <row r="704552" spans="1:1" x14ac:dyDescent="0.3">
      <c r="A704552" s="15" t="s">
        <v>190</v>
      </c>
    </row>
    <row r="704553" spans="1:1" x14ac:dyDescent="0.3">
      <c r="A704553" s="14" t="s">
        <v>47</v>
      </c>
    </row>
    <row r="704554" spans="1:1" x14ac:dyDescent="0.3">
      <c r="A704554" s="14" t="s">
        <v>118</v>
      </c>
    </row>
    <row r="704555" spans="1:1" x14ac:dyDescent="0.3">
      <c r="A704555" s="14" t="s">
        <v>85</v>
      </c>
    </row>
    <row r="704556" spans="1:1" x14ac:dyDescent="0.3">
      <c r="A704556" s="13" t="s">
        <v>21</v>
      </c>
    </row>
    <row r="704557" spans="1:1" x14ac:dyDescent="0.3">
      <c r="A704557" s="14" t="s">
        <v>91</v>
      </c>
    </row>
    <row r="704558" spans="1:1" x14ac:dyDescent="0.3">
      <c r="A704558" s="14" t="s">
        <v>92</v>
      </c>
    </row>
    <row r="704559" spans="1:1" x14ac:dyDescent="0.3">
      <c r="A704559" s="14" t="s">
        <v>98</v>
      </c>
    </row>
    <row r="704560" spans="1:1" x14ac:dyDescent="0.3">
      <c r="A704560" s="14" t="s">
        <v>99</v>
      </c>
    </row>
    <row r="704561" spans="1:1" x14ac:dyDescent="0.3">
      <c r="A704561" s="13" t="s">
        <v>24</v>
      </c>
    </row>
    <row r="704562" spans="1:1" x14ac:dyDescent="0.3">
      <c r="A704562" s="13" t="s">
        <v>82</v>
      </c>
    </row>
    <row r="704563" spans="1:1" x14ac:dyDescent="0.3">
      <c r="A704563" s="13" t="s">
        <v>105</v>
      </c>
    </row>
    <row r="704564" spans="1:1" x14ac:dyDescent="0.3">
      <c r="A704564" s="13" t="s">
        <v>100</v>
      </c>
    </row>
    <row r="704565" spans="1:1" x14ac:dyDescent="0.3">
      <c r="A704565" s="13" t="s">
        <v>101</v>
      </c>
    </row>
    <row r="704566" spans="1:1" x14ac:dyDescent="0.3">
      <c r="A704566" s="13" t="s">
        <v>102</v>
      </c>
    </row>
    <row r="704567" spans="1:1" x14ac:dyDescent="0.3">
      <c r="A704567" s="13" t="s">
        <v>103</v>
      </c>
    </row>
    <row r="704568" spans="1:1" x14ac:dyDescent="0.3">
      <c r="A704568" s="13" t="s">
        <v>104</v>
      </c>
    </row>
    <row r="720898" spans="1:1" x14ac:dyDescent="0.3">
      <c r="A720898" s="13" t="s">
        <v>0</v>
      </c>
    </row>
    <row r="720899" spans="1:1" x14ac:dyDescent="0.3">
      <c r="A720899" s="13" t="s">
        <v>124</v>
      </c>
    </row>
    <row r="720900" spans="1:1" x14ac:dyDescent="0.3">
      <c r="A720900" s="13" t="s">
        <v>1</v>
      </c>
    </row>
    <row r="720901" spans="1:1" x14ac:dyDescent="0.3">
      <c r="A720901" s="13" t="s">
        <v>2</v>
      </c>
    </row>
    <row r="720902" spans="1:1" x14ac:dyDescent="0.3">
      <c r="A720902" s="14" t="s">
        <v>25</v>
      </c>
    </row>
    <row r="720903" spans="1:1" x14ac:dyDescent="0.3">
      <c r="A720903" s="13" t="s">
        <v>125</v>
      </c>
    </row>
    <row r="720904" spans="1:1" x14ac:dyDescent="0.3">
      <c r="A720904" s="13" t="s">
        <v>126</v>
      </c>
    </row>
    <row r="720905" spans="1:1" x14ac:dyDescent="0.3">
      <c r="A720905" s="13" t="s">
        <v>87</v>
      </c>
    </row>
    <row r="720906" spans="1:1" x14ac:dyDescent="0.3">
      <c r="A720906" s="13" t="s">
        <v>22</v>
      </c>
    </row>
    <row r="720907" spans="1:1" x14ac:dyDescent="0.3">
      <c r="A720907" s="13" t="s">
        <v>3</v>
      </c>
    </row>
    <row r="720908" spans="1:1" x14ac:dyDescent="0.3">
      <c r="A720908" s="15" t="s">
        <v>94</v>
      </c>
    </row>
    <row r="720909" spans="1:1" x14ac:dyDescent="0.3">
      <c r="A720909" s="15" t="s">
        <v>93</v>
      </c>
    </row>
    <row r="720910" spans="1:1" x14ac:dyDescent="0.3">
      <c r="A720910" s="15" t="s">
        <v>4</v>
      </c>
    </row>
    <row r="720911" spans="1:1" x14ac:dyDescent="0.3">
      <c r="A720911" s="15" t="s">
        <v>117</v>
      </c>
    </row>
    <row r="720912" spans="1:1" x14ac:dyDescent="0.3">
      <c r="A720912" s="15" t="s">
        <v>5</v>
      </c>
    </row>
    <row r="720913" spans="1:1" x14ac:dyDescent="0.3">
      <c r="A720913" s="15" t="s">
        <v>6</v>
      </c>
    </row>
    <row r="720914" spans="1:1" x14ac:dyDescent="0.3">
      <c r="A720914" s="15" t="s">
        <v>7</v>
      </c>
    </row>
    <row r="720915" spans="1:1" x14ac:dyDescent="0.3">
      <c r="A720915" s="15" t="s">
        <v>8</v>
      </c>
    </row>
    <row r="720916" spans="1:1" x14ac:dyDescent="0.3">
      <c r="A720916" s="15" t="s">
        <v>9</v>
      </c>
    </row>
    <row r="720917" spans="1:1" x14ac:dyDescent="0.3">
      <c r="A720917" s="15" t="s">
        <v>10</v>
      </c>
    </row>
    <row r="720918" spans="1:1" x14ac:dyDescent="0.3">
      <c r="A720918" s="15" t="s">
        <v>11</v>
      </c>
    </row>
    <row r="720919" spans="1:1" x14ac:dyDescent="0.3">
      <c r="A720919" s="15" t="s">
        <v>12</v>
      </c>
    </row>
    <row r="720920" spans="1:1" x14ac:dyDescent="0.3">
      <c r="A720920" s="15" t="s">
        <v>13</v>
      </c>
    </row>
    <row r="720921" spans="1:1" x14ac:dyDescent="0.3">
      <c r="A720921" s="15" t="s">
        <v>14</v>
      </c>
    </row>
    <row r="720922" spans="1:1" x14ac:dyDescent="0.3">
      <c r="A720922" s="13" t="s">
        <v>31</v>
      </c>
    </row>
    <row r="720923" spans="1:1" x14ac:dyDescent="0.3">
      <c r="A720923" s="13" t="s">
        <v>86</v>
      </c>
    </row>
    <row r="720924" spans="1:1" x14ac:dyDescent="0.3">
      <c r="A720924" s="15" t="s">
        <v>30</v>
      </c>
    </row>
    <row r="720925" spans="1:1" x14ac:dyDescent="0.3">
      <c r="A720925" s="15" t="s">
        <v>26</v>
      </c>
    </row>
    <row r="720926" spans="1:1" x14ac:dyDescent="0.3">
      <c r="A720926" s="15" t="s">
        <v>27</v>
      </c>
    </row>
    <row r="720927" spans="1:1" x14ac:dyDescent="0.3">
      <c r="A720927" s="15" t="s">
        <v>28</v>
      </c>
    </row>
    <row r="720928" spans="1:1" x14ac:dyDescent="0.3">
      <c r="A720928" s="15" t="s">
        <v>88</v>
      </c>
    </row>
    <row r="720929" spans="1:1" x14ac:dyDescent="0.3">
      <c r="A720929" s="15" t="s">
        <v>89</v>
      </c>
    </row>
    <row r="720930" spans="1:1" x14ac:dyDescent="0.3">
      <c r="A720930" s="15" t="s">
        <v>184</v>
      </c>
    </row>
    <row r="720931" spans="1:1" x14ac:dyDescent="0.3">
      <c r="A720931" s="15" t="s">
        <v>185</v>
      </c>
    </row>
    <row r="720932" spans="1:1" x14ac:dyDescent="0.3">
      <c r="A720932" s="15" t="s">
        <v>186</v>
      </c>
    </row>
    <row r="720933" spans="1:1" x14ac:dyDescent="0.3">
      <c r="A720933" s="15" t="s">
        <v>187</v>
      </c>
    </row>
    <row r="720934" spans="1:1" x14ac:dyDescent="0.3">
      <c r="A720934" s="15" t="s">
        <v>188</v>
      </c>
    </row>
    <row r="720935" spans="1:1" x14ac:dyDescent="0.3">
      <c r="A720935" s="15" t="s">
        <v>189</v>
      </c>
    </row>
    <row r="720936" spans="1:1" x14ac:dyDescent="0.3">
      <c r="A720936" s="15" t="s">
        <v>190</v>
      </c>
    </row>
    <row r="720937" spans="1:1" x14ac:dyDescent="0.3">
      <c r="A720937" s="14" t="s">
        <v>47</v>
      </c>
    </row>
    <row r="720938" spans="1:1" x14ac:dyDescent="0.3">
      <c r="A720938" s="14" t="s">
        <v>118</v>
      </c>
    </row>
    <row r="720939" spans="1:1" x14ac:dyDescent="0.3">
      <c r="A720939" s="14" t="s">
        <v>85</v>
      </c>
    </row>
    <row r="720940" spans="1:1" x14ac:dyDescent="0.3">
      <c r="A720940" s="13" t="s">
        <v>21</v>
      </c>
    </row>
    <row r="720941" spans="1:1" x14ac:dyDescent="0.3">
      <c r="A720941" s="14" t="s">
        <v>91</v>
      </c>
    </row>
    <row r="720942" spans="1:1" x14ac:dyDescent="0.3">
      <c r="A720942" s="14" t="s">
        <v>92</v>
      </c>
    </row>
    <row r="720943" spans="1:1" x14ac:dyDescent="0.3">
      <c r="A720943" s="14" t="s">
        <v>98</v>
      </c>
    </row>
    <row r="720944" spans="1:1" x14ac:dyDescent="0.3">
      <c r="A720944" s="14" t="s">
        <v>99</v>
      </c>
    </row>
    <row r="720945" spans="1:1" x14ac:dyDescent="0.3">
      <c r="A720945" s="13" t="s">
        <v>24</v>
      </c>
    </row>
    <row r="720946" spans="1:1" x14ac:dyDescent="0.3">
      <c r="A720946" s="13" t="s">
        <v>82</v>
      </c>
    </row>
    <row r="720947" spans="1:1" x14ac:dyDescent="0.3">
      <c r="A720947" s="13" t="s">
        <v>105</v>
      </c>
    </row>
    <row r="720948" spans="1:1" x14ac:dyDescent="0.3">
      <c r="A720948" s="13" t="s">
        <v>100</v>
      </c>
    </row>
    <row r="720949" spans="1:1" x14ac:dyDescent="0.3">
      <c r="A720949" s="13" t="s">
        <v>101</v>
      </c>
    </row>
    <row r="720950" spans="1:1" x14ac:dyDescent="0.3">
      <c r="A720950" s="13" t="s">
        <v>102</v>
      </c>
    </row>
    <row r="720951" spans="1:1" x14ac:dyDescent="0.3">
      <c r="A720951" s="13" t="s">
        <v>103</v>
      </c>
    </row>
    <row r="720952" spans="1:1" x14ac:dyDescent="0.3">
      <c r="A720952" s="13" t="s">
        <v>104</v>
      </c>
    </row>
    <row r="737282" spans="1:1" x14ac:dyDescent="0.3">
      <c r="A737282" s="13" t="s">
        <v>0</v>
      </c>
    </row>
    <row r="737283" spans="1:1" x14ac:dyDescent="0.3">
      <c r="A737283" s="13" t="s">
        <v>124</v>
      </c>
    </row>
    <row r="737284" spans="1:1" x14ac:dyDescent="0.3">
      <c r="A737284" s="13" t="s">
        <v>1</v>
      </c>
    </row>
    <row r="737285" spans="1:1" x14ac:dyDescent="0.3">
      <c r="A737285" s="13" t="s">
        <v>2</v>
      </c>
    </row>
    <row r="737286" spans="1:1" x14ac:dyDescent="0.3">
      <c r="A737286" s="14" t="s">
        <v>25</v>
      </c>
    </row>
    <row r="737287" spans="1:1" x14ac:dyDescent="0.3">
      <c r="A737287" s="13" t="s">
        <v>125</v>
      </c>
    </row>
    <row r="737288" spans="1:1" x14ac:dyDescent="0.3">
      <c r="A737288" s="13" t="s">
        <v>126</v>
      </c>
    </row>
    <row r="737289" spans="1:1" x14ac:dyDescent="0.3">
      <c r="A737289" s="13" t="s">
        <v>87</v>
      </c>
    </row>
    <row r="737290" spans="1:1" x14ac:dyDescent="0.3">
      <c r="A737290" s="13" t="s">
        <v>22</v>
      </c>
    </row>
    <row r="737291" spans="1:1" x14ac:dyDescent="0.3">
      <c r="A737291" s="13" t="s">
        <v>3</v>
      </c>
    </row>
    <row r="737292" spans="1:1" x14ac:dyDescent="0.3">
      <c r="A737292" s="15" t="s">
        <v>94</v>
      </c>
    </row>
    <row r="737293" spans="1:1" x14ac:dyDescent="0.3">
      <c r="A737293" s="15" t="s">
        <v>93</v>
      </c>
    </row>
    <row r="737294" spans="1:1" x14ac:dyDescent="0.3">
      <c r="A737294" s="15" t="s">
        <v>4</v>
      </c>
    </row>
    <row r="737295" spans="1:1" x14ac:dyDescent="0.3">
      <c r="A737295" s="15" t="s">
        <v>117</v>
      </c>
    </row>
    <row r="737296" spans="1:1" x14ac:dyDescent="0.3">
      <c r="A737296" s="15" t="s">
        <v>5</v>
      </c>
    </row>
    <row r="737297" spans="1:1" x14ac:dyDescent="0.3">
      <c r="A737297" s="15" t="s">
        <v>6</v>
      </c>
    </row>
    <row r="737298" spans="1:1" x14ac:dyDescent="0.3">
      <c r="A737298" s="15" t="s">
        <v>7</v>
      </c>
    </row>
    <row r="737299" spans="1:1" x14ac:dyDescent="0.3">
      <c r="A737299" s="15" t="s">
        <v>8</v>
      </c>
    </row>
    <row r="737300" spans="1:1" x14ac:dyDescent="0.3">
      <c r="A737300" s="15" t="s">
        <v>9</v>
      </c>
    </row>
    <row r="737301" spans="1:1" x14ac:dyDescent="0.3">
      <c r="A737301" s="15" t="s">
        <v>10</v>
      </c>
    </row>
    <row r="737302" spans="1:1" x14ac:dyDescent="0.3">
      <c r="A737302" s="15" t="s">
        <v>11</v>
      </c>
    </row>
    <row r="737303" spans="1:1" x14ac:dyDescent="0.3">
      <c r="A737303" s="15" t="s">
        <v>12</v>
      </c>
    </row>
    <row r="737304" spans="1:1" x14ac:dyDescent="0.3">
      <c r="A737304" s="15" t="s">
        <v>13</v>
      </c>
    </row>
    <row r="737305" spans="1:1" x14ac:dyDescent="0.3">
      <c r="A737305" s="15" t="s">
        <v>14</v>
      </c>
    </row>
    <row r="737306" spans="1:1" x14ac:dyDescent="0.3">
      <c r="A737306" s="13" t="s">
        <v>31</v>
      </c>
    </row>
    <row r="737307" spans="1:1" x14ac:dyDescent="0.3">
      <c r="A737307" s="13" t="s">
        <v>86</v>
      </c>
    </row>
    <row r="737308" spans="1:1" x14ac:dyDescent="0.3">
      <c r="A737308" s="15" t="s">
        <v>30</v>
      </c>
    </row>
    <row r="737309" spans="1:1" x14ac:dyDescent="0.3">
      <c r="A737309" s="15" t="s">
        <v>26</v>
      </c>
    </row>
    <row r="737310" spans="1:1" x14ac:dyDescent="0.3">
      <c r="A737310" s="15" t="s">
        <v>27</v>
      </c>
    </row>
    <row r="737311" spans="1:1" x14ac:dyDescent="0.3">
      <c r="A737311" s="15" t="s">
        <v>28</v>
      </c>
    </row>
    <row r="737312" spans="1:1" x14ac:dyDescent="0.3">
      <c r="A737312" s="15" t="s">
        <v>88</v>
      </c>
    </row>
    <row r="737313" spans="1:1" x14ac:dyDescent="0.3">
      <c r="A737313" s="15" t="s">
        <v>89</v>
      </c>
    </row>
    <row r="737314" spans="1:1" x14ac:dyDescent="0.3">
      <c r="A737314" s="15" t="s">
        <v>184</v>
      </c>
    </row>
    <row r="737315" spans="1:1" x14ac:dyDescent="0.3">
      <c r="A737315" s="15" t="s">
        <v>185</v>
      </c>
    </row>
    <row r="737316" spans="1:1" x14ac:dyDescent="0.3">
      <c r="A737316" s="15" t="s">
        <v>186</v>
      </c>
    </row>
    <row r="737317" spans="1:1" x14ac:dyDescent="0.3">
      <c r="A737317" s="15" t="s">
        <v>187</v>
      </c>
    </row>
    <row r="737318" spans="1:1" x14ac:dyDescent="0.3">
      <c r="A737318" s="15" t="s">
        <v>188</v>
      </c>
    </row>
    <row r="737319" spans="1:1" x14ac:dyDescent="0.3">
      <c r="A737319" s="15" t="s">
        <v>189</v>
      </c>
    </row>
    <row r="737320" spans="1:1" x14ac:dyDescent="0.3">
      <c r="A737320" s="15" t="s">
        <v>190</v>
      </c>
    </row>
    <row r="737321" spans="1:1" x14ac:dyDescent="0.3">
      <c r="A737321" s="14" t="s">
        <v>47</v>
      </c>
    </row>
    <row r="737322" spans="1:1" x14ac:dyDescent="0.3">
      <c r="A737322" s="14" t="s">
        <v>118</v>
      </c>
    </row>
    <row r="737323" spans="1:1" x14ac:dyDescent="0.3">
      <c r="A737323" s="14" t="s">
        <v>85</v>
      </c>
    </row>
    <row r="737324" spans="1:1" x14ac:dyDescent="0.3">
      <c r="A737324" s="13" t="s">
        <v>21</v>
      </c>
    </row>
    <row r="737325" spans="1:1" x14ac:dyDescent="0.3">
      <c r="A737325" s="14" t="s">
        <v>91</v>
      </c>
    </row>
    <row r="737326" spans="1:1" x14ac:dyDescent="0.3">
      <c r="A737326" s="14" t="s">
        <v>92</v>
      </c>
    </row>
    <row r="737327" spans="1:1" x14ac:dyDescent="0.3">
      <c r="A737327" s="14" t="s">
        <v>98</v>
      </c>
    </row>
    <row r="737328" spans="1:1" x14ac:dyDescent="0.3">
      <c r="A737328" s="14" t="s">
        <v>99</v>
      </c>
    </row>
    <row r="737329" spans="1:1" x14ac:dyDescent="0.3">
      <c r="A737329" s="13" t="s">
        <v>24</v>
      </c>
    </row>
    <row r="737330" spans="1:1" x14ac:dyDescent="0.3">
      <c r="A737330" s="13" t="s">
        <v>82</v>
      </c>
    </row>
    <row r="737331" spans="1:1" x14ac:dyDescent="0.3">
      <c r="A737331" s="13" t="s">
        <v>105</v>
      </c>
    </row>
    <row r="737332" spans="1:1" x14ac:dyDescent="0.3">
      <c r="A737332" s="13" t="s">
        <v>100</v>
      </c>
    </row>
    <row r="737333" spans="1:1" x14ac:dyDescent="0.3">
      <c r="A737333" s="13" t="s">
        <v>101</v>
      </c>
    </row>
    <row r="737334" spans="1:1" x14ac:dyDescent="0.3">
      <c r="A737334" s="13" t="s">
        <v>102</v>
      </c>
    </row>
    <row r="737335" spans="1:1" x14ac:dyDescent="0.3">
      <c r="A737335" s="13" t="s">
        <v>103</v>
      </c>
    </row>
    <row r="737336" spans="1:1" x14ac:dyDescent="0.3">
      <c r="A737336" s="13" t="s">
        <v>104</v>
      </c>
    </row>
    <row r="753666" spans="1:1" x14ac:dyDescent="0.3">
      <c r="A753666" s="13" t="s">
        <v>0</v>
      </c>
    </row>
    <row r="753667" spans="1:1" x14ac:dyDescent="0.3">
      <c r="A753667" s="13" t="s">
        <v>124</v>
      </c>
    </row>
    <row r="753668" spans="1:1" x14ac:dyDescent="0.3">
      <c r="A753668" s="13" t="s">
        <v>1</v>
      </c>
    </row>
    <row r="753669" spans="1:1" x14ac:dyDescent="0.3">
      <c r="A753669" s="13" t="s">
        <v>2</v>
      </c>
    </row>
    <row r="753670" spans="1:1" x14ac:dyDescent="0.3">
      <c r="A753670" s="14" t="s">
        <v>25</v>
      </c>
    </row>
    <row r="753671" spans="1:1" x14ac:dyDescent="0.3">
      <c r="A753671" s="13" t="s">
        <v>125</v>
      </c>
    </row>
    <row r="753672" spans="1:1" x14ac:dyDescent="0.3">
      <c r="A753672" s="13" t="s">
        <v>126</v>
      </c>
    </row>
    <row r="753673" spans="1:1" x14ac:dyDescent="0.3">
      <c r="A753673" s="13" t="s">
        <v>87</v>
      </c>
    </row>
    <row r="753674" spans="1:1" x14ac:dyDescent="0.3">
      <c r="A753674" s="13" t="s">
        <v>22</v>
      </c>
    </row>
    <row r="753675" spans="1:1" x14ac:dyDescent="0.3">
      <c r="A753675" s="13" t="s">
        <v>3</v>
      </c>
    </row>
    <row r="753676" spans="1:1" x14ac:dyDescent="0.3">
      <c r="A753676" s="15" t="s">
        <v>94</v>
      </c>
    </row>
    <row r="753677" spans="1:1" x14ac:dyDescent="0.3">
      <c r="A753677" s="15" t="s">
        <v>93</v>
      </c>
    </row>
    <row r="753678" spans="1:1" x14ac:dyDescent="0.3">
      <c r="A753678" s="15" t="s">
        <v>4</v>
      </c>
    </row>
    <row r="753679" spans="1:1" x14ac:dyDescent="0.3">
      <c r="A753679" s="15" t="s">
        <v>117</v>
      </c>
    </row>
    <row r="753680" spans="1:1" x14ac:dyDescent="0.3">
      <c r="A753680" s="15" t="s">
        <v>5</v>
      </c>
    </row>
    <row r="753681" spans="1:1" x14ac:dyDescent="0.3">
      <c r="A753681" s="15" t="s">
        <v>6</v>
      </c>
    </row>
    <row r="753682" spans="1:1" x14ac:dyDescent="0.3">
      <c r="A753682" s="15" t="s">
        <v>7</v>
      </c>
    </row>
    <row r="753683" spans="1:1" x14ac:dyDescent="0.3">
      <c r="A753683" s="15" t="s">
        <v>8</v>
      </c>
    </row>
    <row r="753684" spans="1:1" x14ac:dyDescent="0.3">
      <c r="A753684" s="15" t="s">
        <v>9</v>
      </c>
    </row>
    <row r="753685" spans="1:1" x14ac:dyDescent="0.3">
      <c r="A753685" s="15" t="s">
        <v>10</v>
      </c>
    </row>
    <row r="753686" spans="1:1" x14ac:dyDescent="0.3">
      <c r="A753686" s="15" t="s">
        <v>11</v>
      </c>
    </row>
    <row r="753687" spans="1:1" x14ac:dyDescent="0.3">
      <c r="A753687" s="15" t="s">
        <v>12</v>
      </c>
    </row>
    <row r="753688" spans="1:1" x14ac:dyDescent="0.3">
      <c r="A753688" s="15" t="s">
        <v>13</v>
      </c>
    </row>
    <row r="753689" spans="1:1" x14ac:dyDescent="0.3">
      <c r="A753689" s="15" t="s">
        <v>14</v>
      </c>
    </row>
    <row r="753690" spans="1:1" x14ac:dyDescent="0.3">
      <c r="A753690" s="13" t="s">
        <v>31</v>
      </c>
    </row>
    <row r="753691" spans="1:1" x14ac:dyDescent="0.3">
      <c r="A753691" s="13" t="s">
        <v>86</v>
      </c>
    </row>
    <row r="753692" spans="1:1" x14ac:dyDescent="0.3">
      <c r="A753692" s="15" t="s">
        <v>30</v>
      </c>
    </row>
    <row r="753693" spans="1:1" x14ac:dyDescent="0.3">
      <c r="A753693" s="15" t="s">
        <v>26</v>
      </c>
    </row>
    <row r="753694" spans="1:1" x14ac:dyDescent="0.3">
      <c r="A753694" s="15" t="s">
        <v>27</v>
      </c>
    </row>
    <row r="753695" spans="1:1" x14ac:dyDescent="0.3">
      <c r="A753695" s="15" t="s">
        <v>28</v>
      </c>
    </row>
    <row r="753696" spans="1:1" x14ac:dyDescent="0.3">
      <c r="A753696" s="15" t="s">
        <v>88</v>
      </c>
    </row>
    <row r="753697" spans="1:1" x14ac:dyDescent="0.3">
      <c r="A753697" s="15" t="s">
        <v>89</v>
      </c>
    </row>
    <row r="753698" spans="1:1" x14ac:dyDescent="0.3">
      <c r="A753698" s="15" t="s">
        <v>184</v>
      </c>
    </row>
    <row r="753699" spans="1:1" x14ac:dyDescent="0.3">
      <c r="A753699" s="15" t="s">
        <v>185</v>
      </c>
    </row>
    <row r="753700" spans="1:1" x14ac:dyDescent="0.3">
      <c r="A753700" s="15" t="s">
        <v>186</v>
      </c>
    </row>
    <row r="753701" spans="1:1" x14ac:dyDescent="0.3">
      <c r="A753701" s="15" t="s">
        <v>187</v>
      </c>
    </row>
    <row r="753702" spans="1:1" x14ac:dyDescent="0.3">
      <c r="A753702" s="15" t="s">
        <v>188</v>
      </c>
    </row>
    <row r="753703" spans="1:1" x14ac:dyDescent="0.3">
      <c r="A753703" s="15" t="s">
        <v>189</v>
      </c>
    </row>
    <row r="753704" spans="1:1" x14ac:dyDescent="0.3">
      <c r="A753704" s="15" t="s">
        <v>190</v>
      </c>
    </row>
    <row r="753705" spans="1:1" x14ac:dyDescent="0.3">
      <c r="A753705" s="14" t="s">
        <v>47</v>
      </c>
    </row>
    <row r="753706" spans="1:1" x14ac:dyDescent="0.3">
      <c r="A753706" s="14" t="s">
        <v>118</v>
      </c>
    </row>
    <row r="753707" spans="1:1" x14ac:dyDescent="0.3">
      <c r="A753707" s="14" t="s">
        <v>85</v>
      </c>
    </row>
    <row r="753708" spans="1:1" x14ac:dyDescent="0.3">
      <c r="A753708" s="13" t="s">
        <v>21</v>
      </c>
    </row>
    <row r="753709" spans="1:1" x14ac:dyDescent="0.3">
      <c r="A753709" s="14" t="s">
        <v>91</v>
      </c>
    </row>
    <row r="753710" spans="1:1" x14ac:dyDescent="0.3">
      <c r="A753710" s="14" t="s">
        <v>92</v>
      </c>
    </row>
    <row r="753711" spans="1:1" x14ac:dyDescent="0.3">
      <c r="A753711" s="14" t="s">
        <v>98</v>
      </c>
    </row>
    <row r="753712" spans="1:1" x14ac:dyDescent="0.3">
      <c r="A753712" s="14" t="s">
        <v>99</v>
      </c>
    </row>
    <row r="753713" spans="1:1" x14ac:dyDescent="0.3">
      <c r="A753713" s="13" t="s">
        <v>24</v>
      </c>
    </row>
    <row r="753714" spans="1:1" x14ac:dyDescent="0.3">
      <c r="A753714" s="13" t="s">
        <v>82</v>
      </c>
    </row>
    <row r="753715" spans="1:1" x14ac:dyDescent="0.3">
      <c r="A753715" s="13" t="s">
        <v>105</v>
      </c>
    </row>
    <row r="753716" spans="1:1" x14ac:dyDescent="0.3">
      <c r="A753716" s="13" t="s">
        <v>100</v>
      </c>
    </row>
    <row r="753717" spans="1:1" x14ac:dyDescent="0.3">
      <c r="A753717" s="13" t="s">
        <v>101</v>
      </c>
    </row>
    <row r="753718" spans="1:1" x14ac:dyDescent="0.3">
      <c r="A753718" s="13" t="s">
        <v>102</v>
      </c>
    </row>
    <row r="753719" spans="1:1" x14ac:dyDescent="0.3">
      <c r="A753719" s="13" t="s">
        <v>103</v>
      </c>
    </row>
    <row r="753720" spans="1:1" x14ac:dyDescent="0.3">
      <c r="A753720" s="13" t="s">
        <v>104</v>
      </c>
    </row>
    <row r="770050" spans="1:1" x14ac:dyDescent="0.3">
      <c r="A770050" s="13" t="s">
        <v>0</v>
      </c>
    </row>
    <row r="770051" spans="1:1" x14ac:dyDescent="0.3">
      <c r="A770051" s="13" t="s">
        <v>124</v>
      </c>
    </row>
    <row r="770052" spans="1:1" x14ac:dyDescent="0.3">
      <c r="A770052" s="13" t="s">
        <v>1</v>
      </c>
    </row>
    <row r="770053" spans="1:1" x14ac:dyDescent="0.3">
      <c r="A770053" s="13" t="s">
        <v>2</v>
      </c>
    </row>
    <row r="770054" spans="1:1" x14ac:dyDescent="0.3">
      <c r="A770054" s="14" t="s">
        <v>25</v>
      </c>
    </row>
    <row r="770055" spans="1:1" x14ac:dyDescent="0.3">
      <c r="A770055" s="13" t="s">
        <v>125</v>
      </c>
    </row>
    <row r="770056" spans="1:1" x14ac:dyDescent="0.3">
      <c r="A770056" s="13" t="s">
        <v>126</v>
      </c>
    </row>
    <row r="770057" spans="1:1" x14ac:dyDescent="0.3">
      <c r="A770057" s="13" t="s">
        <v>87</v>
      </c>
    </row>
    <row r="770058" spans="1:1" x14ac:dyDescent="0.3">
      <c r="A770058" s="13" t="s">
        <v>22</v>
      </c>
    </row>
    <row r="770059" spans="1:1" x14ac:dyDescent="0.3">
      <c r="A770059" s="13" t="s">
        <v>3</v>
      </c>
    </row>
    <row r="770060" spans="1:1" x14ac:dyDescent="0.3">
      <c r="A770060" s="15" t="s">
        <v>94</v>
      </c>
    </row>
    <row r="770061" spans="1:1" x14ac:dyDescent="0.3">
      <c r="A770061" s="15" t="s">
        <v>93</v>
      </c>
    </row>
    <row r="770062" spans="1:1" x14ac:dyDescent="0.3">
      <c r="A770062" s="15" t="s">
        <v>4</v>
      </c>
    </row>
    <row r="770063" spans="1:1" x14ac:dyDescent="0.3">
      <c r="A770063" s="15" t="s">
        <v>117</v>
      </c>
    </row>
    <row r="770064" spans="1:1" x14ac:dyDescent="0.3">
      <c r="A770064" s="15" t="s">
        <v>5</v>
      </c>
    </row>
    <row r="770065" spans="1:1" x14ac:dyDescent="0.3">
      <c r="A770065" s="15" t="s">
        <v>6</v>
      </c>
    </row>
    <row r="770066" spans="1:1" x14ac:dyDescent="0.3">
      <c r="A770066" s="15" t="s">
        <v>7</v>
      </c>
    </row>
    <row r="770067" spans="1:1" x14ac:dyDescent="0.3">
      <c r="A770067" s="15" t="s">
        <v>8</v>
      </c>
    </row>
    <row r="770068" spans="1:1" x14ac:dyDescent="0.3">
      <c r="A770068" s="15" t="s">
        <v>9</v>
      </c>
    </row>
    <row r="770069" spans="1:1" x14ac:dyDescent="0.3">
      <c r="A770069" s="15" t="s">
        <v>10</v>
      </c>
    </row>
    <row r="770070" spans="1:1" x14ac:dyDescent="0.3">
      <c r="A770070" s="15" t="s">
        <v>11</v>
      </c>
    </row>
    <row r="770071" spans="1:1" x14ac:dyDescent="0.3">
      <c r="A770071" s="15" t="s">
        <v>12</v>
      </c>
    </row>
    <row r="770072" spans="1:1" x14ac:dyDescent="0.3">
      <c r="A770072" s="15" t="s">
        <v>13</v>
      </c>
    </row>
    <row r="770073" spans="1:1" x14ac:dyDescent="0.3">
      <c r="A770073" s="15" t="s">
        <v>14</v>
      </c>
    </row>
    <row r="770074" spans="1:1" x14ac:dyDescent="0.3">
      <c r="A770074" s="13" t="s">
        <v>31</v>
      </c>
    </row>
    <row r="770075" spans="1:1" x14ac:dyDescent="0.3">
      <c r="A770075" s="13" t="s">
        <v>86</v>
      </c>
    </row>
    <row r="770076" spans="1:1" x14ac:dyDescent="0.3">
      <c r="A770076" s="15" t="s">
        <v>30</v>
      </c>
    </row>
    <row r="770077" spans="1:1" x14ac:dyDescent="0.3">
      <c r="A770077" s="15" t="s">
        <v>26</v>
      </c>
    </row>
    <row r="770078" spans="1:1" x14ac:dyDescent="0.3">
      <c r="A770078" s="15" t="s">
        <v>27</v>
      </c>
    </row>
    <row r="770079" spans="1:1" x14ac:dyDescent="0.3">
      <c r="A770079" s="15" t="s">
        <v>28</v>
      </c>
    </row>
    <row r="770080" spans="1:1" x14ac:dyDescent="0.3">
      <c r="A770080" s="15" t="s">
        <v>88</v>
      </c>
    </row>
    <row r="770081" spans="1:1" x14ac:dyDescent="0.3">
      <c r="A770081" s="15" t="s">
        <v>89</v>
      </c>
    </row>
    <row r="770082" spans="1:1" x14ac:dyDescent="0.3">
      <c r="A770082" s="15" t="s">
        <v>184</v>
      </c>
    </row>
    <row r="770083" spans="1:1" x14ac:dyDescent="0.3">
      <c r="A770083" s="15" t="s">
        <v>185</v>
      </c>
    </row>
    <row r="770084" spans="1:1" x14ac:dyDescent="0.3">
      <c r="A770084" s="15" t="s">
        <v>186</v>
      </c>
    </row>
    <row r="770085" spans="1:1" x14ac:dyDescent="0.3">
      <c r="A770085" s="15" t="s">
        <v>187</v>
      </c>
    </row>
    <row r="770086" spans="1:1" x14ac:dyDescent="0.3">
      <c r="A770086" s="15" t="s">
        <v>188</v>
      </c>
    </row>
    <row r="770087" spans="1:1" x14ac:dyDescent="0.3">
      <c r="A770087" s="15" t="s">
        <v>189</v>
      </c>
    </row>
    <row r="770088" spans="1:1" x14ac:dyDescent="0.3">
      <c r="A770088" s="15" t="s">
        <v>190</v>
      </c>
    </row>
    <row r="770089" spans="1:1" x14ac:dyDescent="0.3">
      <c r="A770089" s="14" t="s">
        <v>47</v>
      </c>
    </row>
    <row r="770090" spans="1:1" x14ac:dyDescent="0.3">
      <c r="A770090" s="14" t="s">
        <v>118</v>
      </c>
    </row>
    <row r="770091" spans="1:1" x14ac:dyDescent="0.3">
      <c r="A770091" s="14" t="s">
        <v>85</v>
      </c>
    </row>
    <row r="770092" spans="1:1" x14ac:dyDescent="0.3">
      <c r="A770092" s="13" t="s">
        <v>21</v>
      </c>
    </row>
    <row r="770093" spans="1:1" x14ac:dyDescent="0.3">
      <c r="A770093" s="14" t="s">
        <v>91</v>
      </c>
    </row>
    <row r="770094" spans="1:1" x14ac:dyDescent="0.3">
      <c r="A770094" s="14" t="s">
        <v>92</v>
      </c>
    </row>
    <row r="770095" spans="1:1" x14ac:dyDescent="0.3">
      <c r="A770095" s="14" t="s">
        <v>98</v>
      </c>
    </row>
    <row r="770096" spans="1:1" x14ac:dyDescent="0.3">
      <c r="A770096" s="14" t="s">
        <v>99</v>
      </c>
    </row>
    <row r="770097" spans="1:1" x14ac:dyDescent="0.3">
      <c r="A770097" s="13" t="s">
        <v>24</v>
      </c>
    </row>
    <row r="770098" spans="1:1" x14ac:dyDescent="0.3">
      <c r="A770098" s="13" t="s">
        <v>82</v>
      </c>
    </row>
    <row r="770099" spans="1:1" x14ac:dyDescent="0.3">
      <c r="A770099" s="13" t="s">
        <v>105</v>
      </c>
    </row>
    <row r="770100" spans="1:1" x14ac:dyDescent="0.3">
      <c r="A770100" s="13" t="s">
        <v>100</v>
      </c>
    </row>
    <row r="770101" spans="1:1" x14ac:dyDescent="0.3">
      <c r="A770101" s="13" t="s">
        <v>101</v>
      </c>
    </row>
    <row r="770102" spans="1:1" x14ac:dyDescent="0.3">
      <c r="A770102" s="13" t="s">
        <v>102</v>
      </c>
    </row>
    <row r="770103" spans="1:1" x14ac:dyDescent="0.3">
      <c r="A770103" s="13" t="s">
        <v>103</v>
      </c>
    </row>
    <row r="770104" spans="1:1" x14ac:dyDescent="0.3">
      <c r="A770104" s="13" t="s">
        <v>104</v>
      </c>
    </row>
    <row r="786434" spans="1:1" x14ac:dyDescent="0.3">
      <c r="A786434" s="13" t="s">
        <v>0</v>
      </c>
    </row>
    <row r="786435" spans="1:1" x14ac:dyDescent="0.3">
      <c r="A786435" s="13" t="s">
        <v>124</v>
      </c>
    </row>
    <row r="786436" spans="1:1" x14ac:dyDescent="0.3">
      <c r="A786436" s="13" t="s">
        <v>1</v>
      </c>
    </row>
    <row r="786437" spans="1:1" x14ac:dyDescent="0.3">
      <c r="A786437" s="13" t="s">
        <v>2</v>
      </c>
    </row>
    <row r="786438" spans="1:1" x14ac:dyDescent="0.3">
      <c r="A786438" s="14" t="s">
        <v>25</v>
      </c>
    </row>
    <row r="786439" spans="1:1" x14ac:dyDescent="0.3">
      <c r="A786439" s="13" t="s">
        <v>125</v>
      </c>
    </row>
    <row r="786440" spans="1:1" x14ac:dyDescent="0.3">
      <c r="A786440" s="13" t="s">
        <v>126</v>
      </c>
    </row>
    <row r="786441" spans="1:1" x14ac:dyDescent="0.3">
      <c r="A786441" s="13" t="s">
        <v>87</v>
      </c>
    </row>
    <row r="786442" spans="1:1" x14ac:dyDescent="0.3">
      <c r="A786442" s="13" t="s">
        <v>22</v>
      </c>
    </row>
    <row r="786443" spans="1:1" x14ac:dyDescent="0.3">
      <c r="A786443" s="13" t="s">
        <v>3</v>
      </c>
    </row>
    <row r="786444" spans="1:1" x14ac:dyDescent="0.3">
      <c r="A786444" s="15" t="s">
        <v>94</v>
      </c>
    </row>
    <row r="786445" spans="1:1" x14ac:dyDescent="0.3">
      <c r="A786445" s="15" t="s">
        <v>93</v>
      </c>
    </row>
    <row r="786446" spans="1:1" x14ac:dyDescent="0.3">
      <c r="A786446" s="15" t="s">
        <v>4</v>
      </c>
    </row>
    <row r="786447" spans="1:1" x14ac:dyDescent="0.3">
      <c r="A786447" s="15" t="s">
        <v>117</v>
      </c>
    </row>
    <row r="786448" spans="1:1" x14ac:dyDescent="0.3">
      <c r="A786448" s="15" t="s">
        <v>5</v>
      </c>
    </row>
    <row r="786449" spans="1:1" x14ac:dyDescent="0.3">
      <c r="A786449" s="15" t="s">
        <v>6</v>
      </c>
    </row>
    <row r="786450" spans="1:1" x14ac:dyDescent="0.3">
      <c r="A786450" s="15" t="s">
        <v>7</v>
      </c>
    </row>
    <row r="786451" spans="1:1" x14ac:dyDescent="0.3">
      <c r="A786451" s="15" t="s">
        <v>8</v>
      </c>
    </row>
    <row r="786452" spans="1:1" x14ac:dyDescent="0.3">
      <c r="A786452" s="15" t="s">
        <v>9</v>
      </c>
    </row>
    <row r="786453" spans="1:1" x14ac:dyDescent="0.3">
      <c r="A786453" s="15" t="s">
        <v>10</v>
      </c>
    </row>
    <row r="786454" spans="1:1" x14ac:dyDescent="0.3">
      <c r="A786454" s="15" t="s">
        <v>11</v>
      </c>
    </row>
    <row r="786455" spans="1:1" x14ac:dyDescent="0.3">
      <c r="A786455" s="15" t="s">
        <v>12</v>
      </c>
    </row>
    <row r="786456" spans="1:1" x14ac:dyDescent="0.3">
      <c r="A786456" s="15" t="s">
        <v>13</v>
      </c>
    </row>
    <row r="786457" spans="1:1" x14ac:dyDescent="0.3">
      <c r="A786457" s="15" t="s">
        <v>14</v>
      </c>
    </row>
    <row r="786458" spans="1:1" x14ac:dyDescent="0.3">
      <c r="A786458" s="13" t="s">
        <v>31</v>
      </c>
    </row>
    <row r="786459" spans="1:1" x14ac:dyDescent="0.3">
      <c r="A786459" s="13" t="s">
        <v>86</v>
      </c>
    </row>
    <row r="786460" spans="1:1" x14ac:dyDescent="0.3">
      <c r="A786460" s="15" t="s">
        <v>30</v>
      </c>
    </row>
    <row r="786461" spans="1:1" x14ac:dyDescent="0.3">
      <c r="A786461" s="15" t="s">
        <v>26</v>
      </c>
    </row>
    <row r="786462" spans="1:1" x14ac:dyDescent="0.3">
      <c r="A786462" s="15" t="s">
        <v>27</v>
      </c>
    </row>
    <row r="786463" spans="1:1" x14ac:dyDescent="0.3">
      <c r="A786463" s="15" t="s">
        <v>28</v>
      </c>
    </row>
    <row r="786464" spans="1:1" x14ac:dyDescent="0.3">
      <c r="A786464" s="15" t="s">
        <v>88</v>
      </c>
    </row>
    <row r="786465" spans="1:1" x14ac:dyDescent="0.3">
      <c r="A786465" s="15" t="s">
        <v>89</v>
      </c>
    </row>
    <row r="786466" spans="1:1" x14ac:dyDescent="0.3">
      <c r="A786466" s="15" t="s">
        <v>184</v>
      </c>
    </row>
    <row r="786467" spans="1:1" x14ac:dyDescent="0.3">
      <c r="A786467" s="15" t="s">
        <v>185</v>
      </c>
    </row>
    <row r="786468" spans="1:1" x14ac:dyDescent="0.3">
      <c r="A786468" s="15" t="s">
        <v>186</v>
      </c>
    </row>
    <row r="786469" spans="1:1" x14ac:dyDescent="0.3">
      <c r="A786469" s="15" t="s">
        <v>187</v>
      </c>
    </row>
    <row r="786470" spans="1:1" x14ac:dyDescent="0.3">
      <c r="A786470" s="15" t="s">
        <v>188</v>
      </c>
    </row>
    <row r="786471" spans="1:1" x14ac:dyDescent="0.3">
      <c r="A786471" s="15" t="s">
        <v>189</v>
      </c>
    </row>
    <row r="786472" spans="1:1" x14ac:dyDescent="0.3">
      <c r="A786472" s="15" t="s">
        <v>190</v>
      </c>
    </row>
    <row r="786473" spans="1:1" x14ac:dyDescent="0.3">
      <c r="A786473" s="14" t="s">
        <v>47</v>
      </c>
    </row>
    <row r="786474" spans="1:1" x14ac:dyDescent="0.3">
      <c r="A786474" s="14" t="s">
        <v>118</v>
      </c>
    </row>
    <row r="786475" spans="1:1" x14ac:dyDescent="0.3">
      <c r="A786475" s="14" t="s">
        <v>85</v>
      </c>
    </row>
    <row r="786476" spans="1:1" x14ac:dyDescent="0.3">
      <c r="A786476" s="13" t="s">
        <v>21</v>
      </c>
    </row>
    <row r="786477" spans="1:1" x14ac:dyDescent="0.3">
      <c r="A786477" s="14" t="s">
        <v>91</v>
      </c>
    </row>
    <row r="786478" spans="1:1" x14ac:dyDescent="0.3">
      <c r="A786478" s="14" t="s">
        <v>92</v>
      </c>
    </row>
    <row r="786479" spans="1:1" x14ac:dyDescent="0.3">
      <c r="A786479" s="14" t="s">
        <v>98</v>
      </c>
    </row>
    <row r="786480" spans="1:1" x14ac:dyDescent="0.3">
      <c r="A786480" s="14" t="s">
        <v>99</v>
      </c>
    </row>
    <row r="786481" spans="1:1" x14ac:dyDescent="0.3">
      <c r="A786481" s="13" t="s">
        <v>24</v>
      </c>
    </row>
    <row r="786482" spans="1:1" x14ac:dyDescent="0.3">
      <c r="A786482" s="13" t="s">
        <v>82</v>
      </c>
    </row>
    <row r="786483" spans="1:1" x14ac:dyDescent="0.3">
      <c r="A786483" s="13" t="s">
        <v>105</v>
      </c>
    </row>
    <row r="786484" spans="1:1" x14ac:dyDescent="0.3">
      <c r="A786484" s="13" t="s">
        <v>100</v>
      </c>
    </row>
    <row r="786485" spans="1:1" x14ac:dyDescent="0.3">
      <c r="A786485" s="13" t="s">
        <v>101</v>
      </c>
    </row>
    <row r="786486" spans="1:1" x14ac:dyDescent="0.3">
      <c r="A786486" s="13" t="s">
        <v>102</v>
      </c>
    </row>
    <row r="786487" spans="1:1" x14ac:dyDescent="0.3">
      <c r="A786487" s="13" t="s">
        <v>103</v>
      </c>
    </row>
    <row r="786488" spans="1:1" x14ac:dyDescent="0.3">
      <c r="A786488" s="13" t="s">
        <v>104</v>
      </c>
    </row>
    <row r="802818" spans="1:1" x14ac:dyDescent="0.3">
      <c r="A802818" s="13" t="s">
        <v>0</v>
      </c>
    </row>
    <row r="802819" spans="1:1" x14ac:dyDescent="0.3">
      <c r="A802819" s="13" t="s">
        <v>124</v>
      </c>
    </row>
    <row r="802820" spans="1:1" x14ac:dyDescent="0.3">
      <c r="A802820" s="13" t="s">
        <v>1</v>
      </c>
    </row>
    <row r="802821" spans="1:1" x14ac:dyDescent="0.3">
      <c r="A802821" s="13" t="s">
        <v>2</v>
      </c>
    </row>
    <row r="802822" spans="1:1" x14ac:dyDescent="0.3">
      <c r="A802822" s="14" t="s">
        <v>25</v>
      </c>
    </row>
    <row r="802823" spans="1:1" x14ac:dyDescent="0.3">
      <c r="A802823" s="13" t="s">
        <v>125</v>
      </c>
    </row>
    <row r="802824" spans="1:1" x14ac:dyDescent="0.3">
      <c r="A802824" s="13" t="s">
        <v>126</v>
      </c>
    </row>
    <row r="802825" spans="1:1" x14ac:dyDescent="0.3">
      <c r="A802825" s="13" t="s">
        <v>87</v>
      </c>
    </row>
    <row r="802826" spans="1:1" x14ac:dyDescent="0.3">
      <c r="A802826" s="13" t="s">
        <v>22</v>
      </c>
    </row>
    <row r="802827" spans="1:1" x14ac:dyDescent="0.3">
      <c r="A802827" s="13" t="s">
        <v>3</v>
      </c>
    </row>
    <row r="802828" spans="1:1" x14ac:dyDescent="0.3">
      <c r="A802828" s="15" t="s">
        <v>94</v>
      </c>
    </row>
    <row r="802829" spans="1:1" x14ac:dyDescent="0.3">
      <c r="A802829" s="15" t="s">
        <v>93</v>
      </c>
    </row>
    <row r="802830" spans="1:1" x14ac:dyDescent="0.3">
      <c r="A802830" s="15" t="s">
        <v>4</v>
      </c>
    </row>
    <row r="802831" spans="1:1" x14ac:dyDescent="0.3">
      <c r="A802831" s="15" t="s">
        <v>117</v>
      </c>
    </row>
    <row r="802832" spans="1:1" x14ac:dyDescent="0.3">
      <c r="A802832" s="15" t="s">
        <v>5</v>
      </c>
    </row>
    <row r="802833" spans="1:1" x14ac:dyDescent="0.3">
      <c r="A802833" s="15" t="s">
        <v>6</v>
      </c>
    </row>
    <row r="802834" spans="1:1" x14ac:dyDescent="0.3">
      <c r="A802834" s="15" t="s">
        <v>7</v>
      </c>
    </row>
    <row r="802835" spans="1:1" x14ac:dyDescent="0.3">
      <c r="A802835" s="15" t="s">
        <v>8</v>
      </c>
    </row>
    <row r="802836" spans="1:1" x14ac:dyDescent="0.3">
      <c r="A802836" s="15" t="s">
        <v>9</v>
      </c>
    </row>
    <row r="802837" spans="1:1" x14ac:dyDescent="0.3">
      <c r="A802837" s="15" t="s">
        <v>10</v>
      </c>
    </row>
    <row r="802838" spans="1:1" x14ac:dyDescent="0.3">
      <c r="A802838" s="15" t="s">
        <v>11</v>
      </c>
    </row>
    <row r="802839" spans="1:1" x14ac:dyDescent="0.3">
      <c r="A802839" s="15" t="s">
        <v>12</v>
      </c>
    </row>
    <row r="802840" spans="1:1" x14ac:dyDescent="0.3">
      <c r="A802840" s="15" t="s">
        <v>13</v>
      </c>
    </row>
    <row r="802841" spans="1:1" x14ac:dyDescent="0.3">
      <c r="A802841" s="15" t="s">
        <v>14</v>
      </c>
    </row>
    <row r="802842" spans="1:1" x14ac:dyDescent="0.3">
      <c r="A802842" s="13" t="s">
        <v>31</v>
      </c>
    </row>
    <row r="802843" spans="1:1" x14ac:dyDescent="0.3">
      <c r="A802843" s="13" t="s">
        <v>86</v>
      </c>
    </row>
    <row r="802844" spans="1:1" x14ac:dyDescent="0.3">
      <c r="A802844" s="15" t="s">
        <v>30</v>
      </c>
    </row>
    <row r="802845" spans="1:1" x14ac:dyDescent="0.3">
      <c r="A802845" s="15" t="s">
        <v>26</v>
      </c>
    </row>
    <row r="802846" spans="1:1" x14ac:dyDescent="0.3">
      <c r="A802846" s="15" t="s">
        <v>27</v>
      </c>
    </row>
    <row r="802847" spans="1:1" x14ac:dyDescent="0.3">
      <c r="A802847" s="15" t="s">
        <v>28</v>
      </c>
    </row>
    <row r="802848" spans="1:1" x14ac:dyDescent="0.3">
      <c r="A802848" s="15" t="s">
        <v>88</v>
      </c>
    </row>
    <row r="802849" spans="1:1" x14ac:dyDescent="0.3">
      <c r="A802849" s="15" t="s">
        <v>89</v>
      </c>
    </row>
    <row r="802850" spans="1:1" x14ac:dyDescent="0.3">
      <c r="A802850" s="15" t="s">
        <v>184</v>
      </c>
    </row>
    <row r="802851" spans="1:1" x14ac:dyDescent="0.3">
      <c r="A802851" s="15" t="s">
        <v>185</v>
      </c>
    </row>
    <row r="802852" spans="1:1" x14ac:dyDescent="0.3">
      <c r="A802852" s="15" t="s">
        <v>186</v>
      </c>
    </row>
    <row r="802853" spans="1:1" x14ac:dyDescent="0.3">
      <c r="A802853" s="15" t="s">
        <v>187</v>
      </c>
    </row>
    <row r="802854" spans="1:1" x14ac:dyDescent="0.3">
      <c r="A802854" s="15" t="s">
        <v>188</v>
      </c>
    </row>
    <row r="802855" spans="1:1" x14ac:dyDescent="0.3">
      <c r="A802855" s="15" t="s">
        <v>189</v>
      </c>
    </row>
    <row r="802856" spans="1:1" x14ac:dyDescent="0.3">
      <c r="A802856" s="15" t="s">
        <v>190</v>
      </c>
    </row>
    <row r="802857" spans="1:1" x14ac:dyDescent="0.3">
      <c r="A802857" s="14" t="s">
        <v>47</v>
      </c>
    </row>
    <row r="802858" spans="1:1" x14ac:dyDescent="0.3">
      <c r="A802858" s="14" t="s">
        <v>118</v>
      </c>
    </row>
    <row r="802859" spans="1:1" x14ac:dyDescent="0.3">
      <c r="A802859" s="14" t="s">
        <v>85</v>
      </c>
    </row>
    <row r="802860" spans="1:1" x14ac:dyDescent="0.3">
      <c r="A802860" s="13" t="s">
        <v>21</v>
      </c>
    </row>
    <row r="802861" spans="1:1" x14ac:dyDescent="0.3">
      <c r="A802861" s="14" t="s">
        <v>91</v>
      </c>
    </row>
    <row r="802862" spans="1:1" x14ac:dyDescent="0.3">
      <c r="A802862" s="14" t="s">
        <v>92</v>
      </c>
    </row>
    <row r="802863" spans="1:1" x14ac:dyDescent="0.3">
      <c r="A802863" s="14" t="s">
        <v>98</v>
      </c>
    </row>
    <row r="802864" spans="1:1" x14ac:dyDescent="0.3">
      <c r="A802864" s="14" t="s">
        <v>99</v>
      </c>
    </row>
    <row r="802865" spans="1:1" x14ac:dyDescent="0.3">
      <c r="A802865" s="13" t="s">
        <v>24</v>
      </c>
    </row>
    <row r="802866" spans="1:1" x14ac:dyDescent="0.3">
      <c r="A802866" s="13" t="s">
        <v>82</v>
      </c>
    </row>
    <row r="802867" spans="1:1" x14ac:dyDescent="0.3">
      <c r="A802867" s="13" t="s">
        <v>105</v>
      </c>
    </row>
    <row r="802868" spans="1:1" x14ac:dyDescent="0.3">
      <c r="A802868" s="13" t="s">
        <v>100</v>
      </c>
    </row>
    <row r="802869" spans="1:1" x14ac:dyDescent="0.3">
      <c r="A802869" s="13" t="s">
        <v>101</v>
      </c>
    </row>
    <row r="802870" spans="1:1" x14ac:dyDescent="0.3">
      <c r="A802870" s="13" t="s">
        <v>102</v>
      </c>
    </row>
    <row r="802871" spans="1:1" x14ac:dyDescent="0.3">
      <c r="A802871" s="13" t="s">
        <v>103</v>
      </c>
    </row>
    <row r="802872" spans="1:1" x14ac:dyDescent="0.3">
      <c r="A802872" s="13" t="s">
        <v>104</v>
      </c>
    </row>
    <row r="819202" spans="1:1" x14ac:dyDescent="0.3">
      <c r="A819202" s="13" t="s">
        <v>0</v>
      </c>
    </row>
    <row r="819203" spans="1:1" x14ac:dyDescent="0.3">
      <c r="A819203" s="13" t="s">
        <v>124</v>
      </c>
    </row>
    <row r="819204" spans="1:1" x14ac:dyDescent="0.3">
      <c r="A819204" s="13" t="s">
        <v>1</v>
      </c>
    </row>
    <row r="819205" spans="1:1" x14ac:dyDescent="0.3">
      <c r="A819205" s="13" t="s">
        <v>2</v>
      </c>
    </row>
    <row r="819206" spans="1:1" x14ac:dyDescent="0.3">
      <c r="A819206" s="14" t="s">
        <v>25</v>
      </c>
    </row>
    <row r="819207" spans="1:1" x14ac:dyDescent="0.3">
      <c r="A819207" s="13" t="s">
        <v>125</v>
      </c>
    </row>
    <row r="819208" spans="1:1" x14ac:dyDescent="0.3">
      <c r="A819208" s="13" t="s">
        <v>126</v>
      </c>
    </row>
    <row r="819209" spans="1:1" x14ac:dyDescent="0.3">
      <c r="A819209" s="13" t="s">
        <v>87</v>
      </c>
    </row>
    <row r="819210" spans="1:1" x14ac:dyDescent="0.3">
      <c r="A819210" s="13" t="s">
        <v>22</v>
      </c>
    </row>
    <row r="819211" spans="1:1" x14ac:dyDescent="0.3">
      <c r="A819211" s="13" t="s">
        <v>3</v>
      </c>
    </row>
    <row r="819212" spans="1:1" x14ac:dyDescent="0.3">
      <c r="A819212" s="15" t="s">
        <v>94</v>
      </c>
    </row>
    <row r="819213" spans="1:1" x14ac:dyDescent="0.3">
      <c r="A819213" s="15" t="s">
        <v>93</v>
      </c>
    </row>
    <row r="819214" spans="1:1" x14ac:dyDescent="0.3">
      <c r="A819214" s="15" t="s">
        <v>4</v>
      </c>
    </row>
    <row r="819215" spans="1:1" x14ac:dyDescent="0.3">
      <c r="A819215" s="15" t="s">
        <v>117</v>
      </c>
    </row>
    <row r="819216" spans="1:1" x14ac:dyDescent="0.3">
      <c r="A819216" s="15" t="s">
        <v>5</v>
      </c>
    </row>
    <row r="819217" spans="1:1" x14ac:dyDescent="0.3">
      <c r="A819217" s="15" t="s">
        <v>6</v>
      </c>
    </row>
    <row r="819218" spans="1:1" x14ac:dyDescent="0.3">
      <c r="A819218" s="15" t="s">
        <v>7</v>
      </c>
    </row>
    <row r="819219" spans="1:1" x14ac:dyDescent="0.3">
      <c r="A819219" s="15" t="s">
        <v>8</v>
      </c>
    </row>
    <row r="819220" spans="1:1" x14ac:dyDescent="0.3">
      <c r="A819220" s="15" t="s">
        <v>9</v>
      </c>
    </row>
    <row r="819221" spans="1:1" x14ac:dyDescent="0.3">
      <c r="A819221" s="15" t="s">
        <v>10</v>
      </c>
    </row>
    <row r="819222" spans="1:1" x14ac:dyDescent="0.3">
      <c r="A819222" s="15" t="s">
        <v>11</v>
      </c>
    </row>
    <row r="819223" spans="1:1" x14ac:dyDescent="0.3">
      <c r="A819223" s="15" t="s">
        <v>12</v>
      </c>
    </row>
    <row r="819224" spans="1:1" x14ac:dyDescent="0.3">
      <c r="A819224" s="15" t="s">
        <v>13</v>
      </c>
    </row>
    <row r="819225" spans="1:1" x14ac:dyDescent="0.3">
      <c r="A819225" s="15" t="s">
        <v>14</v>
      </c>
    </row>
    <row r="819226" spans="1:1" x14ac:dyDescent="0.3">
      <c r="A819226" s="13" t="s">
        <v>31</v>
      </c>
    </row>
    <row r="819227" spans="1:1" x14ac:dyDescent="0.3">
      <c r="A819227" s="13" t="s">
        <v>86</v>
      </c>
    </row>
    <row r="819228" spans="1:1" x14ac:dyDescent="0.3">
      <c r="A819228" s="15" t="s">
        <v>30</v>
      </c>
    </row>
    <row r="819229" spans="1:1" x14ac:dyDescent="0.3">
      <c r="A819229" s="15" t="s">
        <v>26</v>
      </c>
    </row>
    <row r="819230" spans="1:1" x14ac:dyDescent="0.3">
      <c r="A819230" s="15" t="s">
        <v>27</v>
      </c>
    </row>
    <row r="819231" spans="1:1" x14ac:dyDescent="0.3">
      <c r="A819231" s="15" t="s">
        <v>28</v>
      </c>
    </row>
    <row r="819232" spans="1:1" x14ac:dyDescent="0.3">
      <c r="A819232" s="15" t="s">
        <v>88</v>
      </c>
    </row>
    <row r="819233" spans="1:1" x14ac:dyDescent="0.3">
      <c r="A819233" s="15" t="s">
        <v>89</v>
      </c>
    </row>
    <row r="819234" spans="1:1" x14ac:dyDescent="0.3">
      <c r="A819234" s="15" t="s">
        <v>184</v>
      </c>
    </row>
    <row r="819235" spans="1:1" x14ac:dyDescent="0.3">
      <c r="A819235" s="15" t="s">
        <v>185</v>
      </c>
    </row>
    <row r="819236" spans="1:1" x14ac:dyDescent="0.3">
      <c r="A819236" s="15" t="s">
        <v>186</v>
      </c>
    </row>
    <row r="819237" spans="1:1" x14ac:dyDescent="0.3">
      <c r="A819237" s="15" t="s">
        <v>187</v>
      </c>
    </row>
    <row r="819238" spans="1:1" x14ac:dyDescent="0.3">
      <c r="A819238" s="15" t="s">
        <v>188</v>
      </c>
    </row>
    <row r="819239" spans="1:1" x14ac:dyDescent="0.3">
      <c r="A819239" s="15" t="s">
        <v>189</v>
      </c>
    </row>
    <row r="819240" spans="1:1" x14ac:dyDescent="0.3">
      <c r="A819240" s="15" t="s">
        <v>190</v>
      </c>
    </row>
    <row r="819241" spans="1:1" x14ac:dyDescent="0.3">
      <c r="A819241" s="14" t="s">
        <v>47</v>
      </c>
    </row>
    <row r="819242" spans="1:1" x14ac:dyDescent="0.3">
      <c r="A819242" s="14" t="s">
        <v>118</v>
      </c>
    </row>
    <row r="819243" spans="1:1" x14ac:dyDescent="0.3">
      <c r="A819243" s="14" t="s">
        <v>85</v>
      </c>
    </row>
    <row r="819244" spans="1:1" x14ac:dyDescent="0.3">
      <c r="A819244" s="13" t="s">
        <v>21</v>
      </c>
    </row>
    <row r="819245" spans="1:1" x14ac:dyDescent="0.3">
      <c r="A819245" s="14" t="s">
        <v>91</v>
      </c>
    </row>
    <row r="819246" spans="1:1" x14ac:dyDescent="0.3">
      <c r="A819246" s="14" t="s">
        <v>92</v>
      </c>
    </row>
    <row r="819247" spans="1:1" x14ac:dyDescent="0.3">
      <c r="A819247" s="14" t="s">
        <v>98</v>
      </c>
    </row>
    <row r="819248" spans="1:1" x14ac:dyDescent="0.3">
      <c r="A819248" s="14" t="s">
        <v>99</v>
      </c>
    </row>
    <row r="819249" spans="1:1" x14ac:dyDescent="0.3">
      <c r="A819249" s="13" t="s">
        <v>24</v>
      </c>
    </row>
    <row r="819250" spans="1:1" x14ac:dyDescent="0.3">
      <c r="A819250" s="13" t="s">
        <v>82</v>
      </c>
    </row>
    <row r="819251" spans="1:1" x14ac:dyDescent="0.3">
      <c r="A819251" s="13" t="s">
        <v>105</v>
      </c>
    </row>
    <row r="819252" spans="1:1" x14ac:dyDescent="0.3">
      <c r="A819252" s="13" t="s">
        <v>100</v>
      </c>
    </row>
    <row r="819253" spans="1:1" x14ac:dyDescent="0.3">
      <c r="A819253" s="13" t="s">
        <v>101</v>
      </c>
    </row>
    <row r="819254" spans="1:1" x14ac:dyDescent="0.3">
      <c r="A819254" s="13" t="s">
        <v>102</v>
      </c>
    </row>
    <row r="819255" spans="1:1" x14ac:dyDescent="0.3">
      <c r="A819255" s="13" t="s">
        <v>103</v>
      </c>
    </row>
    <row r="819256" spans="1:1" x14ac:dyDescent="0.3">
      <c r="A819256" s="13" t="s">
        <v>104</v>
      </c>
    </row>
    <row r="835586" spans="1:1" x14ac:dyDescent="0.3">
      <c r="A835586" s="13" t="s">
        <v>0</v>
      </c>
    </row>
    <row r="835587" spans="1:1" x14ac:dyDescent="0.3">
      <c r="A835587" s="13" t="s">
        <v>124</v>
      </c>
    </row>
    <row r="835588" spans="1:1" x14ac:dyDescent="0.3">
      <c r="A835588" s="13" t="s">
        <v>1</v>
      </c>
    </row>
    <row r="835589" spans="1:1" x14ac:dyDescent="0.3">
      <c r="A835589" s="13" t="s">
        <v>2</v>
      </c>
    </row>
    <row r="835590" spans="1:1" x14ac:dyDescent="0.3">
      <c r="A835590" s="14" t="s">
        <v>25</v>
      </c>
    </row>
    <row r="835591" spans="1:1" x14ac:dyDescent="0.3">
      <c r="A835591" s="13" t="s">
        <v>125</v>
      </c>
    </row>
    <row r="835592" spans="1:1" x14ac:dyDescent="0.3">
      <c r="A835592" s="13" t="s">
        <v>126</v>
      </c>
    </row>
    <row r="835593" spans="1:1" x14ac:dyDescent="0.3">
      <c r="A835593" s="13" t="s">
        <v>87</v>
      </c>
    </row>
    <row r="835594" spans="1:1" x14ac:dyDescent="0.3">
      <c r="A835594" s="13" t="s">
        <v>22</v>
      </c>
    </row>
    <row r="835595" spans="1:1" x14ac:dyDescent="0.3">
      <c r="A835595" s="13" t="s">
        <v>3</v>
      </c>
    </row>
    <row r="835596" spans="1:1" x14ac:dyDescent="0.3">
      <c r="A835596" s="15" t="s">
        <v>94</v>
      </c>
    </row>
    <row r="835597" spans="1:1" x14ac:dyDescent="0.3">
      <c r="A835597" s="15" t="s">
        <v>93</v>
      </c>
    </row>
    <row r="835598" spans="1:1" x14ac:dyDescent="0.3">
      <c r="A835598" s="15" t="s">
        <v>4</v>
      </c>
    </row>
    <row r="835599" spans="1:1" x14ac:dyDescent="0.3">
      <c r="A835599" s="15" t="s">
        <v>117</v>
      </c>
    </row>
    <row r="835600" spans="1:1" x14ac:dyDescent="0.3">
      <c r="A835600" s="15" t="s">
        <v>5</v>
      </c>
    </row>
    <row r="835601" spans="1:1" x14ac:dyDescent="0.3">
      <c r="A835601" s="15" t="s">
        <v>6</v>
      </c>
    </row>
    <row r="835602" spans="1:1" x14ac:dyDescent="0.3">
      <c r="A835602" s="15" t="s">
        <v>7</v>
      </c>
    </row>
    <row r="835603" spans="1:1" x14ac:dyDescent="0.3">
      <c r="A835603" s="15" t="s">
        <v>8</v>
      </c>
    </row>
    <row r="835604" spans="1:1" x14ac:dyDescent="0.3">
      <c r="A835604" s="15" t="s">
        <v>9</v>
      </c>
    </row>
    <row r="835605" spans="1:1" x14ac:dyDescent="0.3">
      <c r="A835605" s="15" t="s">
        <v>10</v>
      </c>
    </row>
    <row r="835606" spans="1:1" x14ac:dyDescent="0.3">
      <c r="A835606" s="15" t="s">
        <v>11</v>
      </c>
    </row>
    <row r="835607" spans="1:1" x14ac:dyDescent="0.3">
      <c r="A835607" s="15" t="s">
        <v>12</v>
      </c>
    </row>
    <row r="835608" spans="1:1" x14ac:dyDescent="0.3">
      <c r="A835608" s="15" t="s">
        <v>13</v>
      </c>
    </row>
    <row r="835609" spans="1:1" x14ac:dyDescent="0.3">
      <c r="A835609" s="15" t="s">
        <v>14</v>
      </c>
    </row>
    <row r="835610" spans="1:1" x14ac:dyDescent="0.3">
      <c r="A835610" s="13" t="s">
        <v>31</v>
      </c>
    </row>
    <row r="835611" spans="1:1" x14ac:dyDescent="0.3">
      <c r="A835611" s="13" t="s">
        <v>86</v>
      </c>
    </row>
    <row r="835612" spans="1:1" x14ac:dyDescent="0.3">
      <c r="A835612" s="15" t="s">
        <v>30</v>
      </c>
    </row>
    <row r="835613" spans="1:1" x14ac:dyDescent="0.3">
      <c r="A835613" s="15" t="s">
        <v>26</v>
      </c>
    </row>
    <row r="835614" spans="1:1" x14ac:dyDescent="0.3">
      <c r="A835614" s="15" t="s">
        <v>27</v>
      </c>
    </row>
    <row r="835615" spans="1:1" x14ac:dyDescent="0.3">
      <c r="A835615" s="15" t="s">
        <v>28</v>
      </c>
    </row>
    <row r="835616" spans="1:1" x14ac:dyDescent="0.3">
      <c r="A835616" s="15" t="s">
        <v>88</v>
      </c>
    </row>
    <row r="835617" spans="1:1" x14ac:dyDescent="0.3">
      <c r="A835617" s="15" t="s">
        <v>89</v>
      </c>
    </row>
    <row r="835618" spans="1:1" x14ac:dyDescent="0.3">
      <c r="A835618" s="15" t="s">
        <v>184</v>
      </c>
    </row>
    <row r="835619" spans="1:1" x14ac:dyDescent="0.3">
      <c r="A835619" s="15" t="s">
        <v>185</v>
      </c>
    </row>
    <row r="835620" spans="1:1" x14ac:dyDescent="0.3">
      <c r="A835620" s="15" t="s">
        <v>186</v>
      </c>
    </row>
    <row r="835621" spans="1:1" x14ac:dyDescent="0.3">
      <c r="A835621" s="15" t="s">
        <v>187</v>
      </c>
    </row>
    <row r="835622" spans="1:1" x14ac:dyDescent="0.3">
      <c r="A835622" s="15" t="s">
        <v>188</v>
      </c>
    </row>
    <row r="835623" spans="1:1" x14ac:dyDescent="0.3">
      <c r="A835623" s="15" t="s">
        <v>189</v>
      </c>
    </row>
    <row r="835624" spans="1:1" x14ac:dyDescent="0.3">
      <c r="A835624" s="15" t="s">
        <v>190</v>
      </c>
    </row>
    <row r="835625" spans="1:1" x14ac:dyDescent="0.3">
      <c r="A835625" s="14" t="s">
        <v>47</v>
      </c>
    </row>
    <row r="835626" spans="1:1" x14ac:dyDescent="0.3">
      <c r="A835626" s="14" t="s">
        <v>118</v>
      </c>
    </row>
    <row r="835627" spans="1:1" x14ac:dyDescent="0.3">
      <c r="A835627" s="14" t="s">
        <v>85</v>
      </c>
    </row>
    <row r="835628" spans="1:1" x14ac:dyDescent="0.3">
      <c r="A835628" s="13" t="s">
        <v>21</v>
      </c>
    </row>
    <row r="835629" spans="1:1" x14ac:dyDescent="0.3">
      <c r="A835629" s="14" t="s">
        <v>91</v>
      </c>
    </row>
    <row r="835630" spans="1:1" x14ac:dyDescent="0.3">
      <c r="A835630" s="14" t="s">
        <v>92</v>
      </c>
    </row>
    <row r="835631" spans="1:1" x14ac:dyDescent="0.3">
      <c r="A835631" s="14" t="s">
        <v>98</v>
      </c>
    </row>
    <row r="835632" spans="1:1" x14ac:dyDescent="0.3">
      <c r="A835632" s="14" t="s">
        <v>99</v>
      </c>
    </row>
    <row r="835633" spans="1:1" x14ac:dyDescent="0.3">
      <c r="A835633" s="13" t="s">
        <v>24</v>
      </c>
    </row>
    <row r="835634" spans="1:1" x14ac:dyDescent="0.3">
      <c r="A835634" s="13" t="s">
        <v>82</v>
      </c>
    </row>
    <row r="835635" spans="1:1" x14ac:dyDescent="0.3">
      <c r="A835635" s="13" t="s">
        <v>105</v>
      </c>
    </row>
    <row r="835636" spans="1:1" x14ac:dyDescent="0.3">
      <c r="A835636" s="13" t="s">
        <v>100</v>
      </c>
    </row>
    <row r="835637" spans="1:1" x14ac:dyDescent="0.3">
      <c r="A835637" s="13" t="s">
        <v>101</v>
      </c>
    </row>
    <row r="835638" spans="1:1" x14ac:dyDescent="0.3">
      <c r="A835638" s="13" t="s">
        <v>102</v>
      </c>
    </row>
    <row r="835639" spans="1:1" x14ac:dyDescent="0.3">
      <c r="A835639" s="13" t="s">
        <v>103</v>
      </c>
    </row>
    <row r="835640" spans="1:1" x14ac:dyDescent="0.3">
      <c r="A835640" s="13" t="s">
        <v>104</v>
      </c>
    </row>
    <row r="851970" spans="1:1" x14ac:dyDescent="0.3">
      <c r="A851970" s="13" t="s">
        <v>0</v>
      </c>
    </row>
    <row r="851971" spans="1:1" x14ac:dyDescent="0.3">
      <c r="A851971" s="13" t="s">
        <v>124</v>
      </c>
    </row>
    <row r="851972" spans="1:1" x14ac:dyDescent="0.3">
      <c r="A851972" s="13" t="s">
        <v>1</v>
      </c>
    </row>
    <row r="851973" spans="1:1" x14ac:dyDescent="0.3">
      <c r="A851973" s="13" t="s">
        <v>2</v>
      </c>
    </row>
    <row r="851974" spans="1:1" x14ac:dyDescent="0.3">
      <c r="A851974" s="14" t="s">
        <v>25</v>
      </c>
    </row>
    <row r="851975" spans="1:1" x14ac:dyDescent="0.3">
      <c r="A851975" s="13" t="s">
        <v>125</v>
      </c>
    </row>
    <row r="851976" spans="1:1" x14ac:dyDescent="0.3">
      <c r="A851976" s="13" t="s">
        <v>126</v>
      </c>
    </row>
    <row r="851977" spans="1:1" x14ac:dyDescent="0.3">
      <c r="A851977" s="13" t="s">
        <v>87</v>
      </c>
    </row>
    <row r="851978" spans="1:1" x14ac:dyDescent="0.3">
      <c r="A851978" s="13" t="s">
        <v>22</v>
      </c>
    </row>
    <row r="851979" spans="1:1" x14ac:dyDescent="0.3">
      <c r="A851979" s="13" t="s">
        <v>3</v>
      </c>
    </row>
    <row r="851980" spans="1:1" x14ac:dyDescent="0.3">
      <c r="A851980" s="15" t="s">
        <v>94</v>
      </c>
    </row>
    <row r="851981" spans="1:1" x14ac:dyDescent="0.3">
      <c r="A851981" s="15" t="s">
        <v>93</v>
      </c>
    </row>
    <row r="851982" spans="1:1" x14ac:dyDescent="0.3">
      <c r="A851982" s="15" t="s">
        <v>4</v>
      </c>
    </row>
    <row r="851983" spans="1:1" x14ac:dyDescent="0.3">
      <c r="A851983" s="15" t="s">
        <v>117</v>
      </c>
    </row>
    <row r="851984" spans="1:1" x14ac:dyDescent="0.3">
      <c r="A851984" s="15" t="s">
        <v>5</v>
      </c>
    </row>
    <row r="851985" spans="1:1" x14ac:dyDescent="0.3">
      <c r="A851985" s="15" t="s">
        <v>6</v>
      </c>
    </row>
    <row r="851986" spans="1:1" x14ac:dyDescent="0.3">
      <c r="A851986" s="15" t="s">
        <v>7</v>
      </c>
    </row>
    <row r="851987" spans="1:1" x14ac:dyDescent="0.3">
      <c r="A851987" s="15" t="s">
        <v>8</v>
      </c>
    </row>
    <row r="851988" spans="1:1" x14ac:dyDescent="0.3">
      <c r="A851988" s="15" t="s">
        <v>9</v>
      </c>
    </row>
    <row r="851989" spans="1:1" x14ac:dyDescent="0.3">
      <c r="A851989" s="15" t="s">
        <v>10</v>
      </c>
    </row>
    <row r="851990" spans="1:1" x14ac:dyDescent="0.3">
      <c r="A851990" s="15" t="s">
        <v>11</v>
      </c>
    </row>
    <row r="851991" spans="1:1" x14ac:dyDescent="0.3">
      <c r="A851991" s="15" t="s">
        <v>12</v>
      </c>
    </row>
    <row r="851992" spans="1:1" x14ac:dyDescent="0.3">
      <c r="A851992" s="15" t="s">
        <v>13</v>
      </c>
    </row>
    <row r="851993" spans="1:1" x14ac:dyDescent="0.3">
      <c r="A851993" s="15" t="s">
        <v>14</v>
      </c>
    </row>
    <row r="851994" spans="1:1" x14ac:dyDescent="0.3">
      <c r="A851994" s="13" t="s">
        <v>31</v>
      </c>
    </row>
    <row r="851995" spans="1:1" x14ac:dyDescent="0.3">
      <c r="A851995" s="13" t="s">
        <v>86</v>
      </c>
    </row>
    <row r="851996" spans="1:1" x14ac:dyDescent="0.3">
      <c r="A851996" s="15" t="s">
        <v>30</v>
      </c>
    </row>
    <row r="851997" spans="1:1" x14ac:dyDescent="0.3">
      <c r="A851997" s="15" t="s">
        <v>26</v>
      </c>
    </row>
    <row r="851998" spans="1:1" x14ac:dyDescent="0.3">
      <c r="A851998" s="15" t="s">
        <v>27</v>
      </c>
    </row>
    <row r="851999" spans="1:1" x14ac:dyDescent="0.3">
      <c r="A851999" s="15" t="s">
        <v>28</v>
      </c>
    </row>
    <row r="852000" spans="1:1" x14ac:dyDescent="0.3">
      <c r="A852000" s="15" t="s">
        <v>88</v>
      </c>
    </row>
    <row r="852001" spans="1:1" x14ac:dyDescent="0.3">
      <c r="A852001" s="15" t="s">
        <v>89</v>
      </c>
    </row>
    <row r="852002" spans="1:1" x14ac:dyDescent="0.3">
      <c r="A852002" s="15" t="s">
        <v>184</v>
      </c>
    </row>
    <row r="852003" spans="1:1" x14ac:dyDescent="0.3">
      <c r="A852003" s="15" t="s">
        <v>185</v>
      </c>
    </row>
    <row r="852004" spans="1:1" x14ac:dyDescent="0.3">
      <c r="A852004" s="15" t="s">
        <v>186</v>
      </c>
    </row>
    <row r="852005" spans="1:1" x14ac:dyDescent="0.3">
      <c r="A852005" s="15" t="s">
        <v>187</v>
      </c>
    </row>
    <row r="852006" spans="1:1" x14ac:dyDescent="0.3">
      <c r="A852006" s="15" t="s">
        <v>188</v>
      </c>
    </row>
    <row r="852007" spans="1:1" x14ac:dyDescent="0.3">
      <c r="A852007" s="15" t="s">
        <v>189</v>
      </c>
    </row>
    <row r="852008" spans="1:1" x14ac:dyDescent="0.3">
      <c r="A852008" s="15" t="s">
        <v>190</v>
      </c>
    </row>
    <row r="852009" spans="1:1" x14ac:dyDescent="0.3">
      <c r="A852009" s="14" t="s">
        <v>47</v>
      </c>
    </row>
    <row r="852010" spans="1:1" x14ac:dyDescent="0.3">
      <c r="A852010" s="14" t="s">
        <v>118</v>
      </c>
    </row>
    <row r="852011" spans="1:1" x14ac:dyDescent="0.3">
      <c r="A852011" s="14" t="s">
        <v>85</v>
      </c>
    </row>
    <row r="852012" spans="1:1" x14ac:dyDescent="0.3">
      <c r="A852012" s="13" t="s">
        <v>21</v>
      </c>
    </row>
    <row r="852013" spans="1:1" x14ac:dyDescent="0.3">
      <c r="A852013" s="14" t="s">
        <v>91</v>
      </c>
    </row>
    <row r="852014" spans="1:1" x14ac:dyDescent="0.3">
      <c r="A852014" s="14" t="s">
        <v>92</v>
      </c>
    </row>
    <row r="852015" spans="1:1" x14ac:dyDescent="0.3">
      <c r="A852015" s="14" t="s">
        <v>98</v>
      </c>
    </row>
    <row r="852016" spans="1:1" x14ac:dyDescent="0.3">
      <c r="A852016" s="14" t="s">
        <v>99</v>
      </c>
    </row>
    <row r="852017" spans="1:1" x14ac:dyDescent="0.3">
      <c r="A852017" s="13" t="s">
        <v>24</v>
      </c>
    </row>
    <row r="852018" spans="1:1" x14ac:dyDescent="0.3">
      <c r="A852018" s="13" t="s">
        <v>82</v>
      </c>
    </row>
    <row r="852019" spans="1:1" x14ac:dyDescent="0.3">
      <c r="A852019" s="13" t="s">
        <v>105</v>
      </c>
    </row>
    <row r="852020" spans="1:1" x14ac:dyDescent="0.3">
      <c r="A852020" s="13" t="s">
        <v>100</v>
      </c>
    </row>
    <row r="852021" spans="1:1" x14ac:dyDescent="0.3">
      <c r="A852021" s="13" t="s">
        <v>101</v>
      </c>
    </row>
    <row r="852022" spans="1:1" x14ac:dyDescent="0.3">
      <c r="A852022" s="13" t="s">
        <v>102</v>
      </c>
    </row>
    <row r="852023" spans="1:1" x14ac:dyDescent="0.3">
      <c r="A852023" s="13" t="s">
        <v>103</v>
      </c>
    </row>
    <row r="852024" spans="1:1" x14ac:dyDescent="0.3">
      <c r="A852024" s="13" t="s">
        <v>104</v>
      </c>
    </row>
    <row r="868354" spans="1:1" x14ac:dyDescent="0.3">
      <c r="A868354" s="13" t="s">
        <v>0</v>
      </c>
    </row>
    <row r="868355" spans="1:1" x14ac:dyDescent="0.3">
      <c r="A868355" s="13" t="s">
        <v>124</v>
      </c>
    </row>
    <row r="868356" spans="1:1" x14ac:dyDescent="0.3">
      <c r="A868356" s="13" t="s">
        <v>1</v>
      </c>
    </row>
    <row r="868357" spans="1:1" x14ac:dyDescent="0.3">
      <c r="A868357" s="13" t="s">
        <v>2</v>
      </c>
    </row>
    <row r="868358" spans="1:1" x14ac:dyDescent="0.3">
      <c r="A868358" s="14" t="s">
        <v>25</v>
      </c>
    </row>
    <row r="868359" spans="1:1" x14ac:dyDescent="0.3">
      <c r="A868359" s="13" t="s">
        <v>125</v>
      </c>
    </row>
    <row r="868360" spans="1:1" x14ac:dyDescent="0.3">
      <c r="A868360" s="13" t="s">
        <v>126</v>
      </c>
    </row>
    <row r="868361" spans="1:1" x14ac:dyDescent="0.3">
      <c r="A868361" s="13" t="s">
        <v>87</v>
      </c>
    </row>
    <row r="868362" spans="1:1" x14ac:dyDescent="0.3">
      <c r="A868362" s="13" t="s">
        <v>22</v>
      </c>
    </row>
    <row r="868363" spans="1:1" x14ac:dyDescent="0.3">
      <c r="A868363" s="13" t="s">
        <v>3</v>
      </c>
    </row>
    <row r="868364" spans="1:1" x14ac:dyDescent="0.3">
      <c r="A868364" s="15" t="s">
        <v>94</v>
      </c>
    </row>
    <row r="868365" spans="1:1" x14ac:dyDescent="0.3">
      <c r="A868365" s="15" t="s">
        <v>93</v>
      </c>
    </row>
    <row r="868366" spans="1:1" x14ac:dyDescent="0.3">
      <c r="A868366" s="15" t="s">
        <v>4</v>
      </c>
    </row>
    <row r="868367" spans="1:1" x14ac:dyDescent="0.3">
      <c r="A868367" s="15" t="s">
        <v>117</v>
      </c>
    </row>
    <row r="868368" spans="1:1" x14ac:dyDescent="0.3">
      <c r="A868368" s="15" t="s">
        <v>5</v>
      </c>
    </row>
    <row r="868369" spans="1:1" x14ac:dyDescent="0.3">
      <c r="A868369" s="15" t="s">
        <v>6</v>
      </c>
    </row>
    <row r="868370" spans="1:1" x14ac:dyDescent="0.3">
      <c r="A868370" s="15" t="s">
        <v>7</v>
      </c>
    </row>
    <row r="868371" spans="1:1" x14ac:dyDescent="0.3">
      <c r="A868371" s="15" t="s">
        <v>8</v>
      </c>
    </row>
    <row r="868372" spans="1:1" x14ac:dyDescent="0.3">
      <c r="A868372" s="15" t="s">
        <v>9</v>
      </c>
    </row>
    <row r="868373" spans="1:1" x14ac:dyDescent="0.3">
      <c r="A868373" s="15" t="s">
        <v>10</v>
      </c>
    </row>
    <row r="868374" spans="1:1" x14ac:dyDescent="0.3">
      <c r="A868374" s="15" t="s">
        <v>11</v>
      </c>
    </row>
    <row r="868375" spans="1:1" x14ac:dyDescent="0.3">
      <c r="A868375" s="15" t="s">
        <v>12</v>
      </c>
    </row>
    <row r="868376" spans="1:1" x14ac:dyDescent="0.3">
      <c r="A868376" s="15" t="s">
        <v>13</v>
      </c>
    </row>
    <row r="868377" spans="1:1" x14ac:dyDescent="0.3">
      <c r="A868377" s="15" t="s">
        <v>14</v>
      </c>
    </row>
    <row r="868378" spans="1:1" x14ac:dyDescent="0.3">
      <c r="A868378" s="13" t="s">
        <v>31</v>
      </c>
    </row>
    <row r="868379" spans="1:1" x14ac:dyDescent="0.3">
      <c r="A868379" s="13" t="s">
        <v>86</v>
      </c>
    </row>
    <row r="868380" spans="1:1" x14ac:dyDescent="0.3">
      <c r="A868380" s="15" t="s">
        <v>30</v>
      </c>
    </row>
    <row r="868381" spans="1:1" x14ac:dyDescent="0.3">
      <c r="A868381" s="15" t="s">
        <v>26</v>
      </c>
    </row>
    <row r="868382" spans="1:1" x14ac:dyDescent="0.3">
      <c r="A868382" s="15" t="s">
        <v>27</v>
      </c>
    </row>
    <row r="868383" spans="1:1" x14ac:dyDescent="0.3">
      <c r="A868383" s="15" t="s">
        <v>28</v>
      </c>
    </row>
    <row r="868384" spans="1:1" x14ac:dyDescent="0.3">
      <c r="A868384" s="15" t="s">
        <v>88</v>
      </c>
    </row>
    <row r="868385" spans="1:1" x14ac:dyDescent="0.3">
      <c r="A868385" s="15" t="s">
        <v>89</v>
      </c>
    </row>
    <row r="868386" spans="1:1" x14ac:dyDescent="0.3">
      <c r="A868386" s="15" t="s">
        <v>184</v>
      </c>
    </row>
    <row r="868387" spans="1:1" x14ac:dyDescent="0.3">
      <c r="A868387" s="15" t="s">
        <v>185</v>
      </c>
    </row>
    <row r="868388" spans="1:1" x14ac:dyDescent="0.3">
      <c r="A868388" s="15" t="s">
        <v>186</v>
      </c>
    </row>
    <row r="868389" spans="1:1" x14ac:dyDescent="0.3">
      <c r="A868389" s="15" t="s">
        <v>187</v>
      </c>
    </row>
    <row r="868390" spans="1:1" x14ac:dyDescent="0.3">
      <c r="A868390" s="15" t="s">
        <v>188</v>
      </c>
    </row>
    <row r="868391" spans="1:1" x14ac:dyDescent="0.3">
      <c r="A868391" s="15" t="s">
        <v>189</v>
      </c>
    </row>
    <row r="868392" spans="1:1" x14ac:dyDescent="0.3">
      <c r="A868392" s="15" t="s">
        <v>190</v>
      </c>
    </row>
    <row r="868393" spans="1:1" x14ac:dyDescent="0.3">
      <c r="A868393" s="14" t="s">
        <v>47</v>
      </c>
    </row>
    <row r="868394" spans="1:1" x14ac:dyDescent="0.3">
      <c r="A868394" s="14" t="s">
        <v>118</v>
      </c>
    </row>
    <row r="868395" spans="1:1" x14ac:dyDescent="0.3">
      <c r="A868395" s="14" t="s">
        <v>85</v>
      </c>
    </row>
    <row r="868396" spans="1:1" x14ac:dyDescent="0.3">
      <c r="A868396" s="13" t="s">
        <v>21</v>
      </c>
    </row>
    <row r="868397" spans="1:1" x14ac:dyDescent="0.3">
      <c r="A868397" s="14" t="s">
        <v>91</v>
      </c>
    </row>
    <row r="868398" spans="1:1" x14ac:dyDescent="0.3">
      <c r="A868398" s="14" t="s">
        <v>92</v>
      </c>
    </row>
    <row r="868399" spans="1:1" x14ac:dyDescent="0.3">
      <c r="A868399" s="14" t="s">
        <v>98</v>
      </c>
    </row>
    <row r="868400" spans="1:1" x14ac:dyDescent="0.3">
      <c r="A868400" s="14" t="s">
        <v>99</v>
      </c>
    </row>
    <row r="868401" spans="1:1" x14ac:dyDescent="0.3">
      <c r="A868401" s="13" t="s">
        <v>24</v>
      </c>
    </row>
    <row r="868402" spans="1:1" x14ac:dyDescent="0.3">
      <c r="A868402" s="13" t="s">
        <v>82</v>
      </c>
    </row>
    <row r="868403" spans="1:1" x14ac:dyDescent="0.3">
      <c r="A868403" s="13" t="s">
        <v>105</v>
      </c>
    </row>
    <row r="868404" spans="1:1" x14ac:dyDescent="0.3">
      <c r="A868404" s="13" t="s">
        <v>100</v>
      </c>
    </row>
    <row r="868405" spans="1:1" x14ac:dyDescent="0.3">
      <c r="A868405" s="13" t="s">
        <v>101</v>
      </c>
    </row>
    <row r="868406" spans="1:1" x14ac:dyDescent="0.3">
      <c r="A868406" s="13" t="s">
        <v>102</v>
      </c>
    </row>
    <row r="868407" spans="1:1" x14ac:dyDescent="0.3">
      <c r="A868407" s="13" t="s">
        <v>103</v>
      </c>
    </row>
    <row r="868408" spans="1:1" x14ac:dyDescent="0.3">
      <c r="A868408" s="13" t="s">
        <v>104</v>
      </c>
    </row>
    <row r="884738" spans="1:1" x14ac:dyDescent="0.3">
      <c r="A884738" s="13" t="s">
        <v>0</v>
      </c>
    </row>
    <row r="884739" spans="1:1" x14ac:dyDescent="0.3">
      <c r="A884739" s="13" t="s">
        <v>124</v>
      </c>
    </row>
    <row r="884740" spans="1:1" x14ac:dyDescent="0.3">
      <c r="A884740" s="13" t="s">
        <v>1</v>
      </c>
    </row>
    <row r="884741" spans="1:1" x14ac:dyDescent="0.3">
      <c r="A884741" s="13" t="s">
        <v>2</v>
      </c>
    </row>
    <row r="884742" spans="1:1" x14ac:dyDescent="0.3">
      <c r="A884742" s="14" t="s">
        <v>25</v>
      </c>
    </row>
    <row r="884743" spans="1:1" x14ac:dyDescent="0.3">
      <c r="A884743" s="13" t="s">
        <v>125</v>
      </c>
    </row>
    <row r="884744" spans="1:1" x14ac:dyDescent="0.3">
      <c r="A884744" s="13" t="s">
        <v>126</v>
      </c>
    </row>
    <row r="884745" spans="1:1" x14ac:dyDescent="0.3">
      <c r="A884745" s="13" t="s">
        <v>87</v>
      </c>
    </row>
    <row r="884746" spans="1:1" x14ac:dyDescent="0.3">
      <c r="A884746" s="13" t="s">
        <v>22</v>
      </c>
    </row>
    <row r="884747" spans="1:1" x14ac:dyDescent="0.3">
      <c r="A884747" s="13" t="s">
        <v>3</v>
      </c>
    </row>
    <row r="884748" spans="1:1" x14ac:dyDescent="0.3">
      <c r="A884748" s="15" t="s">
        <v>94</v>
      </c>
    </row>
    <row r="884749" spans="1:1" x14ac:dyDescent="0.3">
      <c r="A884749" s="15" t="s">
        <v>93</v>
      </c>
    </row>
    <row r="884750" spans="1:1" x14ac:dyDescent="0.3">
      <c r="A884750" s="15" t="s">
        <v>4</v>
      </c>
    </row>
    <row r="884751" spans="1:1" x14ac:dyDescent="0.3">
      <c r="A884751" s="15" t="s">
        <v>117</v>
      </c>
    </row>
    <row r="884752" spans="1:1" x14ac:dyDescent="0.3">
      <c r="A884752" s="15" t="s">
        <v>5</v>
      </c>
    </row>
    <row r="884753" spans="1:1" x14ac:dyDescent="0.3">
      <c r="A884753" s="15" t="s">
        <v>6</v>
      </c>
    </row>
    <row r="884754" spans="1:1" x14ac:dyDescent="0.3">
      <c r="A884754" s="15" t="s">
        <v>7</v>
      </c>
    </row>
    <row r="884755" spans="1:1" x14ac:dyDescent="0.3">
      <c r="A884755" s="15" t="s">
        <v>8</v>
      </c>
    </row>
    <row r="884756" spans="1:1" x14ac:dyDescent="0.3">
      <c r="A884756" s="15" t="s">
        <v>9</v>
      </c>
    </row>
    <row r="884757" spans="1:1" x14ac:dyDescent="0.3">
      <c r="A884757" s="15" t="s">
        <v>10</v>
      </c>
    </row>
    <row r="884758" spans="1:1" x14ac:dyDescent="0.3">
      <c r="A884758" s="15" t="s">
        <v>11</v>
      </c>
    </row>
    <row r="884759" spans="1:1" x14ac:dyDescent="0.3">
      <c r="A884759" s="15" t="s">
        <v>12</v>
      </c>
    </row>
    <row r="884760" spans="1:1" x14ac:dyDescent="0.3">
      <c r="A884760" s="15" t="s">
        <v>13</v>
      </c>
    </row>
    <row r="884761" spans="1:1" x14ac:dyDescent="0.3">
      <c r="A884761" s="15" t="s">
        <v>14</v>
      </c>
    </row>
    <row r="884762" spans="1:1" x14ac:dyDescent="0.3">
      <c r="A884762" s="13" t="s">
        <v>31</v>
      </c>
    </row>
    <row r="884763" spans="1:1" x14ac:dyDescent="0.3">
      <c r="A884763" s="13" t="s">
        <v>86</v>
      </c>
    </row>
    <row r="884764" spans="1:1" x14ac:dyDescent="0.3">
      <c r="A884764" s="15" t="s">
        <v>30</v>
      </c>
    </row>
    <row r="884765" spans="1:1" x14ac:dyDescent="0.3">
      <c r="A884765" s="15" t="s">
        <v>26</v>
      </c>
    </row>
    <row r="884766" spans="1:1" x14ac:dyDescent="0.3">
      <c r="A884766" s="15" t="s">
        <v>27</v>
      </c>
    </row>
    <row r="884767" spans="1:1" x14ac:dyDescent="0.3">
      <c r="A884767" s="15" t="s">
        <v>28</v>
      </c>
    </row>
    <row r="884768" spans="1:1" x14ac:dyDescent="0.3">
      <c r="A884768" s="15" t="s">
        <v>88</v>
      </c>
    </row>
    <row r="884769" spans="1:1" x14ac:dyDescent="0.3">
      <c r="A884769" s="15" t="s">
        <v>89</v>
      </c>
    </row>
    <row r="884770" spans="1:1" x14ac:dyDescent="0.3">
      <c r="A884770" s="15" t="s">
        <v>184</v>
      </c>
    </row>
    <row r="884771" spans="1:1" x14ac:dyDescent="0.3">
      <c r="A884771" s="15" t="s">
        <v>185</v>
      </c>
    </row>
    <row r="884772" spans="1:1" x14ac:dyDescent="0.3">
      <c r="A884772" s="15" t="s">
        <v>186</v>
      </c>
    </row>
    <row r="884773" spans="1:1" x14ac:dyDescent="0.3">
      <c r="A884773" s="15" t="s">
        <v>187</v>
      </c>
    </row>
    <row r="884774" spans="1:1" x14ac:dyDescent="0.3">
      <c r="A884774" s="15" t="s">
        <v>188</v>
      </c>
    </row>
    <row r="884775" spans="1:1" x14ac:dyDescent="0.3">
      <c r="A884775" s="15" t="s">
        <v>189</v>
      </c>
    </row>
    <row r="884776" spans="1:1" x14ac:dyDescent="0.3">
      <c r="A884776" s="15" t="s">
        <v>190</v>
      </c>
    </row>
    <row r="884777" spans="1:1" x14ac:dyDescent="0.3">
      <c r="A884777" s="14" t="s">
        <v>47</v>
      </c>
    </row>
    <row r="884778" spans="1:1" x14ac:dyDescent="0.3">
      <c r="A884778" s="14" t="s">
        <v>118</v>
      </c>
    </row>
    <row r="884779" spans="1:1" x14ac:dyDescent="0.3">
      <c r="A884779" s="14" t="s">
        <v>85</v>
      </c>
    </row>
    <row r="884780" spans="1:1" x14ac:dyDescent="0.3">
      <c r="A884780" s="13" t="s">
        <v>21</v>
      </c>
    </row>
    <row r="884781" spans="1:1" x14ac:dyDescent="0.3">
      <c r="A884781" s="14" t="s">
        <v>91</v>
      </c>
    </row>
    <row r="884782" spans="1:1" x14ac:dyDescent="0.3">
      <c r="A884782" s="14" t="s">
        <v>92</v>
      </c>
    </row>
    <row r="884783" spans="1:1" x14ac:dyDescent="0.3">
      <c r="A884783" s="14" t="s">
        <v>98</v>
      </c>
    </row>
    <row r="884784" spans="1:1" x14ac:dyDescent="0.3">
      <c r="A884784" s="14" t="s">
        <v>99</v>
      </c>
    </row>
    <row r="884785" spans="1:1" x14ac:dyDescent="0.3">
      <c r="A884785" s="13" t="s">
        <v>24</v>
      </c>
    </row>
    <row r="884786" spans="1:1" x14ac:dyDescent="0.3">
      <c r="A884786" s="13" t="s">
        <v>82</v>
      </c>
    </row>
    <row r="884787" spans="1:1" x14ac:dyDescent="0.3">
      <c r="A884787" s="13" t="s">
        <v>105</v>
      </c>
    </row>
    <row r="884788" spans="1:1" x14ac:dyDescent="0.3">
      <c r="A884788" s="13" t="s">
        <v>100</v>
      </c>
    </row>
    <row r="884789" spans="1:1" x14ac:dyDescent="0.3">
      <c r="A884789" s="13" t="s">
        <v>101</v>
      </c>
    </row>
    <row r="884790" spans="1:1" x14ac:dyDescent="0.3">
      <c r="A884790" s="13" t="s">
        <v>102</v>
      </c>
    </row>
    <row r="884791" spans="1:1" x14ac:dyDescent="0.3">
      <c r="A884791" s="13" t="s">
        <v>103</v>
      </c>
    </row>
    <row r="884792" spans="1:1" x14ac:dyDescent="0.3">
      <c r="A884792" s="13" t="s">
        <v>104</v>
      </c>
    </row>
    <row r="901122" spans="1:1" x14ac:dyDescent="0.3">
      <c r="A901122" s="13" t="s">
        <v>0</v>
      </c>
    </row>
    <row r="901123" spans="1:1" x14ac:dyDescent="0.3">
      <c r="A901123" s="13" t="s">
        <v>124</v>
      </c>
    </row>
    <row r="901124" spans="1:1" x14ac:dyDescent="0.3">
      <c r="A901124" s="13" t="s">
        <v>1</v>
      </c>
    </row>
    <row r="901125" spans="1:1" x14ac:dyDescent="0.3">
      <c r="A901125" s="13" t="s">
        <v>2</v>
      </c>
    </row>
    <row r="901126" spans="1:1" x14ac:dyDescent="0.3">
      <c r="A901126" s="14" t="s">
        <v>25</v>
      </c>
    </row>
    <row r="901127" spans="1:1" x14ac:dyDescent="0.3">
      <c r="A901127" s="13" t="s">
        <v>125</v>
      </c>
    </row>
    <row r="901128" spans="1:1" x14ac:dyDescent="0.3">
      <c r="A901128" s="13" t="s">
        <v>126</v>
      </c>
    </row>
    <row r="901129" spans="1:1" x14ac:dyDescent="0.3">
      <c r="A901129" s="13" t="s">
        <v>87</v>
      </c>
    </row>
    <row r="901130" spans="1:1" x14ac:dyDescent="0.3">
      <c r="A901130" s="13" t="s">
        <v>22</v>
      </c>
    </row>
    <row r="901131" spans="1:1" x14ac:dyDescent="0.3">
      <c r="A901131" s="13" t="s">
        <v>3</v>
      </c>
    </row>
    <row r="901132" spans="1:1" x14ac:dyDescent="0.3">
      <c r="A901132" s="15" t="s">
        <v>94</v>
      </c>
    </row>
    <row r="901133" spans="1:1" x14ac:dyDescent="0.3">
      <c r="A901133" s="15" t="s">
        <v>93</v>
      </c>
    </row>
    <row r="901134" spans="1:1" x14ac:dyDescent="0.3">
      <c r="A901134" s="15" t="s">
        <v>4</v>
      </c>
    </row>
    <row r="901135" spans="1:1" x14ac:dyDescent="0.3">
      <c r="A901135" s="15" t="s">
        <v>117</v>
      </c>
    </row>
    <row r="901136" spans="1:1" x14ac:dyDescent="0.3">
      <c r="A901136" s="15" t="s">
        <v>5</v>
      </c>
    </row>
    <row r="901137" spans="1:1" x14ac:dyDescent="0.3">
      <c r="A901137" s="15" t="s">
        <v>6</v>
      </c>
    </row>
    <row r="901138" spans="1:1" x14ac:dyDescent="0.3">
      <c r="A901138" s="15" t="s">
        <v>7</v>
      </c>
    </row>
    <row r="901139" spans="1:1" x14ac:dyDescent="0.3">
      <c r="A901139" s="15" t="s">
        <v>8</v>
      </c>
    </row>
    <row r="901140" spans="1:1" x14ac:dyDescent="0.3">
      <c r="A901140" s="15" t="s">
        <v>9</v>
      </c>
    </row>
    <row r="901141" spans="1:1" x14ac:dyDescent="0.3">
      <c r="A901141" s="15" t="s">
        <v>10</v>
      </c>
    </row>
    <row r="901142" spans="1:1" x14ac:dyDescent="0.3">
      <c r="A901142" s="15" t="s">
        <v>11</v>
      </c>
    </row>
    <row r="901143" spans="1:1" x14ac:dyDescent="0.3">
      <c r="A901143" s="15" t="s">
        <v>12</v>
      </c>
    </row>
    <row r="901144" spans="1:1" x14ac:dyDescent="0.3">
      <c r="A901144" s="15" t="s">
        <v>13</v>
      </c>
    </row>
    <row r="901145" spans="1:1" x14ac:dyDescent="0.3">
      <c r="A901145" s="15" t="s">
        <v>14</v>
      </c>
    </row>
    <row r="901146" spans="1:1" x14ac:dyDescent="0.3">
      <c r="A901146" s="13" t="s">
        <v>31</v>
      </c>
    </row>
    <row r="901147" spans="1:1" x14ac:dyDescent="0.3">
      <c r="A901147" s="13" t="s">
        <v>86</v>
      </c>
    </row>
    <row r="901148" spans="1:1" x14ac:dyDescent="0.3">
      <c r="A901148" s="15" t="s">
        <v>30</v>
      </c>
    </row>
    <row r="901149" spans="1:1" x14ac:dyDescent="0.3">
      <c r="A901149" s="15" t="s">
        <v>26</v>
      </c>
    </row>
    <row r="901150" spans="1:1" x14ac:dyDescent="0.3">
      <c r="A901150" s="15" t="s">
        <v>27</v>
      </c>
    </row>
    <row r="901151" spans="1:1" x14ac:dyDescent="0.3">
      <c r="A901151" s="15" t="s">
        <v>28</v>
      </c>
    </row>
    <row r="901152" spans="1:1" x14ac:dyDescent="0.3">
      <c r="A901152" s="15" t="s">
        <v>88</v>
      </c>
    </row>
    <row r="901153" spans="1:1" x14ac:dyDescent="0.3">
      <c r="A901153" s="15" t="s">
        <v>89</v>
      </c>
    </row>
    <row r="901154" spans="1:1" x14ac:dyDescent="0.3">
      <c r="A901154" s="15" t="s">
        <v>184</v>
      </c>
    </row>
    <row r="901155" spans="1:1" x14ac:dyDescent="0.3">
      <c r="A901155" s="15" t="s">
        <v>185</v>
      </c>
    </row>
    <row r="901156" spans="1:1" x14ac:dyDescent="0.3">
      <c r="A901156" s="15" t="s">
        <v>186</v>
      </c>
    </row>
    <row r="901157" spans="1:1" x14ac:dyDescent="0.3">
      <c r="A901157" s="15" t="s">
        <v>187</v>
      </c>
    </row>
    <row r="901158" spans="1:1" x14ac:dyDescent="0.3">
      <c r="A901158" s="15" t="s">
        <v>188</v>
      </c>
    </row>
    <row r="901159" spans="1:1" x14ac:dyDescent="0.3">
      <c r="A901159" s="15" t="s">
        <v>189</v>
      </c>
    </row>
    <row r="901160" spans="1:1" x14ac:dyDescent="0.3">
      <c r="A901160" s="15" t="s">
        <v>190</v>
      </c>
    </row>
    <row r="901161" spans="1:1" x14ac:dyDescent="0.3">
      <c r="A901161" s="14" t="s">
        <v>47</v>
      </c>
    </row>
    <row r="901162" spans="1:1" x14ac:dyDescent="0.3">
      <c r="A901162" s="14" t="s">
        <v>118</v>
      </c>
    </row>
    <row r="901163" spans="1:1" x14ac:dyDescent="0.3">
      <c r="A901163" s="14" t="s">
        <v>85</v>
      </c>
    </row>
    <row r="901164" spans="1:1" x14ac:dyDescent="0.3">
      <c r="A901164" s="13" t="s">
        <v>21</v>
      </c>
    </row>
    <row r="901165" spans="1:1" x14ac:dyDescent="0.3">
      <c r="A901165" s="14" t="s">
        <v>91</v>
      </c>
    </row>
    <row r="901166" spans="1:1" x14ac:dyDescent="0.3">
      <c r="A901166" s="14" t="s">
        <v>92</v>
      </c>
    </row>
    <row r="901167" spans="1:1" x14ac:dyDescent="0.3">
      <c r="A901167" s="14" t="s">
        <v>98</v>
      </c>
    </row>
    <row r="901168" spans="1:1" x14ac:dyDescent="0.3">
      <c r="A901168" s="14" t="s">
        <v>99</v>
      </c>
    </row>
    <row r="901169" spans="1:1" x14ac:dyDescent="0.3">
      <c r="A901169" s="13" t="s">
        <v>24</v>
      </c>
    </row>
    <row r="901170" spans="1:1" x14ac:dyDescent="0.3">
      <c r="A901170" s="13" t="s">
        <v>82</v>
      </c>
    </row>
    <row r="901171" spans="1:1" x14ac:dyDescent="0.3">
      <c r="A901171" s="13" t="s">
        <v>105</v>
      </c>
    </row>
    <row r="901172" spans="1:1" x14ac:dyDescent="0.3">
      <c r="A901172" s="13" t="s">
        <v>100</v>
      </c>
    </row>
    <row r="901173" spans="1:1" x14ac:dyDescent="0.3">
      <c r="A901173" s="13" t="s">
        <v>101</v>
      </c>
    </row>
    <row r="901174" spans="1:1" x14ac:dyDescent="0.3">
      <c r="A901174" s="13" t="s">
        <v>102</v>
      </c>
    </row>
    <row r="901175" spans="1:1" x14ac:dyDescent="0.3">
      <c r="A901175" s="13" t="s">
        <v>103</v>
      </c>
    </row>
    <row r="901176" spans="1:1" x14ac:dyDescent="0.3">
      <c r="A901176" s="13" t="s">
        <v>104</v>
      </c>
    </row>
    <row r="917506" spans="1:1" x14ac:dyDescent="0.3">
      <c r="A917506" s="13" t="s">
        <v>0</v>
      </c>
    </row>
    <row r="917507" spans="1:1" x14ac:dyDescent="0.3">
      <c r="A917507" s="13" t="s">
        <v>124</v>
      </c>
    </row>
    <row r="917508" spans="1:1" x14ac:dyDescent="0.3">
      <c r="A917508" s="13" t="s">
        <v>1</v>
      </c>
    </row>
    <row r="917509" spans="1:1" x14ac:dyDescent="0.3">
      <c r="A917509" s="13" t="s">
        <v>2</v>
      </c>
    </row>
    <row r="917510" spans="1:1" x14ac:dyDescent="0.3">
      <c r="A917510" s="14" t="s">
        <v>25</v>
      </c>
    </row>
    <row r="917511" spans="1:1" x14ac:dyDescent="0.3">
      <c r="A917511" s="13" t="s">
        <v>125</v>
      </c>
    </row>
    <row r="917512" spans="1:1" x14ac:dyDescent="0.3">
      <c r="A917512" s="13" t="s">
        <v>126</v>
      </c>
    </row>
    <row r="917513" spans="1:1" x14ac:dyDescent="0.3">
      <c r="A917513" s="13" t="s">
        <v>87</v>
      </c>
    </row>
    <row r="917514" spans="1:1" x14ac:dyDescent="0.3">
      <c r="A917514" s="13" t="s">
        <v>22</v>
      </c>
    </row>
    <row r="917515" spans="1:1" x14ac:dyDescent="0.3">
      <c r="A917515" s="13" t="s">
        <v>3</v>
      </c>
    </row>
    <row r="917516" spans="1:1" x14ac:dyDescent="0.3">
      <c r="A917516" s="15" t="s">
        <v>94</v>
      </c>
    </row>
    <row r="917517" spans="1:1" x14ac:dyDescent="0.3">
      <c r="A917517" s="15" t="s">
        <v>93</v>
      </c>
    </row>
    <row r="917518" spans="1:1" x14ac:dyDescent="0.3">
      <c r="A917518" s="15" t="s">
        <v>4</v>
      </c>
    </row>
    <row r="917519" spans="1:1" x14ac:dyDescent="0.3">
      <c r="A917519" s="15" t="s">
        <v>117</v>
      </c>
    </row>
    <row r="917520" spans="1:1" x14ac:dyDescent="0.3">
      <c r="A917520" s="15" t="s">
        <v>5</v>
      </c>
    </row>
    <row r="917521" spans="1:1" x14ac:dyDescent="0.3">
      <c r="A917521" s="15" t="s">
        <v>6</v>
      </c>
    </row>
    <row r="917522" spans="1:1" x14ac:dyDescent="0.3">
      <c r="A917522" s="15" t="s">
        <v>7</v>
      </c>
    </row>
    <row r="917523" spans="1:1" x14ac:dyDescent="0.3">
      <c r="A917523" s="15" t="s">
        <v>8</v>
      </c>
    </row>
    <row r="917524" spans="1:1" x14ac:dyDescent="0.3">
      <c r="A917524" s="15" t="s">
        <v>9</v>
      </c>
    </row>
    <row r="917525" spans="1:1" x14ac:dyDescent="0.3">
      <c r="A917525" s="15" t="s">
        <v>10</v>
      </c>
    </row>
    <row r="917526" spans="1:1" x14ac:dyDescent="0.3">
      <c r="A917526" s="15" t="s">
        <v>11</v>
      </c>
    </row>
    <row r="917527" spans="1:1" x14ac:dyDescent="0.3">
      <c r="A917527" s="15" t="s">
        <v>12</v>
      </c>
    </row>
    <row r="917528" spans="1:1" x14ac:dyDescent="0.3">
      <c r="A917528" s="15" t="s">
        <v>13</v>
      </c>
    </row>
    <row r="917529" spans="1:1" x14ac:dyDescent="0.3">
      <c r="A917529" s="15" t="s">
        <v>14</v>
      </c>
    </row>
    <row r="917530" spans="1:1" x14ac:dyDescent="0.3">
      <c r="A917530" s="13" t="s">
        <v>31</v>
      </c>
    </row>
    <row r="917531" spans="1:1" x14ac:dyDescent="0.3">
      <c r="A917531" s="13" t="s">
        <v>86</v>
      </c>
    </row>
    <row r="917532" spans="1:1" x14ac:dyDescent="0.3">
      <c r="A917532" s="15" t="s">
        <v>30</v>
      </c>
    </row>
    <row r="917533" spans="1:1" x14ac:dyDescent="0.3">
      <c r="A917533" s="15" t="s">
        <v>26</v>
      </c>
    </row>
    <row r="917534" spans="1:1" x14ac:dyDescent="0.3">
      <c r="A917534" s="15" t="s">
        <v>27</v>
      </c>
    </row>
    <row r="917535" spans="1:1" x14ac:dyDescent="0.3">
      <c r="A917535" s="15" t="s">
        <v>28</v>
      </c>
    </row>
    <row r="917536" spans="1:1" x14ac:dyDescent="0.3">
      <c r="A917536" s="15" t="s">
        <v>88</v>
      </c>
    </row>
    <row r="917537" spans="1:1" x14ac:dyDescent="0.3">
      <c r="A917537" s="15" t="s">
        <v>89</v>
      </c>
    </row>
    <row r="917538" spans="1:1" x14ac:dyDescent="0.3">
      <c r="A917538" s="15" t="s">
        <v>184</v>
      </c>
    </row>
    <row r="917539" spans="1:1" x14ac:dyDescent="0.3">
      <c r="A917539" s="15" t="s">
        <v>185</v>
      </c>
    </row>
    <row r="917540" spans="1:1" x14ac:dyDescent="0.3">
      <c r="A917540" s="15" t="s">
        <v>186</v>
      </c>
    </row>
    <row r="917541" spans="1:1" x14ac:dyDescent="0.3">
      <c r="A917541" s="15" t="s">
        <v>187</v>
      </c>
    </row>
    <row r="917542" spans="1:1" x14ac:dyDescent="0.3">
      <c r="A917542" s="15" t="s">
        <v>188</v>
      </c>
    </row>
    <row r="917543" spans="1:1" x14ac:dyDescent="0.3">
      <c r="A917543" s="15" t="s">
        <v>189</v>
      </c>
    </row>
    <row r="917544" spans="1:1" x14ac:dyDescent="0.3">
      <c r="A917544" s="15" t="s">
        <v>190</v>
      </c>
    </row>
    <row r="917545" spans="1:1" x14ac:dyDescent="0.3">
      <c r="A917545" s="14" t="s">
        <v>47</v>
      </c>
    </row>
    <row r="917546" spans="1:1" x14ac:dyDescent="0.3">
      <c r="A917546" s="14" t="s">
        <v>118</v>
      </c>
    </row>
    <row r="917547" spans="1:1" x14ac:dyDescent="0.3">
      <c r="A917547" s="14" t="s">
        <v>85</v>
      </c>
    </row>
    <row r="917548" spans="1:1" x14ac:dyDescent="0.3">
      <c r="A917548" s="13" t="s">
        <v>21</v>
      </c>
    </row>
    <row r="917549" spans="1:1" x14ac:dyDescent="0.3">
      <c r="A917549" s="14" t="s">
        <v>91</v>
      </c>
    </row>
    <row r="917550" spans="1:1" x14ac:dyDescent="0.3">
      <c r="A917550" s="14" t="s">
        <v>92</v>
      </c>
    </row>
    <row r="917551" spans="1:1" x14ac:dyDescent="0.3">
      <c r="A917551" s="14" t="s">
        <v>98</v>
      </c>
    </row>
    <row r="917552" spans="1:1" x14ac:dyDescent="0.3">
      <c r="A917552" s="14" t="s">
        <v>99</v>
      </c>
    </row>
    <row r="917553" spans="1:1" x14ac:dyDescent="0.3">
      <c r="A917553" s="13" t="s">
        <v>24</v>
      </c>
    </row>
    <row r="917554" spans="1:1" x14ac:dyDescent="0.3">
      <c r="A917554" s="13" t="s">
        <v>82</v>
      </c>
    </row>
    <row r="917555" spans="1:1" x14ac:dyDescent="0.3">
      <c r="A917555" s="13" t="s">
        <v>105</v>
      </c>
    </row>
    <row r="917556" spans="1:1" x14ac:dyDescent="0.3">
      <c r="A917556" s="13" t="s">
        <v>100</v>
      </c>
    </row>
    <row r="917557" spans="1:1" x14ac:dyDescent="0.3">
      <c r="A917557" s="13" t="s">
        <v>101</v>
      </c>
    </row>
    <row r="917558" spans="1:1" x14ac:dyDescent="0.3">
      <c r="A917558" s="13" t="s">
        <v>102</v>
      </c>
    </row>
    <row r="917559" spans="1:1" x14ac:dyDescent="0.3">
      <c r="A917559" s="13" t="s">
        <v>103</v>
      </c>
    </row>
    <row r="917560" spans="1:1" x14ac:dyDescent="0.3">
      <c r="A917560" s="13" t="s">
        <v>104</v>
      </c>
    </row>
    <row r="933890" spans="1:1" x14ac:dyDescent="0.3">
      <c r="A933890" s="13" t="s">
        <v>0</v>
      </c>
    </row>
    <row r="933891" spans="1:1" x14ac:dyDescent="0.3">
      <c r="A933891" s="13" t="s">
        <v>124</v>
      </c>
    </row>
    <row r="933892" spans="1:1" x14ac:dyDescent="0.3">
      <c r="A933892" s="13" t="s">
        <v>1</v>
      </c>
    </row>
    <row r="933893" spans="1:1" x14ac:dyDescent="0.3">
      <c r="A933893" s="13" t="s">
        <v>2</v>
      </c>
    </row>
    <row r="933894" spans="1:1" x14ac:dyDescent="0.3">
      <c r="A933894" s="14" t="s">
        <v>25</v>
      </c>
    </row>
    <row r="933895" spans="1:1" x14ac:dyDescent="0.3">
      <c r="A933895" s="13" t="s">
        <v>125</v>
      </c>
    </row>
    <row r="933896" spans="1:1" x14ac:dyDescent="0.3">
      <c r="A933896" s="13" t="s">
        <v>126</v>
      </c>
    </row>
    <row r="933897" spans="1:1" x14ac:dyDescent="0.3">
      <c r="A933897" s="13" t="s">
        <v>87</v>
      </c>
    </row>
    <row r="933898" spans="1:1" x14ac:dyDescent="0.3">
      <c r="A933898" s="13" t="s">
        <v>22</v>
      </c>
    </row>
    <row r="933899" spans="1:1" x14ac:dyDescent="0.3">
      <c r="A933899" s="13" t="s">
        <v>3</v>
      </c>
    </row>
    <row r="933900" spans="1:1" x14ac:dyDescent="0.3">
      <c r="A933900" s="15" t="s">
        <v>94</v>
      </c>
    </row>
    <row r="933901" spans="1:1" x14ac:dyDescent="0.3">
      <c r="A933901" s="15" t="s">
        <v>93</v>
      </c>
    </row>
    <row r="933902" spans="1:1" x14ac:dyDescent="0.3">
      <c r="A933902" s="15" t="s">
        <v>4</v>
      </c>
    </row>
    <row r="933903" spans="1:1" x14ac:dyDescent="0.3">
      <c r="A933903" s="15" t="s">
        <v>117</v>
      </c>
    </row>
    <row r="933904" spans="1:1" x14ac:dyDescent="0.3">
      <c r="A933904" s="15" t="s">
        <v>5</v>
      </c>
    </row>
    <row r="933905" spans="1:1" x14ac:dyDescent="0.3">
      <c r="A933905" s="15" t="s">
        <v>6</v>
      </c>
    </row>
    <row r="933906" spans="1:1" x14ac:dyDescent="0.3">
      <c r="A933906" s="15" t="s">
        <v>7</v>
      </c>
    </row>
    <row r="933907" spans="1:1" x14ac:dyDescent="0.3">
      <c r="A933907" s="15" t="s">
        <v>8</v>
      </c>
    </row>
    <row r="933908" spans="1:1" x14ac:dyDescent="0.3">
      <c r="A933908" s="15" t="s">
        <v>9</v>
      </c>
    </row>
    <row r="933909" spans="1:1" x14ac:dyDescent="0.3">
      <c r="A933909" s="15" t="s">
        <v>10</v>
      </c>
    </row>
    <row r="933910" spans="1:1" x14ac:dyDescent="0.3">
      <c r="A933910" s="15" t="s">
        <v>11</v>
      </c>
    </row>
    <row r="933911" spans="1:1" x14ac:dyDescent="0.3">
      <c r="A933911" s="15" t="s">
        <v>12</v>
      </c>
    </row>
    <row r="933912" spans="1:1" x14ac:dyDescent="0.3">
      <c r="A933912" s="15" t="s">
        <v>13</v>
      </c>
    </row>
    <row r="933913" spans="1:1" x14ac:dyDescent="0.3">
      <c r="A933913" s="15" t="s">
        <v>14</v>
      </c>
    </row>
    <row r="933914" spans="1:1" x14ac:dyDescent="0.3">
      <c r="A933914" s="13" t="s">
        <v>31</v>
      </c>
    </row>
    <row r="933915" spans="1:1" x14ac:dyDescent="0.3">
      <c r="A933915" s="13" t="s">
        <v>86</v>
      </c>
    </row>
    <row r="933916" spans="1:1" x14ac:dyDescent="0.3">
      <c r="A933916" s="15" t="s">
        <v>30</v>
      </c>
    </row>
    <row r="933917" spans="1:1" x14ac:dyDescent="0.3">
      <c r="A933917" s="15" t="s">
        <v>26</v>
      </c>
    </row>
    <row r="933918" spans="1:1" x14ac:dyDescent="0.3">
      <c r="A933918" s="15" t="s">
        <v>27</v>
      </c>
    </row>
    <row r="933919" spans="1:1" x14ac:dyDescent="0.3">
      <c r="A933919" s="15" t="s">
        <v>28</v>
      </c>
    </row>
    <row r="933920" spans="1:1" x14ac:dyDescent="0.3">
      <c r="A933920" s="15" t="s">
        <v>88</v>
      </c>
    </row>
    <row r="933921" spans="1:1" x14ac:dyDescent="0.3">
      <c r="A933921" s="15" t="s">
        <v>89</v>
      </c>
    </row>
    <row r="933922" spans="1:1" x14ac:dyDescent="0.3">
      <c r="A933922" s="15" t="s">
        <v>184</v>
      </c>
    </row>
    <row r="933923" spans="1:1" x14ac:dyDescent="0.3">
      <c r="A933923" s="15" t="s">
        <v>185</v>
      </c>
    </row>
    <row r="933924" spans="1:1" x14ac:dyDescent="0.3">
      <c r="A933924" s="15" t="s">
        <v>186</v>
      </c>
    </row>
    <row r="933925" spans="1:1" x14ac:dyDescent="0.3">
      <c r="A933925" s="15" t="s">
        <v>187</v>
      </c>
    </row>
    <row r="933926" spans="1:1" x14ac:dyDescent="0.3">
      <c r="A933926" s="15" t="s">
        <v>188</v>
      </c>
    </row>
    <row r="933927" spans="1:1" x14ac:dyDescent="0.3">
      <c r="A933927" s="15" t="s">
        <v>189</v>
      </c>
    </row>
    <row r="933928" spans="1:1" x14ac:dyDescent="0.3">
      <c r="A933928" s="15" t="s">
        <v>190</v>
      </c>
    </row>
    <row r="933929" spans="1:1" x14ac:dyDescent="0.3">
      <c r="A933929" s="14" t="s">
        <v>47</v>
      </c>
    </row>
    <row r="933930" spans="1:1" x14ac:dyDescent="0.3">
      <c r="A933930" s="14" t="s">
        <v>118</v>
      </c>
    </row>
    <row r="933931" spans="1:1" x14ac:dyDescent="0.3">
      <c r="A933931" s="14" t="s">
        <v>85</v>
      </c>
    </row>
    <row r="933932" spans="1:1" x14ac:dyDescent="0.3">
      <c r="A933932" s="13" t="s">
        <v>21</v>
      </c>
    </row>
    <row r="933933" spans="1:1" x14ac:dyDescent="0.3">
      <c r="A933933" s="14" t="s">
        <v>91</v>
      </c>
    </row>
    <row r="933934" spans="1:1" x14ac:dyDescent="0.3">
      <c r="A933934" s="14" t="s">
        <v>92</v>
      </c>
    </row>
    <row r="933935" spans="1:1" x14ac:dyDescent="0.3">
      <c r="A933935" s="14" t="s">
        <v>98</v>
      </c>
    </row>
    <row r="933936" spans="1:1" x14ac:dyDescent="0.3">
      <c r="A933936" s="14" t="s">
        <v>99</v>
      </c>
    </row>
    <row r="933937" spans="1:1" x14ac:dyDescent="0.3">
      <c r="A933937" s="13" t="s">
        <v>24</v>
      </c>
    </row>
    <row r="933938" spans="1:1" x14ac:dyDescent="0.3">
      <c r="A933938" s="13" t="s">
        <v>82</v>
      </c>
    </row>
    <row r="933939" spans="1:1" x14ac:dyDescent="0.3">
      <c r="A933939" s="13" t="s">
        <v>105</v>
      </c>
    </row>
    <row r="933940" spans="1:1" x14ac:dyDescent="0.3">
      <c r="A933940" s="13" t="s">
        <v>100</v>
      </c>
    </row>
    <row r="933941" spans="1:1" x14ac:dyDescent="0.3">
      <c r="A933941" s="13" t="s">
        <v>101</v>
      </c>
    </row>
    <row r="933942" spans="1:1" x14ac:dyDescent="0.3">
      <c r="A933942" s="13" t="s">
        <v>102</v>
      </c>
    </row>
    <row r="933943" spans="1:1" x14ac:dyDescent="0.3">
      <c r="A933943" s="13" t="s">
        <v>103</v>
      </c>
    </row>
    <row r="933944" spans="1:1" x14ac:dyDescent="0.3">
      <c r="A933944" s="13" t="s">
        <v>104</v>
      </c>
    </row>
    <row r="950274" spans="1:1" x14ac:dyDescent="0.3">
      <c r="A950274" s="13" t="s">
        <v>0</v>
      </c>
    </row>
    <row r="950275" spans="1:1" x14ac:dyDescent="0.3">
      <c r="A950275" s="13" t="s">
        <v>124</v>
      </c>
    </row>
    <row r="950276" spans="1:1" x14ac:dyDescent="0.3">
      <c r="A950276" s="13" t="s">
        <v>1</v>
      </c>
    </row>
    <row r="950277" spans="1:1" x14ac:dyDescent="0.3">
      <c r="A950277" s="13" t="s">
        <v>2</v>
      </c>
    </row>
    <row r="950278" spans="1:1" x14ac:dyDescent="0.3">
      <c r="A950278" s="14" t="s">
        <v>25</v>
      </c>
    </row>
    <row r="950279" spans="1:1" x14ac:dyDescent="0.3">
      <c r="A950279" s="13" t="s">
        <v>125</v>
      </c>
    </row>
    <row r="950280" spans="1:1" x14ac:dyDescent="0.3">
      <c r="A950280" s="13" t="s">
        <v>126</v>
      </c>
    </row>
    <row r="950281" spans="1:1" x14ac:dyDescent="0.3">
      <c r="A950281" s="13" t="s">
        <v>87</v>
      </c>
    </row>
    <row r="950282" spans="1:1" x14ac:dyDescent="0.3">
      <c r="A950282" s="13" t="s">
        <v>22</v>
      </c>
    </row>
    <row r="950283" spans="1:1" x14ac:dyDescent="0.3">
      <c r="A950283" s="13" t="s">
        <v>3</v>
      </c>
    </row>
    <row r="950284" spans="1:1" x14ac:dyDescent="0.3">
      <c r="A950284" s="15" t="s">
        <v>94</v>
      </c>
    </row>
    <row r="950285" spans="1:1" x14ac:dyDescent="0.3">
      <c r="A950285" s="15" t="s">
        <v>93</v>
      </c>
    </row>
    <row r="950286" spans="1:1" x14ac:dyDescent="0.3">
      <c r="A950286" s="15" t="s">
        <v>4</v>
      </c>
    </row>
    <row r="950287" spans="1:1" x14ac:dyDescent="0.3">
      <c r="A950287" s="15" t="s">
        <v>117</v>
      </c>
    </row>
    <row r="950288" spans="1:1" x14ac:dyDescent="0.3">
      <c r="A950288" s="15" t="s">
        <v>5</v>
      </c>
    </row>
    <row r="950289" spans="1:1" x14ac:dyDescent="0.3">
      <c r="A950289" s="15" t="s">
        <v>6</v>
      </c>
    </row>
    <row r="950290" spans="1:1" x14ac:dyDescent="0.3">
      <c r="A950290" s="15" t="s">
        <v>7</v>
      </c>
    </row>
    <row r="950291" spans="1:1" x14ac:dyDescent="0.3">
      <c r="A950291" s="15" t="s">
        <v>8</v>
      </c>
    </row>
    <row r="950292" spans="1:1" x14ac:dyDescent="0.3">
      <c r="A950292" s="15" t="s">
        <v>9</v>
      </c>
    </row>
    <row r="950293" spans="1:1" x14ac:dyDescent="0.3">
      <c r="A950293" s="15" t="s">
        <v>10</v>
      </c>
    </row>
    <row r="950294" spans="1:1" x14ac:dyDescent="0.3">
      <c r="A950294" s="15" t="s">
        <v>11</v>
      </c>
    </row>
    <row r="950295" spans="1:1" x14ac:dyDescent="0.3">
      <c r="A950295" s="15" t="s">
        <v>12</v>
      </c>
    </row>
    <row r="950296" spans="1:1" x14ac:dyDescent="0.3">
      <c r="A950296" s="15" t="s">
        <v>13</v>
      </c>
    </row>
    <row r="950297" spans="1:1" x14ac:dyDescent="0.3">
      <c r="A950297" s="15" t="s">
        <v>14</v>
      </c>
    </row>
    <row r="950298" spans="1:1" x14ac:dyDescent="0.3">
      <c r="A950298" s="13" t="s">
        <v>31</v>
      </c>
    </row>
    <row r="950299" spans="1:1" x14ac:dyDescent="0.3">
      <c r="A950299" s="13" t="s">
        <v>86</v>
      </c>
    </row>
    <row r="950300" spans="1:1" x14ac:dyDescent="0.3">
      <c r="A950300" s="15" t="s">
        <v>30</v>
      </c>
    </row>
    <row r="950301" spans="1:1" x14ac:dyDescent="0.3">
      <c r="A950301" s="15" t="s">
        <v>26</v>
      </c>
    </row>
    <row r="950302" spans="1:1" x14ac:dyDescent="0.3">
      <c r="A950302" s="15" t="s">
        <v>27</v>
      </c>
    </row>
    <row r="950303" spans="1:1" x14ac:dyDescent="0.3">
      <c r="A950303" s="15" t="s">
        <v>28</v>
      </c>
    </row>
    <row r="950304" spans="1:1" x14ac:dyDescent="0.3">
      <c r="A950304" s="15" t="s">
        <v>88</v>
      </c>
    </row>
    <row r="950305" spans="1:1" x14ac:dyDescent="0.3">
      <c r="A950305" s="15" t="s">
        <v>89</v>
      </c>
    </row>
    <row r="950306" spans="1:1" x14ac:dyDescent="0.3">
      <c r="A950306" s="15" t="s">
        <v>184</v>
      </c>
    </row>
    <row r="950307" spans="1:1" x14ac:dyDescent="0.3">
      <c r="A950307" s="15" t="s">
        <v>185</v>
      </c>
    </row>
    <row r="950308" spans="1:1" x14ac:dyDescent="0.3">
      <c r="A950308" s="15" t="s">
        <v>186</v>
      </c>
    </row>
    <row r="950309" spans="1:1" x14ac:dyDescent="0.3">
      <c r="A950309" s="15" t="s">
        <v>187</v>
      </c>
    </row>
    <row r="950310" spans="1:1" x14ac:dyDescent="0.3">
      <c r="A950310" s="15" t="s">
        <v>188</v>
      </c>
    </row>
    <row r="950311" spans="1:1" x14ac:dyDescent="0.3">
      <c r="A950311" s="15" t="s">
        <v>189</v>
      </c>
    </row>
    <row r="950312" spans="1:1" x14ac:dyDescent="0.3">
      <c r="A950312" s="15" t="s">
        <v>190</v>
      </c>
    </row>
    <row r="950313" spans="1:1" x14ac:dyDescent="0.3">
      <c r="A950313" s="14" t="s">
        <v>47</v>
      </c>
    </row>
    <row r="950314" spans="1:1" x14ac:dyDescent="0.3">
      <c r="A950314" s="14" t="s">
        <v>118</v>
      </c>
    </row>
    <row r="950315" spans="1:1" x14ac:dyDescent="0.3">
      <c r="A950315" s="14" t="s">
        <v>85</v>
      </c>
    </row>
    <row r="950316" spans="1:1" x14ac:dyDescent="0.3">
      <c r="A950316" s="13" t="s">
        <v>21</v>
      </c>
    </row>
    <row r="950317" spans="1:1" x14ac:dyDescent="0.3">
      <c r="A950317" s="14" t="s">
        <v>91</v>
      </c>
    </row>
    <row r="950318" spans="1:1" x14ac:dyDescent="0.3">
      <c r="A950318" s="14" t="s">
        <v>92</v>
      </c>
    </row>
    <row r="950319" spans="1:1" x14ac:dyDescent="0.3">
      <c r="A950319" s="14" t="s">
        <v>98</v>
      </c>
    </row>
    <row r="950320" spans="1:1" x14ac:dyDescent="0.3">
      <c r="A950320" s="14" t="s">
        <v>99</v>
      </c>
    </row>
    <row r="950321" spans="1:1" x14ac:dyDescent="0.3">
      <c r="A950321" s="13" t="s">
        <v>24</v>
      </c>
    </row>
    <row r="950322" spans="1:1" x14ac:dyDescent="0.3">
      <c r="A950322" s="13" t="s">
        <v>82</v>
      </c>
    </row>
    <row r="950323" spans="1:1" x14ac:dyDescent="0.3">
      <c r="A950323" s="13" t="s">
        <v>105</v>
      </c>
    </row>
    <row r="950324" spans="1:1" x14ac:dyDescent="0.3">
      <c r="A950324" s="13" t="s">
        <v>100</v>
      </c>
    </row>
    <row r="950325" spans="1:1" x14ac:dyDescent="0.3">
      <c r="A950325" s="13" t="s">
        <v>101</v>
      </c>
    </row>
    <row r="950326" spans="1:1" x14ac:dyDescent="0.3">
      <c r="A950326" s="13" t="s">
        <v>102</v>
      </c>
    </row>
    <row r="950327" spans="1:1" x14ac:dyDescent="0.3">
      <c r="A950327" s="13" t="s">
        <v>103</v>
      </c>
    </row>
    <row r="950328" spans="1:1" x14ac:dyDescent="0.3">
      <c r="A950328" s="13" t="s">
        <v>104</v>
      </c>
    </row>
    <row r="966658" spans="1:1" x14ac:dyDescent="0.3">
      <c r="A966658" s="13" t="s">
        <v>0</v>
      </c>
    </row>
    <row r="966659" spans="1:1" x14ac:dyDescent="0.3">
      <c r="A966659" s="13" t="s">
        <v>124</v>
      </c>
    </row>
    <row r="966660" spans="1:1" x14ac:dyDescent="0.3">
      <c r="A966660" s="13" t="s">
        <v>1</v>
      </c>
    </row>
    <row r="966661" spans="1:1" x14ac:dyDescent="0.3">
      <c r="A966661" s="13" t="s">
        <v>2</v>
      </c>
    </row>
    <row r="966662" spans="1:1" x14ac:dyDescent="0.3">
      <c r="A966662" s="14" t="s">
        <v>25</v>
      </c>
    </row>
    <row r="966663" spans="1:1" x14ac:dyDescent="0.3">
      <c r="A966663" s="13" t="s">
        <v>125</v>
      </c>
    </row>
    <row r="966664" spans="1:1" x14ac:dyDescent="0.3">
      <c r="A966664" s="13" t="s">
        <v>126</v>
      </c>
    </row>
    <row r="966665" spans="1:1" x14ac:dyDescent="0.3">
      <c r="A966665" s="13" t="s">
        <v>87</v>
      </c>
    </row>
    <row r="966666" spans="1:1" x14ac:dyDescent="0.3">
      <c r="A966666" s="13" t="s">
        <v>22</v>
      </c>
    </row>
    <row r="966667" spans="1:1" x14ac:dyDescent="0.3">
      <c r="A966667" s="13" t="s">
        <v>3</v>
      </c>
    </row>
    <row r="966668" spans="1:1" x14ac:dyDescent="0.3">
      <c r="A966668" s="15" t="s">
        <v>94</v>
      </c>
    </row>
    <row r="966669" spans="1:1" x14ac:dyDescent="0.3">
      <c r="A966669" s="15" t="s">
        <v>93</v>
      </c>
    </row>
    <row r="966670" spans="1:1" x14ac:dyDescent="0.3">
      <c r="A966670" s="15" t="s">
        <v>4</v>
      </c>
    </row>
    <row r="966671" spans="1:1" x14ac:dyDescent="0.3">
      <c r="A966671" s="15" t="s">
        <v>117</v>
      </c>
    </row>
    <row r="966672" spans="1:1" x14ac:dyDescent="0.3">
      <c r="A966672" s="15" t="s">
        <v>5</v>
      </c>
    </row>
    <row r="966673" spans="1:1" x14ac:dyDescent="0.3">
      <c r="A966673" s="15" t="s">
        <v>6</v>
      </c>
    </row>
    <row r="966674" spans="1:1" x14ac:dyDescent="0.3">
      <c r="A966674" s="15" t="s">
        <v>7</v>
      </c>
    </row>
    <row r="966675" spans="1:1" x14ac:dyDescent="0.3">
      <c r="A966675" s="15" t="s">
        <v>8</v>
      </c>
    </row>
    <row r="966676" spans="1:1" x14ac:dyDescent="0.3">
      <c r="A966676" s="15" t="s">
        <v>9</v>
      </c>
    </row>
    <row r="966677" spans="1:1" x14ac:dyDescent="0.3">
      <c r="A966677" s="15" t="s">
        <v>10</v>
      </c>
    </row>
    <row r="966678" spans="1:1" x14ac:dyDescent="0.3">
      <c r="A966678" s="15" t="s">
        <v>11</v>
      </c>
    </row>
    <row r="966679" spans="1:1" x14ac:dyDescent="0.3">
      <c r="A966679" s="15" t="s">
        <v>12</v>
      </c>
    </row>
    <row r="966680" spans="1:1" x14ac:dyDescent="0.3">
      <c r="A966680" s="15" t="s">
        <v>13</v>
      </c>
    </row>
    <row r="966681" spans="1:1" x14ac:dyDescent="0.3">
      <c r="A966681" s="15" t="s">
        <v>14</v>
      </c>
    </row>
    <row r="966682" spans="1:1" x14ac:dyDescent="0.3">
      <c r="A966682" s="13" t="s">
        <v>31</v>
      </c>
    </row>
    <row r="966683" spans="1:1" x14ac:dyDescent="0.3">
      <c r="A966683" s="13" t="s">
        <v>86</v>
      </c>
    </row>
    <row r="966684" spans="1:1" x14ac:dyDescent="0.3">
      <c r="A966684" s="15" t="s">
        <v>30</v>
      </c>
    </row>
    <row r="966685" spans="1:1" x14ac:dyDescent="0.3">
      <c r="A966685" s="15" t="s">
        <v>26</v>
      </c>
    </row>
    <row r="966686" spans="1:1" x14ac:dyDescent="0.3">
      <c r="A966686" s="15" t="s">
        <v>27</v>
      </c>
    </row>
    <row r="966687" spans="1:1" x14ac:dyDescent="0.3">
      <c r="A966687" s="15" t="s">
        <v>28</v>
      </c>
    </row>
    <row r="966688" spans="1:1" x14ac:dyDescent="0.3">
      <c r="A966688" s="15" t="s">
        <v>88</v>
      </c>
    </row>
    <row r="966689" spans="1:1" x14ac:dyDescent="0.3">
      <c r="A966689" s="15" t="s">
        <v>89</v>
      </c>
    </row>
    <row r="966690" spans="1:1" x14ac:dyDescent="0.3">
      <c r="A966690" s="15" t="s">
        <v>184</v>
      </c>
    </row>
    <row r="966691" spans="1:1" x14ac:dyDescent="0.3">
      <c r="A966691" s="15" t="s">
        <v>185</v>
      </c>
    </row>
    <row r="966692" spans="1:1" x14ac:dyDescent="0.3">
      <c r="A966692" s="15" t="s">
        <v>186</v>
      </c>
    </row>
    <row r="966693" spans="1:1" x14ac:dyDescent="0.3">
      <c r="A966693" s="15" t="s">
        <v>187</v>
      </c>
    </row>
    <row r="966694" spans="1:1" x14ac:dyDescent="0.3">
      <c r="A966694" s="15" t="s">
        <v>188</v>
      </c>
    </row>
    <row r="966695" spans="1:1" x14ac:dyDescent="0.3">
      <c r="A966695" s="15" t="s">
        <v>189</v>
      </c>
    </row>
    <row r="966696" spans="1:1" x14ac:dyDescent="0.3">
      <c r="A966696" s="15" t="s">
        <v>190</v>
      </c>
    </row>
    <row r="966697" spans="1:1" x14ac:dyDescent="0.3">
      <c r="A966697" s="14" t="s">
        <v>47</v>
      </c>
    </row>
    <row r="966698" spans="1:1" x14ac:dyDescent="0.3">
      <c r="A966698" s="14" t="s">
        <v>118</v>
      </c>
    </row>
    <row r="966699" spans="1:1" x14ac:dyDescent="0.3">
      <c r="A966699" s="14" t="s">
        <v>85</v>
      </c>
    </row>
    <row r="966700" spans="1:1" x14ac:dyDescent="0.3">
      <c r="A966700" s="13" t="s">
        <v>21</v>
      </c>
    </row>
    <row r="966701" spans="1:1" x14ac:dyDescent="0.3">
      <c r="A966701" s="14" t="s">
        <v>91</v>
      </c>
    </row>
    <row r="966702" spans="1:1" x14ac:dyDescent="0.3">
      <c r="A966702" s="14" t="s">
        <v>92</v>
      </c>
    </row>
    <row r="966703" spans="1:1" x14ac:dyDescent="0.3">
      <c r="A966703" s="14" t="s">
        <v>98</v>
      </c>
    </row>
    <row r="966704" spans="1:1" x14ac:dyDescent="0.3">
      <c r="A966704" s="14" t="s">
        <v>99</v>
      </c>
    </row>
    <row r="966705" spans="1:1" x14ac:dyDescent="0.3">
      <c r="A966705" s="13" t="s">
        <v>24</v>
      </c>
    </row>
    <row r="966706" spans="1:1" x14ac:dyDescent="0.3">
      <c r="A966706" s="13" t="s">
        <v>82</v>
      </c>
    </row>
    <row r="966707" spans="1:1" x14ac:dyDescent="0.3">
      <c r="A966707" s="13" t="s">
        <v>105</v>
      </c>
    </row>
    <row r="966708" spans="1:1" x14ac:dyDescent="0.3">
      <c r="A966708" s="13" t="s">
        <v>100</v>
      </c>
    </row>
    <row r="966709" spans="1:1" x14ac:dyDescent="0.3">
      <c r="A966709" s="13" t="s">
        <v>101</v>
      </c>
    </row>
    <row r="966710" spans="1:1" x14ac:dyDescent="0.3">
      <c r="A966710" s="13" t="s">
        <v>102</v>
      </c>
    </row>
    <row r="966711" spans="1:1" x14ac:dyDescent="0.3">
      <c r="A966711" s="13" t="s">
        <v>103</v>
      </c>
    </row>
    <row r="966712" spans="1:1" x14ac:dyDescent="0.3">
      <c r="A966712" s="13" t="s">
        <v>104</v>
      </c>
    </row>
    <row r="983042" spans="1:1" x14ac:dyDescent="0.3">
      <c r="A983042" s="13" t="s">
        <v>0</v>
      </c>
    </row>
    <row r="983043" spans="1:1" x14ac:dyDescent="0.3">
      <c r="A983043" s="13" t="s">
        <v>124</v>
      </c>
    </row>
    <row r="983044" spans="1:1" x14ac:dyDescent="0.3">
      <c r="A983044" s="13" t="s">
        <v>1</v>
      </c>
    </row>
    <row r="983045" spans="1:1" x14ac:dyDescent="0.3">
      <c r="A983045" s="13" t="s">
        <v>2</v>
      </c>
    </row>
    <row r="983046" spans="1:1" x14ac:dyDescent="0.3">
      <c r="A983046" s="14" t="s">
        <v>25</v>
      </c>
    </row>
    <row r="983047" spans="1:1" x14ac:dyDescent="0.3">
      <c r="A983047" s="13" t="s">
        <v>125</v>
      </c>
    </row>
    <row r="983048" spans="1:1" x14ac:dyDescent="0.3">
      <c r="A983048" s="13" t="s">
        <v>126</v>
      </c>
    </row>
    <row r="983049" spans="1:1" x14ac:dyDescent="0.3">
      <c r="A983049" s="13" t="s">
        <v>87</v>
      </c>
    </row>
    <row r="983050" spans="1:1" x14ac:dyDescent="0.3">
      <c r="A983050" s="13" t="s">
        <v>22</v>
      </c>
    </row>
    <row r="983051" spans="1:1" x14ac:dyDescent="0.3">
      <c r="A983051" s="13" t="s">
        <v>3</v>
      </c>
    </row>
    <row r="983052" spans="1:1" x14ac:dyDescent="0.3">
      <c r="A983052" s="15" t="s">
        <v>94</v>
      </c>
    </row>
    <row r="983053" spans="1:1" x14ac:dyDescent="0.3">
      <c r="A983053" s="15" t="s">
        <v>93</v>
      </c>
    </row>
    <row r="983054" spans="1:1" x14ac:dyDescent="0.3">
      <c r="A983054" s="15" t="s">
        <v>4</v>
      </c>
    </row>
    <row r="983055" spans="1:1" x14ac:dyDescent="0.3">
      <c r="A983055" s="15" t="s">
        <v>117</v>
      </c>
    </row>
    <row r="983056" spans="1:1" x14ac:dyDescent="0.3">
      <c r="A983056" s="15" t="s">
        <v>5</v>
      </c>
    </row>
    <row r="983057" spans="1:1" x14ac:dyDescent="0.3">
      <c r="A983057" s="15" t="s">
        <v>6</v>
      </c>
    </row>
    <row r="983058" spans="1:1" x14ac:dyDescent="0.3">
      <c r="A983058" s="15" t="s">
        <v>7</v>
      </c>
    </row>
    <row r="983059" spans="1:1" x14ac:dyDescent="0.3">
      <c r="A983059" s="15" t="s">
        <v>8</v>
      </c>
    </row>
    <row r="983060" spans="1:1" x14ac:dyDescent="0.3">
      <c r="A983060" s="15" t="s">
        <v>9</v>
      </c>
    </row>
    <row r="983061" spans="1:1" x14ac:dyDescent="0.3">
      <c r="A983061" s="15" t="s">
        <v>10</v>
      </c>
    </row>
    <row r="983062" spans="1:1" x14ac:dyDescent="0.3">
      <c r="A983062" s="15" t="s">
        <v>11</v>
      </c>
    </row>
    <row r="983063" spans="1:1" x14ac:dyDescent="0.3">
      <c r="A983063" s="15" t="s">
        <v>12</v>
      </c>
    </row>
    <row r="983064" spans="1:1" x14ac:dyDescent="0.3">
      <c r="A983064" s="15" t="s">
        <v>13</v>
      </c>
    </row>
    <row r="983065" spans="1:1" x14ac:dyDescent="0.3">
      <c r="A983065" s="15" t="s">
        <v>14</v>
      </c>
    </row>
    <row r="983066" spans="1:1" x14ac:dyDescent="0.3">
      <c r="A983066" s="13" t="s">
        <v>31</v>
      </c>
    </row>
    <row r="983067" spans="1:1" x14ac:dyDescent="0.3">
      <c r="A983067" s="13" t="s">
        <v>86</v>
      </c>
    </row>
    <row r="983068" spans="1:1" x14ac:dyDescent="0.3">
      <c r="A983068" s="15" t="s">
        <v>30</v>
      </c>
    </row>
    <row r="983069" spans="1:1" x14ac:dyDescent="0.3">
      <c r="A983069" s="15" t="s">
        <v>26</v>
      </c>
    </row>
    <row r="983070" spans="1:1" x14ac:dyDescent="0.3">
      <c r="A983070" s="15" t="s">
        <v>27</v>
      </c>
    </row>
    <row r="983071" spans="1:1" x14ac:dyDescent="0.3">
      <c r="A983071" s="15" t="s">
        <v>28</v>
      </c>
    </row>
    <row r="983072" spans="1:1" x14ac:dyDescent="0.3">
      <c r="A983072" s="15" t="s">
        <v>88</v>
      </c>
    </row>
    <row r="983073" spans="1:1" x14ac:dyDescent="0.3">
      <c r="A983073" s="15" t="s">
        <v>89</v>
      </c>
    </row>
    <row r="983074" spans="1:1" x14ac:dyDescent="0.3">
      <c r="A983074" s="15" t="s">
        <v>184</v>
      </c>
    </row>
    <row r="983075" spans="1:1" x14ac:dyDescent="0.3">
      <c r="A983075" s="15" t="s">
        <v>185</v>
      </c>
    </row>
    <row r="983076" spans="1:1" x14ac:dyDescent="0.3">
      <c r="A983076" s="15" t="s">
        <v>186</v>
      </c>
    </row>
    <row r="983077" spans="1:1" x14ac:dyDescent="0.3">
      <c r="A983077" s="15" t="s">
        <v>187</v>
      </c>
    </row>
    <row r="983078" spans="1:1" x14ac:dyDescent="0.3">
      <c r="A983078" s="15" t="s">
        <v>188</v>
      </c>
    </row>
    <row r="983079" spans="1:1" x14ac:dyDescent="0.3">
      <c r="A983079" s="15" t="s">
        <v>189</v>
      </c>
    </row>
    <row r="983080" spans="1:1" x14ac:dyDescent="0.3">
      <c r="A983080" s="15" t="s">
        <v>190</v>
      </c>
    </row>
    <row r="983081" spans="1:1" x14ac:dyDescent="0.3">
      <c r="A983081" s="14" t="s">
        <v>47</v>
      </c>
    </row>
    <row r="983082" spans="1:1" x14ac:dyDescent="0.3">
      <c r="A983082" s="14" t="s">
        <v>118</v>
      </c>
    </row>
    <row r="983083" spans="1:1" x14ac:dyDescent="0.3">
      <c r="A983083" s="14" t="s">
        <v>85</v>
      </c>
    </row>
    <row r="983084" spans="1:1" x14ac:dyDescent="0.3">
      <c r="A983084" s="13" t="s">
        <v>21</v>
      </c>
    </row>
    <row r="983085" spans="1:1" x14ac:dyDescent="0.3">
      <c r="A983085" s="14" t="s">
        <v>91</v>
      </c>
    </row>
    <row r="983086" spans="1:1" x14ac:dyDescent="0.3">
      <c r="A983086" s="14" t="s">
        <v>92</v>
      </c>
    </row>
    <row r="983087" spans="1:1" x14ac:dyDescent="0.3">
      <c r="A983087" s="14" t="s">
        <v>98</v>
      </c>
    </row>
    <row r="983088" spans="1:1" x14ac:dyDescent="0.3">
      <c r="A983088" s="14" t="s">
        <v>99</v>
      </c>
    </row>
    <row r="983089" spans="1:1" x14ac:dyDescent="0.3">
      <c r="A983089" s="13" t="s">
        <v>24</v>
      </c>
    </row>
    <row r="983090" spans="1:1" x14ac:dyDescent="0.3">
      <c r="A983090" s="13" t="s">
        <v>82</v>
      </c>
    </row>
    <row r="983091" spans="1:1" x14ac:dyDescent="0.3">
      <c r="A983091" s="13" t="s">
        <v>105</v>
      </c>
    </row>
    <row r="983092" spans="1:1" x14ac:dyDescent="0.3">
      <c r="A983092" s="13" t="s">
        <v>100</v>
      </c>
    </row>
    <row r="983093" spans="1:1" x14ac:dyDescent="0.3">
      <c r="A983093" s="13" t="s">
        <v>101</v>
      </c>
    </row>
    <row r="983094" spans="1:1" x14ac:dyDescent="0.3">
      <c r="A983094" s="13" t="s">
        <v>102</v>
      </c>
    </row>
    <row r="983095" spans="1:1" x14ac:dyDescent="0.3">
      <c r="A983095" s="13" t="s">
        <v>103</v>
      </c>
    </row>
    <row r="983096" spans="1:1" x14ac:dyDescent="0.3">
      <c r="A983096" s="13" t="s">
        <v>104</v>
      </c>
    </row>
    <row r="999426" spans="1:1" x14ac:dyDescent="0.3">
      <c r="A999426" s="13" t="s">
        <v>0</v>
      </c>
    </row>
    <row r="999427" spans="1:1" x14ac:dyDescent="0.3">
      <c r="A999427" s="13" t="s">
        <v>124</v>
      </c>
    </row>
    <row r="999428" spans="1:1" x14ac:dyDescent="0.3">
      <c r="A999428" s="13" t="s">
        <v>1</v>
      </c>
    </row>
    <row r="999429" spans="1:1" x14ac:dyDescent="0.3">
      <c r="A999429" s="13" t="s">
        <v>2</v>
      </c>
    </row>
    <row r="999430" spans="1:1" x14ac:dyDescent="0.3">
      <c r="A999430" s="14" t="s">
        <v>25</v>
      </c>
    </row>
    <row r="999431" spans="1:1" x14ac:dyDescent="0.3">
      <c r="A999431" s="13" t="s">
        <v>125</v>
      </c>
    </row>
    <row r="999432" spans="1:1" x14ac:dyDescent="0.3">
      <c r="A999432" s="13" t="s">
        <v>126</v>
      </c>
    </row>
    <row r="999433" spans="1:1" x14ac:dyDescent="0.3">
      <c r="A999433" s="13" t="s">
        <v>87</v>
      </c>
    </row>
    <row r="999434" spans="1:1" x14ac:dyDescent="0.3">
      <c r="A999434" s="13" t="s">
        <v>22</v>
      </c>
    </row>
    <row r="999435" spans="1:1" x14ac:dyDescent="0.3">
      <c r="A999435" s="13" t="s">
        <v>3</v>
      </c>
    </row>
    <row r="999436" spans="1:1" x14ac:dyDescent="0.3">
      <c r="A999436" s="15" t="s">
        <v>94</v>
      </c>
    </row>
    <row r="999437" spans="1:1" x14ac:dyDescent="0.3">
      <c r="A999437" s="15" t="s">
        <v>93</v>
      </c>
    </row>
    <row r="999438" spans="1:1" x14ac:dyDescent="0.3">
      <c r="A999438" s="15" t="s">
        <v>4</v>
      </c>
    </row>
    <row r="999439" spans="1:1" x14ac:dyDescent="0.3">
      <c r="A999439" s="15" t="s">
        <v>117</v>
      </c>
    </row>
    <row r="999440" spans="1:1" x14ac:dyDescent="0.3">
      <c r="A999440" s="15" t="s">
        <v>5</v>
      </c>
    </row>
    <row r="999441" spans="1:1" x14ac:dyDescent="0.3">
      <c r="A999441" s="15" t="s">
        <v>6</v>
      </c>
    </row>
    <row r="999442" spans="1:1" x14ac:dyDescent="0.3">
      <c r="A999442" s="15" t="s">
        <v>7</v>
      </c>
    </row>
    <row r="999443" spans="1:1" x14ac:dyDescent="0.3">
      <c r="A999443" s="15" t="s">
        <v>8</v>
      </c>
    </row>
    <row r="999444" spans="1:1" x14ac:dyDescent="0.3">
      <c r="A999444" s="15" t="s">
        <v>9</v>
      </c>
    </row>
    <row r="999445" spans="1:1" x14ac:dyDescent="0.3">
      <c r="A999445" s="15" t="s">
        <v>10</v>
      </c>
    </row>
    <row r="999446" spans="1:1" x14ac:dyDescent="0.3">
      <c r="A999446" s="15" t="s">
        <v>11</v>
      </c>
    </row>
    <row r="999447" spans="1:1" x14ac:dyDescent="0.3">
      <c r="A999447" s="15" t="s">
        <v>12</v>
      </c>
    </row>
    <row r="999448" spans="1:1" x14ac:dyDescent="0.3">
      <c r="A999448" s="15" t="s">
        <v>13</v>
      </c>
    </row>
    <row r="999449" spans="1:1" x14ac:dyDescent="0.3">
      <c r="A999449" s="15" t="s">
        <v>14</v>
      </c>
    </row>
    <row r="999450" spans="1:1" x14ac:dyDescent="0.3">
      <c r="A999450" s="13" t="s">
        <v>31</v>
      </c>
    </row>
    <row r="999451" spans="1:1" x14ac:dyDescent="0.3">
      <c r="A999451" s="13" t="s">
        <v>86</v>
      </c>
    </row>
    <row r="999452" spans="1:1" x14ac:dyDescent="0.3">
      <c r="A999452" s="15" t="s">
        <v>30</v>
      </c>
    </row>
    <row r="999453" spans="1:1" x14ac:dyDescent="0.3">
      <c r="A999453" s="15" t="s">
        <v>26</v>
      </c>
    </row>
    <row r="999454" spans="1:1" x14ac:dyDescent="0.3">
      <c r="A999454" s="15" t="s">
        <v>27</v>
      </c>
    </row>
    <row r="999455" spans="1:1" x14ac:dyDescent="0.3">
      <c r="A999455" s="15" t="s">
        <v>28</v>
      </c>
    </row>
    <row r="999456" spans="1:1" x14ac:dyDescent="0.3">
      <c r="A999456" s="15" t="s">
        <v>88</v>
      </c>
    </row>
    <row r="999457" spans="1:1" x14ac:dyDescent="0.3">
      <c r="A999457" s="15" t="s">
        <v>89</v>
      </c>
    </row>
    <row r="999458" spans="1:1" x14ac:dyDescent="0.3">
      <c r="A999458" s="15" t="s">
        <v>184</v>
      </c>
    </row>
    <row r="999459" spans="1:1" x14ac:dyDescent="0.3">
      <c r="A999459" s="15" t="s">
        <v>185</v>
      </c>
    </row>
    <row r="999460" spans="1:1" x14ac:dyDescent="0.3">
      <c r="A999460" s="15" t="s">
        <v>186</v>
      </c>
    </row>
    <row r="999461" spans="1:1" x14ac:dyDescent="0.3">
      <c r="A999461" s="15" t="s">
        <v>187</v>
      </c>
    </row>
    <row r="999462" spans="1:1" x14ac:dyDescent="0.3">
      <c r="A999462" s="15" t="s">
        <v>188</v>
      </c>
    </row>
    <row r="999463" spans="1:1" x14ac:dyDescent="0.3">
      <c r="A999463" s="15" t="s">
        <v>189</v>
      </c>
    </row>
    <row r="999464" spans="1:1" x14ac:dyDescent="0.3">
      <c r="A999464" s="15" t="s">
        <v>190</v>
      </c>
    </row>
    <row r="999465" spans="1:1" x14ac:dyDescent="0.3">
      <c r="A999465" s="14" t="s">
        <v>47</v>
      </c>
    </row>
    <row r="999466" spans="1:1" x14ac:dyDescent="0.3">
      <c r="A999466" s="14" t="s">
        <v>118</v>
      </c>
    </row>
    <row r="999467" spans="1:1" x14ac:dyDescent="0.3">
      <c r="A999467" s="14" t="s">
        <v>85</v>
      </c>
    </row>
    <row r="999468" spans="1:1" x14ac:dyDescent="0.3">
      <c r="A999468" s="13" t="s">
        <v>21</v>
      </c>
    </row>
    <row r="999469" spans="1:1" x14ac:dyDescent="0.3">
      <c r="A999469" s="14" t="s">
        <v>91</v>
      </c>
    </row>
    <row r="999470" spans="1:1" x14ac:dyDescent="0.3">
      <c r="A999470" s="14" t="s">
        <v>92</v>
      </c>
    </row>
    <row r="999471" spans="1:1" x14ac:dyDescent="0.3">
      <c r="A999471" s="14" t="s">
        <v>98</v>
      </c>
    </row>
    <row r="999472" spans="1:1" x14ac:dyDescent="0.3">
      <c r="A999472" s="14" t="s">
        <v>99</v>
      </c>
    </row>
    <row r="999473" spans="1:1" x14ac:dyDescent="0.3">
      <c r="A999473" s="13" t="s">
        <v>24</v>
      </c>
    </row>
    <row r="999474" spans="1:1" x14ac:dyDescent="0.3">
      <c r="A999474" s="13" t="s">
        <v>82</v>
      </c>
    </row>
    <row r="999475" spans="1:1" x14ac:dyDescent="0.3">
      <c r="A999475" s="13" t="s">
        <v>105</v>
      </c>
    </row>
    <row r="999476" spans="1:1" x14ac:dyDescent="0.3">
      <c r="A999476" s="13" t="s">
        <v>100</v>
      </c>
    </row>
    <row r="999477" spans="1:1" x14ac:dyDescent="0.3">
      <c r="A999477" s="13" t="s">
        <v>101</v>
      </c>
    </row>
    <row r="999478" spans="1:1" x14ac:dyDescent="0.3">
      <c r="A999478" s="13" t="s">
        <v>102</v>
      </c>
    </row>
    <row r="999479" spans="1:1" x14ac:dyDescent="0.3">
      <c r="A999479" s="13" t="s">
        <v>103</v>
      </c>
    </row>
    <row r="999480" spans="1:1" x14ac:dyDescent="0.3">
      <c r="A999480" s="13" t="s">
        <v>104</v>
      </c>
    </row>
    <row r="1015810" spans="1:1" x14ac:dyDescent="0.3">
      <c r="A1015810" s="13" t="s">
        <v>0</v>
      </c>
    </row>
    <row r="1015811" spans="1:1" x14ac:dyDescent="0.3">
      <c r="A1015811" s="13" t="s">
        <v>124</v>
      </c>
    </row>
    <row r="1015812" spans="1:1" x14ac:dyDescent="0.3">
      <c r="A1015812" s="13" t="s">
        <v>1</v>
      </c>
    </row>
    <row r="1015813" spans="1:1" x14ac:dyDescent="0.3">
      <c r="A1015813" s="13" t="s">
        <v>2</v>
      </c>
    </row>
    <row r="1015814" spans="1:1" x14ac:dyDescent="0.3">
      <c r="A1015814" s="14" t="s">
        <v>25</v>
      </c>
    </row>
    <row r="1015815" spans="1:1" x14ac:dyDescent="0.3">
      <c r="A1015815" s="13" t="s">
        <v>125</v>
      </c>
    </row>
    <row r="1015816" spans="1:1" x14ac:dyDescent="0.3">
      <c r="A1015816" s="13" t="s">
        <v>126</v>
      </c>
    </row>
    <row r="1015817" spans="1:1" x14ac:dyDescent="0.3">
      <c r="A1015817" s="13" t="s">
        <v>87</v>
      </c>
    </row>
    <row r="1015818" spans="1:1" x14ac:dyDescent="0.3">
      <c r="A1015818" s="13" t="s">
        <v>22</v>
      </c>
    </row>
    <row r="1015819" spans="1:1" x14ac:dyDescent="0.3">
      <c r="A1015819" s="13" t="s">
        <v>3</v>
      </c>
    </row>
    <row r="1015820" spans="1:1" x14ac:dyDescent="0.3">
      <c r="A1015820" s="15" t="s">
        <v>94</v>
      </c>
    </row>
    <row r="1015821" spans="1:1" x14ac:dyDescent="0.3">
      <c r="A1015821" s="15" t="s">
        <v>93</v>
      </c>
    </row>
    <row r="1015822" spans="1:1" x14ac:dyDescent="0.3">
      <c r="A1015822" s="15" t="s">
        <v>4</v>
      </c>
    </row>
    <row r="1015823" spans="1:1" x14ac:dyDescent="0.3">
      <c r="A1015823" s="15" t="s">
        <v>117</v>
      </c>
    </row>
    <row r="1015824" spans="1:1" x14ac:dyDescent="0.3">
      <c r="A1015824" s="15" t="s">
        <v>5</v>
      </c>
    </row>
    <row r="1015825" spans="1:1" x14ac:dyDescent="0.3">
      <c r="A1015825" s="15" t="s">
        <v>6</v>
      </c>
    </row>
    <row r="1015826" spans="1:1" x14ac:dyDescent="0.3">
      <c r="A1015826" s="15" t="s">
        <v>7</v>
      </c>
    </row>
    <row r="1015827" spans="1:1" x14ac:dyDescent="0.3">
      <c r="A1015827" s="15" t="s">
        <v>8</v>
      </c>
    </row>
    <row r="1015828" spans="1:1" x14ac:dyDescent="0.3">
      <c r="A1015828" s="15" t="s">
        <v>9</v>
      </c>
    </row>
    <row r="1015829" spans="1:1" x14ac:dyDescent="0.3">
      <c r="A1015829" s="15" t="s">
        <v>10</v>
      </c>
    </row>
    <row r="1015830" spans="1:1" x14ac:dyDescent="0.3">
      <c r="A1015830" s="15" t="s">
        <v>11</v>
      </c>
    </row>
    <row r="1015831" spans="1:1" x14ac:dyDescent="0.3">
      <c r="A1015831" s="15" t="s">
        <v>12</v>
      </c>
    </row>
    <row r="1015832" spans="1:1" x14ac:dyDescent="0.3">
      <c r="A1015832" s="15" t="s">
        <v>13</v>
      </c>
    </row>
    <row r="1015833" spans="1:1" x14ac:dyDescent="0.3">
      <c r="A1015833" s="15" t="s">
        <v>14</v>
      </c>
    </row>
    <row r="1015834" spans="1:1" x14ac:dyDescent="0.3">
      <c r="A1015834" s="13" t="s">
        <v>31</v>
      </c>
    </row>
    <row r="1015835" spans="1:1" x14ac:dyDescent="0.3">
      <c r="A1015835" s="13" t="s">
        <v>86</v>
      </c>
    </row>
    <row r="1015836" spans="1:1" x14ac:dyDescent="0.3">
      <c r="A1015836" s="15" t="s">
        <v>30</v>
      </c>
    </row>
    <row r="1015837" spans="1:1" x14ac:dyDescent="0.3">
      <c r="A1015837" s="15" t="s">
        <v>26</v>
      </c>
    </row>
    <row r="1015838" spans="1:1" x14ac:dyDescent="0.3">
      <c r="A1015838" s="15" t="s">
        <v>27</v>
      </c>
    </row>
    <row r="1015839" spans="1:1" x14ac:dyDescent="0.3">
      <c r="A1015839" s="15" t="s">
        <v>28</v>
      </c>
    </row>
    <row r="1015840" spans="1:1" x14ac:dyDescent="0.3">
      <c r="A1015840" s="15" t="s">
        <v>88</v>
      </c>
    </row>
    <row r="1015841" spans="1:1" x14ac:dyDescent="0.3">
      <c r="A1015841" s="15" t="s">
        <v>89</v>
      </c>
    </row>
    <row r="1015842" spans="1:1" x14ac:dyDescent="0.3">
      <c r="A1015842" s="15" t="s">
        <v>184</v>
      </c>
    </row>
    <row r="1015843" spans="1:1" x14ac:dyDescent="0.3">
      <c r="A1015843" s="15" t="s">
        <v>185</v>
      </c>
    </row>
    <row r="1015844" spans="1:1" x14ac:dyDescent="0.3">
      <c r="A1015844" s="15" t="s">
        <v>186</v>
      </c>
    </row>
    <row r="1015845" spans="1:1" x14ac:dyDescent="0.3">
      <c r="A1015845" s="15" t="s">
        <v>187</v>
      </c>
    </row>
    <row r="1015846" spans="1:1" x14ac:dyDescent="0.3">
      <c r="A1015846" s="15" t="s">
        <v>188</v>
      </c>
    </row>
    <row r="1015847" spans="1:1" x14ac:dyDescent="0.3">
      <c r="A1015847" s="15" t="s">
        <v>189</v>
      </c>
    </row>
    <row r="1015848" spans="1:1" x14ac:dyDescent="0.3">
      <c r="A1015848" s="15" t="s">
        <v>190</v>
      </c>
    </row>
    <row r="1015849" spans="1:1" x14ac:dyDescent="0.3">
      <c r="A1015849" s="14" t="s">
        <v>47</v>
      </c>
    </row>
    <row r="1015850" spans="1:1" x14ac:dyDescent="0.3">
      <c r="A1015850" s="14" t="s">
        <v>118</v>
      </c>
    </row>
    <row r="1015851" spans="1:1" x14ac:dyDescent="0.3">
      <c r="A1015851" s="14" t="s">
        <v>85</v>
      </c>
    </row>
    <row r="1015852" spans="1:1" x14ac:dyDescent="0.3">
      <c r="A1015852" s="13" t="s">
        <v>21</v>
      </c>
    </row>
    <row r="1015853" spans="1:1" x14ac:dyDescent="0.3">
      <c r="A1015853" s="14" t="s">
        <v>91</v>
      </c>
    </row>
    <row r="1015854" spans="1:1" x14ac:dyDescent="0.3">
      <c r="A1015854" s="14" t="s">
        <v>92</v>
      </c>
    </row>
    <row r="1015855" spans="1:1" x14ac:dyDescent="0.3">
      <c r="A1015855" s="14" t="s">
        <v>98</v>
      </c>
    </row>
    <row r="1015856" spans="1:1" x14ac:dyDescent="0.3">
      <c r="A1015856" s="14" t="s">
        <v>99</v>
      </c>
    </row>
    <row r="1015857" spans="1:1" x14ac:dyDescent="0.3">
      <c r="A1015857" s="13" t="s">
        <v>24</v>
      </c>
    </row>
    <row r="1015858" spans="1:1" x14ac:dyDescent="0.3">
      <c r="A1015858" s="13" t="s">
        <v>82</v>
      </c>
    </row>
    <row r="1015859" spans="1:1" x14ac:dyDescent="0.3">
      <c r="A1015859" s="13" t="s">
        <v>105</v>
      </c>
    </row>
    <row r="1015860" spans="1:1" x14ac:dyDescent="0.3">
      <c r="A1015860" s="13" t="s">
        <v>100</v>
      </c>
    </row>
    <row r="1015861" spans="1:1" x14ac:dyDescent="0.3">
      <c r="A1015861" s="13" t="s">
        <v>101</v>
      </c>
    </row>
    <row r="1015862" spans="1:1" x14ac:dyDescent="0.3">
      <c r="A1015862" s="13" t="s">
        <v>102</v>
      </c>
    </row>
    <row r="1015863" spans="1:1" x14ac:dyDescent="0.3">
      <c r="A1015863" s="13" t="s">
        <v>103</v>
      </c>
    </row>
    <row r="1015864" spans="1:1" x14ac:dyDescent="0.3">
      <c r="A1015864" s="13" t="s">
        <v>104</v>
      </c>
    </row>
    <row r="1032194" spans="1:1" x14ac:dyDescent="0.3">
      <c r="A1032194" s="13" t="s">
        <v>0</v>
      </c>
    </row>
    <row r="1032195" spans="1:1" x14ac:dyDescent="0.3">
      <c r="A1032195" s="13" t="s">
        <v>124</v>
      </c>
    </row>
    <row r="1032196" spans="1:1" x14ac:dyDescent="0.3">
      <c r="A1032196" s="13" t="s">
        <v>1</v>
      </c>
    </row>
    <row r="1032197" spans="1:1" x14ac:dyDescent="0.3">
      <c r="A1032197" s="13" t="s">
        <v>2</v>
      </c>
    </row>
    <row r="1032198" spans="1:1" x14ac:dyDescent="0.3">
      <c r="A1032198" s="14" t="s">
        <v>25</v>
      </c>
    </row>
    <row r="1032199" spans="1:1" x14ac:dyDescent="0.3">
      <c r="A1032199" s="13" t="s">
        <v>125</v>
      </c>
    </row>
    <row r="1032200" spans="1:1" x14ac:dyDescent="0.3">
      <c r="A1032200" s="13" t="s">
        <v>126</v>
      </c>
    </row>
    <row r="1032201" spans="1:1" x14ac:dyDescent="0.3">
      <c r="A1032201" s="13" t="s">
        <v>87</v>
      </c>
    </row>
    <row r="1032202" spans="1:1" x14ac:dyDescent="0.3">
      <c r="A1032202" s="13" t="s">
        <v>22</v>
      </c>
    </row>
    <row r="1032203" spans="1:1" x14ac:dyDescent="0.3">
      <c r="A1032203" s="13" t="s">
        <v>3</v>
      </c>
    </row>
    <row r="1032204" spans="1:1" x14ac:dyDescent="0.3">
      <c r="A1032204" s="15" t="s">
        <v>94</v>
      </c>
    </row>
    <row r="1032205" spans="1:1" x14ac:dyDescent="0.3">
      <c r="A1032205" s="15" t="s">
        <v>93</v>
      </c>
    </row>
    <row r="1032206" spans="1:1" x14ac:dyDescent="0.3">
      <c r="A1032206" s="15" t="s">
        <v>4</v>
      </c>
    </row>
    <row r="1032207" spans="1:1" x14ac:dyDescent="0.3">
      <c r="A1032207" s="15" t="s">
        <v>117</v>
      </c>
    </row>
    <row r="1032208" spans="1:1" x14ac:dyDescent="0.3">
      <c r="A1032208" s="15" t="s">
        <v>5</v>
      </c>
    </row>
    <row r="1032209" spans="1:1" x14ac:dyDescent="0.3">
      <c r="A1032209" s="15" t="s">
        <v>6</v>
      </c>
    </row>
    <row r="1032210" spans="1:1" x14ac:dyDescent="0.3">
      <c r="A1032210" s="15" t="s">
        <v>7</v>
      </c>
    </row>
    <row r="1032211" spans="1:1" x14ac:dyDescent="0.3">
      <c r="A1032211" s="15" t="s">
        <v>8</v>
      </c>
    </row>
    <row r="1032212" spans="1:1" x14ac:dyDescent="0.3">
      <c r="A1032212" s="15" t="s">
        <v>9</v>
      </c>
    </row>
    <row r="1032213" spans="1:1" x14ac:dyDescent="0.3">
      <c r="A1032213" s="15" t="s">
        <v>10</v>
      </c>
    </row>
    <row r="1032214" spans="1:1" x14ac:dyDescent="0.3">
      <c r="A1032214" s="15" t="s">
        <v>11</v>
      </c>
    </row>
    <row r="1032215" spans="1:1" x14ac:dyDescent="0.3">
      <c r="A1032215" s="15" t="s">
        <v>12</v>
      </c>
    </row>
    <row r="1032216" spans="1:1" x14ac:dyDescent="0.3">
      <c r="A1032216" s="15" t="s">
        <v>13</v>
      </c>
    </row>
    <row r="1032217" spans="1:1" x14ac:dyDescent="0.3">
      <c r="A1032217" s="15" t="s">
        <v>14</v>
      </c>
    </row>
    <row r="1032218" spans="1:1" x14ac:dyDescent="0.3">
      <c r="A1032218" s="13" t="s">
        <v>31</v>
      </c>
    </row>
    <row r="1032219" spans="1:1" x14ac:dyDescent="0.3">
      <c r="A1032219" s="13" t="s">
        <v>86</v>
      </c>
    </row>
    <row r="1032220" spans="1:1" x14ac:dyDescent="0.3">
      <c r="A1032220" s="15" t="s">
        <v>30</v>
      </c>
    </row>
    <row r="1032221" spans="1:1" x14ac:dyDescent="0.3">
      <c r="A1032221" s="15" t="s">
        <v>26</v>
      </c>
    </row>
    <row r="1032222" spans="1:1" x14ac:dyDescent="0.3">
      <c r="A1032222" s="15" t="s">
        <v>27</v>
      </c>
    </row>
    <row r="1032223" spans="1:1" x14ac:dyDescent="0.3">
      <c r="A1032223" s="15" t="s">
        <v>28</v>
      </c>
    </row>
    <row r="1032224" spans="1:1" x14ac:dyDescent="0.3">
      <c r="A1032224" s="15" t="s">
        <v>88</v>
      </c>
    </row>
    <row r="1032225" spans="1:1" x14ac:dyDescent="0.3">
      <c r="A1032225" s="15" t="s">
        <v>89</v>
      </c>
    </row>
    <row r="1032226" spans="1:1" x14ac:dyDescent="0.3">
      <c r="A1032226" s="15" t="s">
        <v>184</v>
      </c>
    </row>
    <row r="1032227" spans="1:1" x14ac:dyDescent="0.3">
      <c r="A1032227" s="15" t="s">
        <v>185</v>
      </c>
    </row>
    <row r="1032228" spans="1:1" x14ac:dyDescent="0.3">
      <c r="A1032228" s="15" t="s">
        <v>186</v>
      </c>
    </row>
    <row r="1032229" spans="1:1" x14ac:dyDescent="0.3">
      <c r="A1032229" s="15" t="s">
        <v>187</v>
      </c>
    </row>
    <row r="1032230" spans="1:1" x14ac:dyDescent="0.3">
      <c r="A1032230" s="15" t="s">
        <v>188</v>
      </c>
    </row>
    <row r="1032231" spans="1:1" x14ac:dyDescent="0.3">
      <c r="A1032231" s="15" t="s">
        <v>189</v>
      </c>
    </row>
    <row r="1032232" spans="1:1" x14ac:dyDescent="0.3">
      <c r="A1032232" s="15" t="s">
        <v>190</v>
      </c>
    </row>
    <row r="1032233" spans="1:1" x14ac:dyDescent="0.3">
      <c r="A1032233" s="14" t="s">
        <v>47</v>
      </c>
    </row>
    <row r="1032234" spans="1:1" x14ac:dyDescent="0.3">
      <c r="A1032234" s="14" t="s">
        <v>118</v>
      </c>
    </row>
    <row r="1032235" spans="1:1" x14ac:dyDescent="0.3">
      <c r="A1032235" s="14" t="s">
        <v>85</v>
      </c>
    </row>
    <row r="1032236" spans="1:1" x14ac:dyDescent="0.3">
      <c r="A1032236" s="13" t="s">
        <v>21</v>
      </c>
    </row>
    <row r="1032237" spans="1:1" x14ac:dyDescent="0.3">
      <c r="A1032237" s="14" t="s">
        <v>91</v>
      </c>
    </row>
    <row r="1032238" spans="1:1" x14ac:dyDescent="0.3">
      <c r="A1032238" s="14" t="s">
        <v>92</v>
      </c>
    </row>
    <row r="1032239" spans="1:1" x14ac:dyDescent="0.3">
      <c r="A1032239" s="14" t="s">
        <v>98</v>
      </c>
    </row>
    <row r="1032240" spans="1:1" x14ac:dyDescent="0.3">
      <c r="A1032240" s="14" t="s">
        <v>99</v>
      </c>
    </row>
    <row r="1032241" spans="1:1" x14ac:dyDescent="0.3">
      <c r="A1032241" s="13" t="s">
        <v>24</v>
      </c>
    </row>
    <row r="1032242" spans="1:1" x14ac:dyDescent="0.3">
      <c r="A1032242" s="13" t="s">
        <v>82</v>
      </c>
    </row>
    <row r="1032243" spans="1:1" x14ac:dyDescent="0.3">
      <c r="A1032243" s="13" t="s">
        <v>105</v>
      </c>
    </row>
    <row r="1032244" spans="1:1" x14ac:dyDescent="0.3">
      <c r="A1032244" s="13" t="s">
        <v>100</v>
      </c>
    </row>
    <row r="1032245" spans="1:1" x14ac:dyDescent="0.3">
      <c r="A1032245" s="13" t="s">
        <v>101</v>
      </c>
    </row>
    <row r="1032246" spans="1:1" x14ac:dyDescent="0.3">
      <c r="A1032246" s="13" t="s">
        <v>102</v>
      </c>
    </row>
    <row r="1032247" spans="1:1" x14ac:dyDescent="0.3">
      <c r="A1032247" s="13" t="s">
        <v>103</v>
      </c>
    </row>
    <row r="1032248" spans="1:1" x14ac:dyDescent="0.3">
      <c r="A1032248" s="13" t="s">
        <v>104</v>
      </c>
    </row>
    <row r="1032249" spans="1:1" x14ac:dyDescent="0.3">
      <c r="A1032249" s="3" t="s">
        <v>381</v>
      </c>
    </row>
    <row r="1032250" spans="1:1" x14ac:dyDescent="0.3">
      <c r="A1032250" s="3" t="s">
        <v>382</v>
      </c>
    </row>
    <row r="1032251" spans="1:1" x14ac:dyDescent="0.3">
      <c r="A1032251" s="3" t="s">
        <v>383</v>
      </c>
    </row>
    <row r="1032252" spans="1:1" x14ac:dyDescent="0.3">
      <c r="A1032252" s="3" t="s">
        <v>384</v>
      </c>
    </row>
    <row r="1032253" spans="1:1" x14ac:dyDescent="0.3">
      <c r="A1032253" s="3" t="s">
        <v>385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NutritionalData</vt:lpstr>
      <vt:lpstr>researchMeasures</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2021-06-13T14:28:38Z</dcterms:modified>
</cp:coreProperties>
</file>