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DFF700C6-C65A-4EDB-9006-D044FD383125}"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Sheet1" sheetId="7" r:id="rId3"/>
    <sheet name="dataDictionary" sheetId="5" r:id="rId4"/>
    <sheet name="vacationRedondo" sheetId="6" r:id="rId5"/>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264" i="1" l="1"/>
  <c r="AG264" i="1"/>
  <c r="AF264" i="1"/>
  <c r="AE264" i="1"/>
  <c r="AD264" i="1"/>
  <c r="AC264" i="1"/>
  <c r="AI264" i="1" s="1"/>
  <c r="AB264" i="1"/>
  <c r="C622" i="4"/>
  <c r="D622" i="4"/>
  <c r="E622" i="4"/>
  <c r="F622" i="4"/>
  <c r="G622" i="4"/>
  <c r="H622" i="4"/>
  <c r="B622" i="4"/>
  <c r="AJ264" i="1"/>
  <c r="L264" i="1"/>
  <c r="M264" i="1"/>
  <c r="AI263" i="1"/>
  <c r="AJ263" i="1"/>
  <c r="AK263" i="1"/>
  <c r="AL263" i="1"/>
  <c r="AM263" i="1"/>
  <c r="AN263" i="1"/>
  <c r="AH263" i="1"/>
  <c r="AG263" i="1"/>
  <c r="AF263" i="1"/>
  <c r="AE263" i="1"/>
  <c r="AD263" i="1"/>
  <c r="AC263" i="1"/>
  <c r="AB263" i="1"/>
  <c r="AH262" i="1"/>
  <c r="AG262" i="1"/>
  <c r="AF262" i="1"/>
  <c r="AE262" i="1"/>
  <c r="AD262" i="1"/>
  <c r="AC262" i="1"/>
  <c r="AB262" i="1"/>
  <c r="L263" i="1"/>
  <c r="M263" i="1"/>
  <c r="C620" i="4"/>
  <c r="D620" i="4"/>
  <c r="E620" i="4"/>
  <c r="F620" i="4"/>
  <c r="G620" i="4"/>
  <c r="H620" i="4"/>
  <c r="B620" i="4"/>
  <c r="L262" i="1"/>
  <c r="M262" i="1"/>
  <c r="AH261" i="1"/>
  <c r="AG261" i="1"/>
  <c r="AF261" i="1"/>
  <c r="AE261" i="1"/>
  <c r="AD261" i="1"/>
  <c r="AC261" i="1"/>
  <c r="AB261" i="1"/>
  <c r="AH260" i="1"/>
  <c r="AG260" i="1"/>
  <c r="AI259" i="1"/>
  <c r="AI260" i="1"/>
  <c r="AE260" i="1"/>
  <c r="AK260" i="1" s="1"/>
  <c r="AD260" i="1"/>
  <c r="AC260" i="1"/>
  <c r="AB260" i="1"/>
  <c r="AH259" i="1"/>
  <c r="AG259" i="1"/>
  <c r="AF259" i="1"/>
  <c r="AL259" i="1" s="1"/>
  <c r="AE259" i="1"/>
  <c r="AD259" i="1"/>
  <c r="AJ259" i="1" s="1"/>
  <c r="AC259" i="1"/>
  <c r="AB259" i="1"/>
  <c r="AF260" i="1"/>
  <c r="AK259" i="1"/>
  <c r="AM259" i="1"/>
  <c r="AN259" i="1"/>
  <c r="L261" i="1"/>
  <c r="M261" i="1"/>
  <c r="L260" i="1"/>
  <c r="M260" i="1"/>
  <c r="L259" i="1"/>
  <c r="M259" i="1"/>
  <c r="AH256" i="1"/>
  <c r="AG256" i="1"/>
  <c r="AF256" i="1"/>
  <c r="AE256" i="1"/>
  <c r="AK256" i="1" s="1"/>
  <c r="AD256" i="1"/>
  <c r="AC256" i="1"/>
  <c r="AB256" i="1"/>
  <c r="AH258" i="1"/>
  <c r="AG258" i="1"/>
  <c r="AF258" i="1"/>
  <c r="AE258" i="1"/>
  <c r="AD258" i="1"/>
  <c r="AC258" i="1"/>
  <c r="AB258" i="1"/>
  <c r="AK258" i="1" s="1"/>
  <c r="AH257" i="1"/>
  <c r="AG257" i="1"/>
  <c r="AF257" i="1"/>
  <c r="AE257" i="1"/>
  <c r="AK257" i="1" s="1"/>
  <c r="AD257" i="1"/>
  <c r="AC257" i="1"/>
  <c r="AI257" i="1" s="1"/>
  <c r="AB257" i="1"/>
  <c r="AI256" i="1"/>
  <c r="AL256" i="1"/>
  <c r="AM256" i="1"/>
  <c r="AN256" i="1"/>
  <c r="AJ257" i="1"/>
  <c r="AL257" i="1"/>
  <c r="AN257" i="1"/>
  <c r="AJ258" i="1"/>
  <c r="L258" i="1"/>
  <c r="L257" i="1"/>
  <c r="M257" i="1"/>
  <c r="L256" i="1"/>
  <c r="M256" i="1"/>
  <c r="AI255" i="1"/>
  <c r="AJ255" i="1"/>
  <c r="AK255" i="1"/>
  <c r="AL255" i="1"/>
  <c r="AM255" i="1"/>
  <c r="AN255" i="1"/>
  <c r="AH255" i="1"/>
  <c r="AG255" i="1"/>
  <c r="AF255" i="1"/>
  <c r="AE255" i="1"/>
  <c r="AD255" i="1"/>
  <c r="AC255" i="1"/>
  <c r="AB255" i="1"/>
  <c r="L255" i="1"/>
  <c r="M255" i="1"/>
  <c r="AH254" i="1"/>
  <c r="AN254" i="1" s="1"/>
  <c r="AG254" i="1"/>
  <c r="AF254" i="1"/>
  <c r="AE254" i="1"/>
  <c r="AK254" i="1" s="1"/>
  <c r="AD254" i="1"/>
  <c r="AC254" i="1"/>
  <c r="AB254" i="1"/>
  <c r="AL254" i="1"/>
  <c r="L254" i="1"/>
  <c r="M254" i="1"/>
  <c r="AH253" i="1"/>
  <c r="AG253" i="1"/>
  <c r="AF253" i="1"/>
  <c r="AE253" i="1"/>
  <c r="AD253" i="1"/>
  <c r="AC253" i="1"/>
  <c r="AI253" i="1" s="1"/>
  <c r="AB253" i="1"/>
  <c r="AK253" i="1"/>
  <c r="AI252" i="1"/>
  <c r="AJ252" i="1"/>
  <c r="AK252" i="1"/>
  <c r="AL252" i="1"/>
  <c r="AM252" i="1"/>
  <c r="AN252" i="1"/>
  <c r="AH252" i="1"/>
  <c r="AG252" i="1"/>
  <c r="AF252" i="1"/>
  <c r="AE252" i="1"/>
  <c r="AD252" i="1"/>
  <c r="AC252" i="1"/>
  <c r="AB252" i="1"/>
  <c r="M253" i="1" s="1"/>
  <c r="C599" i="4"/>
  <c r="D599" i="4"/>
  <c r="E599" i="4"/>
  <c r="F599" i="4"/>
  <c r="G599" i="4"/>
  <c r="H599" i="4"/>
  <c r="B599" i="4"/>
  <c r="L253" i="1"/>
  <c r="L252" i="1"/>
  <c r="M252" i="1"/>
  <c r="AS251" i="1"/>
  <c r="AI251" i="1"/>
  <c r="AJ251" i="1"/>
  <c r="AK251" i="1"/>
  <c r="AL251" i="1"/>
  <c r="AM251" i="1"/>
  <c r="AN251" i="1"/>
  <c r="AH251" i="1"/>
  <c r="AG251" i="1"/>
  <c r="AF251" i="1"/>
  <c r="AE251" i="1"/>
  <c r="AD251" i="1"/>
  <c r="AC251" i="1"/>
  <c r="AB251" i="1"/>
  <c r="L251" i="1"/>
  <c r="M251" i="1"/>
  <c r="AH250" i="1"/>
  <c r="AG250" i="1"/>
  <c r="AM250" i="1" s="1"/>
  <c r="AF250" i="1"/>
  <c r="AE250" i="1"/>
  <c r="AD250" i="1"/>
  <c r="AC250" i="1"/>
  <c r="AB250" i="1"/>
  <c r="AS250" i="1"/>
  <c r="AJ250" i="1"/>
  <c r="AK250" i="1"/>
  <c r="AL250" i="1"/>
  <c r="AN250" i="1"/>
  <c r="AH249" i="1"/>
  <c r="AG249" i="1"/>
  <c r="AM249" i="1" s="1"/>
  <c r="AF249" i="1"/>
  <c r="AL249" i="1" s="1"/>
  <c r="AE249" i="1"/>
  <c r="AD249" i="1"/>
  <c r="AC249" i="1"/>
  <c r="AI249" i="1" s="1"/>
  <c r="AB249" i="1"/>
  <c r="AN249" i="1" s="1"/>
  <c r="L250" i="1"/>
  <c r="M250" i="1"/>
  <c r="AH248" i="1"/>
  <c r="AG248" i="1"/>
  <c r="AF248" i="1"/>
  <c r="AE248" i="1"/>
  <c r="AD248" i="1"/>
  <c r="AC248" i="1"/>
  <c r="AB248" i="1"/>
  <c r="AJ248" i="1" s="1"/>
  <c r="AJ249" i="1"/>
  <c r="AK249" i="1"/>
  <c r="L249" i="1"/>
  <c r="L248" i="1"/>
  <c r="M248" i="1"/>
  <c r="AH247" i="1"/>
  <c r="AG247" i="1"/>
  <c r="AF247" i="1"/>
  <c r="AE247" i="1"/>
  <c r="AD247" i="1"/>
  <c r="AC247" i="1"/>
  <c r="AB247" i="1"/>
  <c r="AU247" i="1"/>
  <c r="AD246" i="1"/>
  <c r="L247" i="1"/>
  <c r="M247" i="1"/>
  <c r="AH246" i="1"/>
  <c r="AG246" i="1"/>
  <c r="AF246" i="1"/>
  <c r="AE246" i="1"/>
  <c r="AC246" i="1"/>
  <c r="AB246" i="1"/>
  <c r="AI245" i="1"/>
  <c r="AJ245" i="1"/>
  <c r="AK245" i="1"/>
  <c r="AL245" i="1"/>
  <c r="AM245" i="1"/>
  <c r="AN245" i="1"/>
  <c r="AH245" i="1"/>
  <c r="AG245" i="1"/>
  <c r="AF245" i="1"/>
  <c r="AE245" i="1"/>
  <c r="AD245" i="1"/>
  <c r="AC245" i="1"/>
  <c r="AB245" i="1"/>
  <c r="M246" i="1" s="1"/>
  <c r="L246" i="1"/>
  <c r="L245" i="1"/>
  <c r="M245" i="1"/>
  <c r="AH244" i="1"/>
  <c r="AG244" i="1"/>
  <c r="AM244" i="1" s="1"/>
  <c r="AF244" i="1"/>
  <c r="AL244" i="1" s="1"/>
  <c r="AE244" i="1"/>
  <c r="AD244" i="1"/>
  <c r="AJ244" i="1" s="1"/>
  <c r="AC244" i="1"/>
  <c r="AI244" i="1" s="1"/>
  <c r="AB244" i="1"/>
  <c r="AN264" i="1" l="1"/>
  <c r="AM264" i="1"/>
  <c r="AL264" i="1"/>
  <c r="AK264" i="1"/>
  <c r="AK262" i="1"/>
  <c r="AL262" i="1"/>
  <c r="AJ262" i="1"/>
  <c r="AI262" i="1"/>
  <c r="AN262" i="1"/>
  <c r="AM262" i="1"/>
  <c r="AI261" i="1"/>
  <c r="AM261" i="1"/>
  <c r="AL261" i="1"/>
  <c r="AN261" i="1"/>
  <c r="AK261" i="1"/>
  <c r="AJ261" i="1"/>
  <c r="AN260" i="1"/>
  <c r="AJ260" i="1"/>
  <c r="AM260" i="1"/>
  <c r="AL260" i="1"/>
  <c r="AJ256" i="1"/>
  <c r="AI258" i="1"/>
  <c r="AN258" i="1"/>
  <c r="AM258" i="1"/>
  <c r="AL258" i="1"/>
  <c r="AM257" i="1"/>
  <c r="M258" i="1"/>
  <c r="AI254" i="1"/>
  <c r="AJ254" i="1"/>
  <c r="AM254" i="1"/>
  <c r="AM253" i="1"/>
  <c r="AJ253" i="1"/>
  <c r="AL253" i="1"/>
  <c r="AN253" i="1"/>
  <c r="AI250" i="1"/>
  <c r="AN248" i="1"/>
  <c r="AL248" i="1"/>
  <c r="AI248" i="1"/>
  <c r="M249" i="1"/>
  <c r="AM248" i="1"/>
  <c r="AK248" i="1"/>
  <c r="AI247" i="1"/>
  <c r="AN247" i="1"/>
  <c r="AK247" i="1"/>
  <c r="AJ247" i="1"/>
  <c r="AM247" i="1"/>
  <c r="AL247" i="1"/>
  <c r="AM246" i="1"/>
  <c r="AJ246" i="1"/>
  <c r="AI246" i="1"/>
  <c r="AK246" i="1"/>
  <c r="AN246" i="1"/>
  <c r="AL246" i="1"/>
  <c r="AK244" i="1"/>
  <c r="AN244" i="1"/>
  <c r="L244" i="1"/>
  <c r="M244" i="1"/>
  <c r="AH243" i="1"/>
  <c r="AG243" i="1"/>
  <c r="AF243" i="1"/>
  <c r="AE243" i="1"/>
  <c r="AD243" i="1"/>
  <c r="AC243" i="1"/>
  <c r="AI243" i="1" s="1"/>
  <c r="AB243" i="1"/>
  <c r="AU243" i="1"/>
  <c r="AJ243" i="1"/>
  <c r="L243" i="1"/>
  <c r="M243" i="1"/>
  <c r="AI242" i="1"/>
  <c r="AJ242" i="1"/>
  <c r="AK242" i="1"/>
  <c r="AL242" i="1"/>
  <c r="AM242" i="1"/>
  <c r="AN242" i="1"/>
  <c r="AH242" i="1"/>
  <c r="AG242" i="1"/>
  <c r="AF242" i="1"/>
  <c r="AE242" i="1"/>
  <c r="AD242" i="1"/>
  <c r="AC242" i="1"/>
  <c r="AB242" i="1"/>
  <c r="L242" i="1"/>
  <c r="M242" i="1"/>
  <c r="AH241" i="1"/>
  <c r="AG241" i="1"/>
  <c r="AF241" i="1"/>
  <c r="AE241" i="1"/>
  <c r="AD241" i="1"/>
  <c r="AC241" i="1"/>
  <c r="AB241" i="1"/>
  <c r="L241" i="1"/>
  <c r="M241" i="1"/>
  <c r="AH240" i="1"/>
  <c r="AG240" i="1"/>
  <c r="AF240" i="1"/>
  <c r="AE240" i="1"/>
  <c r="AD240" i="1"/>
  <c r="AC240" i="1"/>
  <c r="AB240" i="1"/>
  <c r="AK240" i="1" s="1"/>
  <c r="AI240" i="1"/>
  <c r="AJ240" i="1"/>
  <c r="AN240" i="1"/>
  <c r="L240" i="1"/>
  <c r="M240" i="1"/>
  <c r="AH239" i="1"/>
  <c r="AN239" i="1" s="1"/>
  <c r="AG239" i="1"/>
  <c r="AE239" i="1"/>
  <c r="AF239" i="1"/>
  <c r="AC239" i="1"/>
  <c r="AB239" i="1"/>
  <c r="AD239" i="1"/>
  <c r="AK239" i="1"/>
  <c r="AI239" i="1"/>
  <c r="AJ239" i="1"/>
  <c r="AM239" i="1"/>
  <c r="L239" i="1"/>
  <c r="M239" i="1"/>
  <c r="AI238" i="1"/>
  <c r="AJ238" i="1"/>
  <c r="AK238" i="1"/>
  <c r="AL238" i="1"/>
  <c r="AM238" i="1"/>
  <c r="AN238" i="1"/>
  <c r="AH238" i="1"/>
  <c r="AG238" i="1"/>
  <c r="AF238" i="1"/>
  <c r="AE238" i="1"/>
  <c r="AD238" i="1"/>
  <c r="AC238" i="1"/>
  <c r="AB238" i="1"/>
  <c r="L238" i="1"/>
  <c r="M238" i="1"/>
  <c r="AI237" i="1"/>
  <c r="AJ237" i="1"/>
  <c r="AK237" i="1"/>
  <c r="AL237" i="1"/>
  <c r="AM237" i="1"/>
  <c r="AN237" i="1"/>
  <c r="AH237" i="1"/>
  <c r="AG237" i="1"/>
  <c r="AF237" i="1"/>
  <c r="AE237" i="1"/>
  <c r="AD237" i="1"/>
  <c r="AC237" i="1"/>
  <c r="AB237" i="1"/>
  <c r="L237" i="1"/>
  <c r="M237" i="1"/>
  <c r="AI236" i="1"/>
  <c r="AJ236" i="1"/>
  <c r="AK236" i="1"/>
  <c r="AL236" i="1"/>
  <c r="AM236" i="1"/>
  <c r="AN236" i="1"/>
  <c r="AH236" i="1"/>
  <c r="AG236" i="1"/>
  <c r="AF236" i="1"/>
  <c r="AE236" i="1"/>
  <c r="AD236" i="1"/>
  <c r="AC236" i="1"/>
  <c r="AB236" i="1"/>
  <c r="L236" i="1"/>
  <c r="M236" i="1"/>
  <c r="AH235" i="1"/>
  <c r="AG235" i="1"/>
  <c r="AF235" i="1"/>
  <c r="AE235" i="1"/>
  <c r="AD235" i="1"/>
  <c r="AC235" i="1"/>
  <c r="AB235" i="1"/>
  <c r="AI235" i="1"/>
  <c r="AJ235" i="1"/>
  <c r="L235" i="1"/>
  <c r="M235" i="1"/>
  <c r="AH234" i="1"/>
  <c r="AN234" i="1" s="1"/>
  <c r="AG234" i="1"/>
  <c r="AF234" i="1"/>
  <c r="AE234" i="1"/>
  <c r="AD234" i="1"/>
  <c r="AC234" i="1"/>
  <c r="AB234" i="1"/>
  <c r="AH233" i="1"/>
  <c r="AG233" i="1"/>
  <c r="AF233" i="1"/>
  <c r="AE233" i="1"/>
  <c r="AK233" i="1" s="1"/>
  <c r="AD233" i="1"/>
  <c r="AC233" i="1"/>
  <c r="AB233" i="1"/>
  <c r="AI234" i="1"/>
  <c r="AJ234" i="1"/>
  <c r="AK234" i="1"/>
  <c r="AL234" i="1"/>
  <c r="AM234" i="1"/>
  <c r="L234" i="1"/>
  <c r="AJ233" i="1"/>
  <c r="L233" i="1"/>
  <c r="M233" i="1"/>
  <c r="AH232" i="1"/>
  <c r="AG232" i="1"/>
  <c r="AF232" i="1"/>
  <c r="AE232" i="1"/>
  <c r="AD232" i="1"/>
  <c r="AC232" i="1"/>
  <c r="AB232" i="1"/>
  <c r="AN232" i="1" s="1"/>
  <c r="AI230" i="1"/>
  <c r="AJ230" i="1"/>
  <c r="AK230" i="1"/>
  <c r="AL230" i="1"/>
  <c r="AM230" i="1"/>
  <c r="AN230" i="1"/>
  <c r="AI231" i="1"/>
  <c r="AJ231" i="1"/>
  <c r="AK231" i="1"/>
  <c r="AL231" i="1"/>
  <c r="AM231" i="1"/>
  <c r="AN231" i="1"/>
  <c r="AM232" i="1"/>
  <c r="L232" i="1"/>
  <c r="M232" i="1"/>
  <c r="AH231" i="1"/>
  <c r="AG231" i="1"/>
  <c r="AF231" i="1"/>
  <c r="AE231" i="1"/>
  <c r="AD231" i="1"/>
  <c r="AC231" i="1"/>
  <c r="AB231" i="1"/>
  <c r="L231" i="1"/>
  <c r="M231" i="1"/>
  <c r="AH230" i="1"/>
  <c r="AG230" i="1"/>
  <c r="AF230" i="1"/>
  <c r="AE230" i="1"/>
  <c r="AD230" i="1"/>
  <c r="AC230" i="1"/>
  <c r="AB230" i="1"/>
  <c r="L230" i="1"/>
  <c r="M230" i="1"/>
  <c r="AH229" i="1"/>
  <c r="AG229" i="1"/>
  <c r="AF229" i="1"/>
  <c r="AE229" i="1"/>
  <c r="AK229" i="1" s="1"/>
  <c r="AD229" i="1"/>
  <c r="AC229" i="1"/>
  <c r="AI229" i="1" s="1"/>
  <c r="AB229" i="1"/>
  <c r="AJ229" i="1"/>
  <c r="AL229" i="1"/>
  <c r="AM229" i="1"/>
  <c r="AN229" i="1"/>
  <c r="C555" i="4"/>
  <c r="D555" i="4"/>
  <c r="E555" i="4"/>
  <c r="F555" i="4"/>
  <c r="G555" i="4"/>
  <c r="H555" i="4"/>
  <c r="B555" i="4"/>
  <c r="L229" i="1"/>
  <c r="M229" i="1"/>
  <c r="AI228" i="1"/>
  <c r="AJ228" i="1"/>
  <c r="AK228" i="1"/>
  <c r="AL228" i="1"/>
  <c r="AM228" i="1"/>
  <c r="AN228" i="1"/>
  <c r="AH228" i="1"/>
  <c r="AG228" i="1"/>
  <c r="AF228" i="1"/>
  <c r="AE228" i="1"/>
  <c r="AD228" i="1"/>
  <c r="AC228" i="1"/>
  <c r="AB228" i="1"/>
  <c r="L228" i="1"/>
  <c r="M228" i="1"/>
  <c r="AH227" i="1"/>
  <c r="AG227" i="1"/>
  <c r="AF227" i="1"/>
  <c r="AE227" i="1"/>
  <c r="AD227" i="1"/>
  <c r="AC227" i="1"/>
  <c r="AB227" i="1"/>
  <c r="M227" i="1"/>
  <c r="L227" i="1"/>
  <c r="AI226" i="1"/>
  <c r="AJ226" i="1"/>
  <c r="AK226" i="1"/>
  <c r="AL226" i="1"/>
  <c r="AM226" i="1"/>
  <c r="AN226" i="1"/>
  <c r="AH226" i="1"/>
  <c r="AG226" i="1"/>
  <c r="AF226" i="1"/>
  <c r="AE226" i="1"/>
  <c r="AD226" i="1"/>
  <c r="AC226" i="1"/>
  <c r="AB226" i="1"/>
  <c r="L226" i="1"/>
  <c r="M226" i="1"/>
  <c r="AC221" i="1"/>
  <c r="AH225" i="1"/>
  <c r="AG225" i="1"/>
  <c r="AM225" i="1" s="1"/>
  <c r="AF225" i="1"/>
  <c r="AE225" i="1"/>
  <c r="AD225" i="1"/>
  <c r="AC225" i="1"/>
  <c r="AB225" i="1"/>
  <c r="L225" i="1"/>
  <c r="M225" i="1"/>
  <c r="AN225" i="1"/>
  <c r="H551" i="4"/>
  <c r="G551" i="4"/>
  <c r="F551" i="4"/>
  <c r="E551" i="4"/>
  <c r="D551" i="4"/>
  <c r="C551" i="4"/>
  <c r="B551" i="4"/>
  <c r="AI224" i="1"/>
  <c r="AJ224" i="1"/>
  <c r="AK224" i="1"/>
  <c r="AL224" i="1"/>
  <c r="AM224" i="1"/>
  <c r="AN224" i="1"/>
  <c r="AH224" i="1"/>
  <c r="AF224" i="1"/>
  <c r="AG224" i="1"/>
  <c r="AE224" i="1"/>
  <c r="AD224" i="1"/>
  <c r="AC224" i="1"/>
  <c r="AB224" i="1"/>
  <c r="C550" i="4"/>
  <c r="D550" i="4"/>
  <c r="E550" i="4"/>
  <c r="F550" i="4"/>
  <c r="G550" i="4"/>
  <c r="H550" i="4"/>
  <c r="B550" i="4"/>
  <c r="L224" i="1"/>
  <c r="M224" i="1"/>
  <c r="AH223" i="1"/>
  <c r="AG223" i="1"/>
  <c r="AF223" i="1"/>
  <c r="AE223" i="1"/>
  <c r="AD223" i="1"/>
  <c r="AJ223" i="1" s="1"/>
  <c r="AC223" i="1"/>
  <c r="AB223" i="1"/>
  <c r="C545" i="4"/>
  <c r="D545" i="4"/>
  <c r="E545" i="4"/>
  <c r="F545" i="4"/>
  <c r="G545" i="4"/>
  <c r="H545" i="4"/>
  <c r="B545" i="4"/>
  <c r="L223" i="1"/>
  <c r="M223" i="1"/>
  <c r="AI222" i="1"/>
  <c r="AJ222" i="1"/>
  <c r="AK222" i="1"/>
  <c r="AL222" i="1"/>
  <c r="AM222" i="1"/>
  <c r="AN222" i="1"/>
  <c r="AH222" i="1"/>
  <c r="AG222" i="1"/>
  <c r="AF222" i="1"/>
  <c r="AE222" i="1"/>
  <c r="AD222" i="1"/>
  <c r="AC222" i="1"/>
  <c r="AB222" i="1"/>
  <c r="L222" i="1"/>
  <c r="M222" i="1"/>
  <c r="AI221" i="1"/>
  <c r="AJ221" i="1"/>
  <c r="AK221" i="1"/>
  <c r="AL221" i="1"/>
  <c r="AM221" i="1"/>
  <c r="AN221" i="1"/>
  <c r="AH221" i="1"/>
  <c r="AG221" i="1"/>
  <c r="AF221" i="1"/>
  <c r="AE221" i="1"/>
  <c r="AD221" i="1"/>
  <c r="AB221" i="1"/>
  <c r="L221" i="1"/>
  <c r="M221" i="1"/>
  <c r="AI220" i="1"/>
  <c r="AJ220" i="1"/>
  <c r="AK220" i="1"/>
  <c r="AL220" i="1"/>
  <c r="AM220" i="1"/>
  <c r="AN220" i="1"/>
  <c r="AH220" i="1"/>
  <c r="AG220" i="1"/>
  <c r="AF220" i="1"/>
  <c r="AE220" i="1"/>
  <c r="AD220" i="1"/>
  <c r="AC220" i="1"/>
  <c r="AB220" i="1"/>
  <c r="L220" i="1"/>
  <c r="M220" i="1"/>
  <c r="AH219" i="1"/>
  <c r="AF219" i="1"/>
  <c r="AE219" i="1"/>
  <c r="AD219" i="1"/>
  <c r="AC219" i="1"/>
  <c r="AB219" i="1"/>
  <c r="AN219" i="1" s="1"/>
  <c r="AG219" i="1"/>
  <c r="AI218" i="1"/>
  <c r="AJ218" i="1"/>
  <c r="AK218" i="1"/>
  <c r="AL218" i="1"/>
  <c r="AM218" i="1"/>
  <c r="AN218" i="1"/>
  <c r="AH218" i="1"/>
  <c r="AG218" i="1"/>
  <c r="AF218" i="1"/>
  <c r="AE218" i="1"/>
  <c r="AD218" i="1"/>
  <c r="AC218" i="1"/>
  <c r="AB218" i="1"/>
  <c r="M219" i="1" s="1"/>
  <c r="L219" i="1"/>
  <c r="L218" i="1"/>
  <c r="M218" i="1"/>
  <c r="AI217" i="1"/>
  <c r="AJ217" i="1"/>
  <c r="AK217" i="1"/>
  <c r="AL217" i="1"/>
  <c r="AM217" i="1"/>
  <c r="AN217" i="1"/>
  <c r="AH217" i="1"/>
  <c r="AG217" i="1"/>
  <c r="AF217" i="1"/>
  <c r="AE217" i="1"/>
  <c r="AD217" i="1"/>
  <c r="AC217" i="1"/>
  <c r="AB217" i="1"/>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N243" i="1" l="1"/>
  <c r="AK243" i="1"/>
  <c r="AM243" i="1"/>
  <c r="AL243" i="1"/>
  <c r="AN241" i="1"/>
  <c r="AI241" i="1"/>
  <c r="AM241" i="1"/>
  <c r="AL241" i="1"/>
  <c r="AK241" i="1"/>
  <c r="AJ241" i="1"/>
  <c r="AM240" i="1"/>
  <c r="AL240" i="1"/>
  <c r="AL239" i="1"/>
  <c r="AK235" i="1"/>
  <c r="AN235" i="1"/>
  <c r="AM235" i="1"/>
  <c r="AL235" i="1"/>
  <c r="AL233" i="1"/>
  <c r="AI233" i="1"/>
  <c r="M234" i="1"/>
  <c r="AM233" i="1"/>
  <c r="AN233" i="1"/>
  <c r="AK232" i="1"/>
  <c r="AL232" i="1"/>
  <c r="AJ232" i="1"/>
  <c r="AI232" i="1"/>
  <c r="AJ227" i="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<sst xmlns="http://schemas.openxmlformats.org/spreadsheetml/2006/main" count="5328" uniqueCount="1374">
  <si>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</si>
  <si>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</si>
  <si>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</si>
  <si>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</si>
  <si>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</si>
  <si>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</si>
  <si>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</si>
  <si>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</si>
  <si>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</si>
  <si>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</si>
  <si>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</si>
  <si>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</si>
  <si>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</si>
  <si>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</si>
  <si>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</si>
  <si>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</si>
  <si>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</si>
  <si>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</si>
  <si>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</si>
  <si>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</si>
  <si>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</si>
  <si>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</si>
  <si>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</si>
  <si>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</si>
  <si>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</si>
  <si>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</si>
  <si>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</si>
  <si>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</si>
  <si>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</si>
  <si>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</si>
  <si>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</si>
  <si>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</si>
  <si>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</si>
  <si>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</si>
  <si>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</si>
  <si>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</si>
  <si>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</si>
  <si>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</si>
  <si>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</si>
  <si>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</si>
  <si>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</si>
  <si>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</si>
  <si>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</si>
  <si>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</si>
  <si>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</si>
  <si>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</si>
  <si>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</si>
  <si>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</si>
  <si>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</si>
  <si>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</si>
  <si>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</si>
  <si>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</si>
  <si>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</si>
  <si>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</si>
  <si>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</si>
  <si>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</si>
  <si>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</si>
  <si>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</si>
  <si>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</si>
  <si>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</si>
  <si>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</si>
  <si>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</si>
  <si>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</si>
  <si>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</si>
  <si>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</si>
  <si>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</si>
  <si>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</si>
  <si>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</si>
  <si>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</si>
  <si>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</si>
  <si>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</si>
  <si>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</si>
  <si>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</si>
  <si>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</si>
  <si>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</si>
  <si>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</si>
  <si>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</si>
  <si>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</si>
  <si>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</si>
  <si>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</si>
  <si>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</si>
  <si>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</si>
  <si>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</si>
  <si>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</si>
  <si>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</si>
  <si>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</si>
  <si>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</si>
  <si>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</si>
  <si>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</si>
  <si>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</si>
  <si>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</si>
  <si>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</si>
  <si>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</si>
  <si>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</si>
  <si>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</si>
  <si>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</si>
  <si>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</si>
  <si>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</si>
  <si>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</si>
  <si>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</si>
  <si>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</si>
  <si>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</si>
  <si>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</si>
  <si>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</si>
  <si>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</si>
  <si>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</si>
  <si>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</si>
  <si>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</si>
  <si>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</si>
  <si>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</si>
  <si>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</si>
  <si>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</si>
  <si>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</si>
  <si>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</si>
  <si>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</si>
  <si>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</si>
  <si>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</si>
  <si>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</si>
  <si>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</si>
  <si>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</si>
  <si>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</si>
  <si>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</si>
  <si>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</si>
  <si>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</si>
  <si>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</si>
  <si>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</si>
  <si>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</si>
  <si>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</si>
  <si>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</si>
  <si>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</si>
  <si>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</si>
  <si>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</si>
  <si>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</si>
  <si>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</si>
  <si>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</si>
  <si>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</si>
  <si>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</si>
  <si>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</si>
  <si>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</si>
  <si>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</si>
  <si>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</si>
  <si>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</si>
  <si>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</si>
  <si>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</si>
  <si>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</si>
  <si>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</si>
  <si>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</si>
  <si>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</si>
  <si>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</si>
  <si>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</si>
  <si>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</si>
  <si>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</si>
  <si>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</si>
  <si>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</si>
  <si>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</si>
  <si>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</si>
  <si>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</si>
  <si>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</si>
  <si>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</si>
  <si>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</si>
  <si>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</si>
  <si>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</si>
  <si>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</si>
  <si>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</si>
  <si>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</si>
  <si>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</si>
  <si>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</si>
  <si>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</si>
  <si>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</si>
  <si>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</si>
  <si>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</si>
  <si>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</si>
  <si>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</si>
  <si>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</si>
  <si>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</si>
  <si>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</si>
  <si>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</si>
  <si>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</si>
  <si>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</si>
  <si>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</si>
  <si>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</si>
  <si>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</si>
  <si>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</si>
  <si>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</si>
  <si>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</si>
  <si>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</si>
  <si>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</si>
  <si>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</si>
  <si>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</si>
  <si>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</si>
  <si>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</si>
  <si>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</si>
  <si>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</si>
  <si>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</si>
  <si>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</si>
  <si>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</si>
  <si>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</si>
  <si>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</si>
  <si>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</si>
  <si>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</si>
  <si>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</si>
  <si>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</si>
  <si>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</si>
  <si>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</si>
  <si>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</si>
  <si>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</si>
  <si>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</si>
  <si>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</si>
  <si>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</si>
  <si>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</si>
  <si>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</si>
  <si>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</si>
  <si>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</si>
  <si>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</si>
  <si>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</si>
  <si>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</si>
  <si>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</si>
  <si>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</si>
  <si>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</si>
  <si>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</si>
  <si>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</si>
  <si>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</si>
  <si>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</si>
  <si>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</si>
  <si>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</si>
  <si>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</si>
  <si>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</si>
  <si>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</si>
  <si>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</si>
  <si>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</si>
  <si>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</si>
  <si>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</si>
  <si>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</si>
  <si>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</si>
  <si>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</si>
  <si>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</si>
  <si>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</si>
  <si>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</si>
  <si>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</si>
  <si>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</si>
  <si>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</si>
  <si>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</si>
  <si>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</si>
  <si>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</si>
  <si>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</si>
  <si>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</si>
  <si>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</si>
  <si>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</si>
  <si>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</si>
  <si>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</si>
  <si>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</si>
  <si>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</si>
  <si>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</si>
  <si>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</si>
  <si>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</si>
  <si>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</si>
  <si>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</si>
  <si>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</si>
  <si>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</si>
  <si>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</si>
  <si>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</si>
  <si>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</si>
  <si>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</si>
  <si>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</si>
  <si>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</si>
  <si>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</si>
  <si>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</si>
  <si>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</si>
  <si>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</si>
  <si>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</si>
  <si>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</si>
  <si>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</si>
  <si>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</si>
  <si>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</si>
  <si>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</si>
  <si>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</si>
  <si>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</si>
  <si>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</si>
  <si>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</si>
  <si>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</si>
  <si>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</si>
  <si>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</si>
  <si>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</si>
  <si>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</si>
  <si>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</si>
  <si>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</si>
  <si>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</si>
  <si>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</si>
  <si>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</si>
  <si>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</si>
  <si>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</si>
  <si>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</si>
  <si>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</si>
  <si>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</si>
  <si>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</si>
  <si>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</si>
  <si>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</si>
  <si>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</si>
  <si>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</si>
  <si>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</si>
  <si>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</si>
  <si>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</si>
  <si>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</si>
  <si>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</si>
  <si>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</si>
  <si>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</si>
  <si>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</si>
  <si>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</si>
  <si>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</si>
  <si>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</si>
  <si>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</si>
  <si>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</si>
  <si>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</si>
  <si>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</si>
  <si>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</si>
  <si>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</si>
  <si>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</si>
  <si>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</si>
  <si>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</si>
  <si>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</si>
  <si>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</si>
  <si>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</si>
  <si>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</si>
  <si>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</si>
  <si>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</si>
  <si>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</si>
  <si>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</si>
  <si>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</si>
  <si>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</si>
  <si>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</si>
  <si>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</si>
  <si>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</si>
  <si>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</si>
  <si>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</si>
  <si>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</si>
  <si>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</si>
  <si>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</si>
  <si>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</si>
  <si>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</si>
  <si>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</si>
  <si>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</si>
  <si>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</si>
  <si>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</si>
  <si>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</si>
  <si>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</si>
  <si>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</si>
  <si>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</si>
  <si>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</si>
  <si>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</si>
  <si>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</si>
  <si>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</si>
  <si>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</si>
  <si>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</si>
  <si>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</si>
  <si>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</si>
  <si>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</si>
  <si>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</si>
  <si>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</si>
  <si>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</si>
  <si>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</si>
  <si>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</si>
  <si>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</si>
  <si>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</si>
  <si>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</si>
  <si>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</si>
  <si>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</si>
  <si>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</si>
  <si>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</si>
  <si>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</si>
  <si>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</si>
  <si>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</si>
  <si>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</si>
  <si>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</si>
  <si>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</si>
  <si>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</si>
  <si>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</si>
  <si>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</si>
  <si>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</si>
  <si>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</si>
  <si>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</si>
  <si>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</si>
  <si>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</si>
  <si>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</si>
  <si>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</si>
  <si>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</si>
  <si>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</si>
  <si>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</si>
  <si>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</si>
  <si>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</si>
  <si>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</si>
  <si>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</si>
  <si>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</si>
  <si>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</si>
  <si>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</si>
  <si>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</si>
  <si>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</si>
  <si>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</si>
  <si>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</si>
  <si>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</si>
  <si>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</si>
  <si>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</si>
  <si>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</si>
  <si>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</si>
  <si>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</si>
  <si>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</si>
  <si>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</si>
  <si>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</si>
  <si>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</si>
  <si>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</si>
  <si>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</si>
  <si>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</si>
  <si>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</si>
  <si>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</si>
  <si>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</si>
  <si>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</si>
  <si>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</si>
  <si>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</si>
  <si>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</si>
  <si>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</si>
  <si>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</si>
  <si>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</si>
  <si>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</si>
  <si>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</si>
  <si>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</si>
  <si>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</si>
  <si>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</si>
  <si>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</si>
  <si>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</si>
  <si>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</si>
  <si>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</si>
  <si>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</si>
  <si>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</si>
  <si>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</si>
  <si>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</si>
  <si>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</si>
  <si>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</si>
  <si>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</si>
  <si>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</si>
  <si>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</si>
  <si>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</si>
  <si>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</si>
  <si>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</si>
  <si>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</si>
  <si>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</si>
  <si>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</si>
  <si>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</si>
  <si>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</si>
  <si>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</si>
  <si>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</si>
  <si>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</si>
  <si>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</si>
  <si>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</si>
  <si>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</si>
  <si>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</si>
  <si>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</si>
  <si>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</si>
  <si>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</si>
  <si>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</si>
  <si>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</si>
  <si>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</si>
  <si>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</si>
  <si>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</si>
  <si>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</si>
  <si>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</si>
  <si>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</si>
  <si>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</si>
  <si>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</si>
  <si>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</si>
  <si>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</si>
  <si>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</si>
  <si>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</si>
  <si>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</si>
  <si>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</si>
  <si>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</si>
  <si>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</si>
  <si>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</si>
  <si>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</si>
  <si>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</si>
  <si>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</si>
  <si>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</si>
  <si>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</si>
  <si>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</si>
  <si>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</si>
  <si>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</si>
  <si>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</si>
  <si>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</si>
  <si>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</si>
  <si>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</si>
  <si>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</si>
  <si>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</si>
  <si>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</si>
  <si>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</si>
  <si>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</si>
  <si>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</si>
  <si>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</si>
  <si>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</si>
  <si>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</si>
  <si>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</si>
  <si>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</si>
  <si>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</si>
  <si>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</si>
  <si>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</si>
  <si>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</si>
  <si>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</si>
  <si>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</si>
  <si>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</si>
  <si>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</si>
  <si>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</si>
  <si>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</si>
  <si>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</si>
  <si>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</si>
  <si>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</si>
  <si>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</si>
  <si>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</si>
  <si>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</si>
  <si>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</si>
  <si>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</si>
  <si>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</si>
  <si>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</si>
  <si>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</si>
  <si>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</si>
  <si>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</si>
  <si>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</si>
  <si>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</si>
  <si>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</si>
  <si>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</si>
  <si>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</si>
  <si>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</si>
  <si>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</si>
  <si>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</si>
  <si>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</si>
  <si>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</si>
  <si>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</si>
  <si>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</si>
  <si>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</si>
  <si>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</si>
  <si>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</si>
  <si>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</si>
  <si>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</si>
  <si>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</si>
  <si>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</si>
  <si>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</si>
  <si>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</si>
  <si>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</si>
  <si>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</si>
  <si>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</si>
  <si>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</si>
  <si>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</si>
  <si>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</si>
  <si>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</si>
  <si>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</si>
  <si>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</si>
  <si>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</si>
  <si>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</si>
  <si>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</si>
  <si>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</si>
  <si>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</si>
  <si>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</si>
  <si>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</si>
  <si>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</si>
  <si>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</si>
  <si>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</si>
  <si>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</si>
  <si>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</si>
  <si>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</si>
  <si>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</si>
  <si>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</si>
  <si>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</si>
  <si>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</si>
  <si>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</si>
  <si>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</si>
  <si>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</si>
  <si>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</si>
  <si>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</si>
  <si>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</si>
  <si>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</si>
  <si>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</si>
  <si>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</si>
  <si>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</si>
  <si>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</si>
  <si>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</si>
  <si>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</si>
  <si>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</si>
  <si>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</si>
  <si>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</si>
  <si>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</si>
  <si>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</si>
  <si>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</si>
  <si>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</si>
  <si>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</si>
  <si>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</si>
  <si>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</si>
  <si>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</si>
  <si>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</si>
  <si>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</si>
  <si>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</si>
  <si>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</si>
  <si>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</si>
  <si>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</si>
  <si>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</si>
  <si>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</si>
  <si>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</si>
  <si>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</si>
  <si>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</si>
  <si>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</si>
  <si>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</si>
  <si>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</si>
  <si>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</si>
  <si>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</si>
  <si>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</si>
  <si>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</si>
  <si>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</si>
  <si>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</si>
  <si>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</si>
  <si>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</si>
  <si>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</si>
  <si>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</si>
  <si>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</si>
  <si>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</si>
  <si>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</si>
  <si>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</si>
  <si>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</si>
  <si>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</si>
  <si>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</si>
  <si>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</si>
  <si>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</si>
  <si>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</si>
  <si>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</si>
  <si>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</si>
  <si>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</si>
  <si>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</si>
  <si>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</si>
  <si>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</si>
  <si>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</si>
  <si>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</si>
  <si>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</si>
  <si>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</si>
  <si>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</si>
  <si>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</si>
  <si>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</si>
  <si>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</si>
  <si>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</si>
  <si>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</si>
  <si>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</si>
  <si>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</si>
  <si>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</si>
  <si>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</si>
  <si>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</si>
  <si>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</si>
  <si>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</si>
  <si>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</si>
  <si>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</si>
  <si>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</si>
  <si>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</si>
  <si>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</si>
  <si>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</si>
  <si>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</si>
  <si>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</si>
  <si>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</si>
  <si>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</si>
  <si>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</si>
  <si>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</si>
  <si>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</si>
  <si>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</si>
  <si>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</si>
  <si>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</si>
  <si>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</si>
  <si>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</si>
  <si>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</si>
  <si>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</si>
  <si>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</si>
  <si>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</si>
  <si>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</si>
  <si>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</si>
  <si>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</si>
  <si>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</si>
  <si>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</si>
  <si>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</si>
  <si>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</si>
  <si>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</si>
  <si>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</si>
  <si>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</si>
  <si>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</si>
  <si>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</si>
  <si>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</si>
  <si>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</si>
  <si>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</si>
  <si>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</si>
  <si>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</si>
  <si>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</si>
  <si>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</si>
  <si>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</si>
  <si>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</si>
  <si>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</si>
  <si>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</si>
  <si>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</si>
  <si>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</si>
  <si>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</si>
  <si>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</si>
  <si>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</si>
  <si>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</si>
  <si>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</si>
  <si>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</si>
  <si>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</si>
  <si>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</si>
  <si>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</si>
  <si>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</si>
  <si>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</si>
  <si>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</si>
  <si>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</si>
  <si>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</si>
  <si>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</si>
  <si>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</si>
  <si>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</si>
  <si>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</si>
  <si>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</si>
  <si>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</si>
  <si>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</si>
  <si>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</si>
  <si>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</si>
  <si>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</si>
  <si>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</si>
  <si>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</si>
  <si>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</si>
  <si>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</si>
  <si>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</si>
  <si>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</si>
  <si>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</si>
  <si>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</si>
  <si>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</si>
  <si>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</si>
  <si>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</si>
  <si>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</si>
  <si>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</si>
  <si>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</si>
  <si>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</si>
  <si>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</si>
  <si>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</si>
  <si>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</si>
  <si>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</si>
  <si>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</si>
  <si>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</si>
  <si>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</si>
  <si>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</si>
  <si>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</si>
  <si>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</si>
  <si>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</si>
  <si>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</si>
  <si>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</si>
  <si>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</si>
  <si>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</si>
  <si>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</si>
  <si>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</si>
  <si>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</si>
  <si>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</si>
  <si>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</si>
  <si>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</si>
  <si>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</si>
  <si>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</si>
  <si>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</si>
  <si>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</si>
  <si>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</si>
  <si>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</si>
  <si>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</si>
  <si>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</si>
  <si>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</si>
  <si>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</si>
  <si>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</si>
  <si>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</si>
  <si>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</si>
  <si>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</si>
  <si>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</si>
  <si>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</si>
  <si>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</si>
  <si>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</si>
  <si>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</si>
  <si>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</si>
  <si>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</si>
  <si>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</si>
  <si>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</si>
  <si>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</si>
  <si>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</si>
  <si>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</si>
  <si>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</si>
  <si>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</si>
  <si>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</si>
  <si>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</si>
  <si>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</si>
  <si>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</si>
  <si>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</si>
  <si>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</si>
  <si>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</si>
  <si>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</si>
  <si>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</si>
  <si>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</si>
  <si>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</si>
  <si>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</si>
  <si>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</si>
  <si>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</si>
  <si>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</si>
  <si>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</si>
  <si>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</si>
  <si>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</si>
  <si>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</si>
  <si>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</si>
  <si>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</si>
  <si>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</si>
  <si>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</si>
  <si>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</si>
  <si>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</si>
  <si>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</si>
  <si>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</si>
  <si>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</si>
  <si>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</si>
  <si>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</si>
  <si>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</si>
  <si>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</si>
  <si>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</si>
  <si>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</si>
  <si>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</si>
  <si>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</si>
  <si>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</si>
  <si>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</si>
  <si>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</si>
  <si>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</si>
  <si>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</si>
  <si>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</si>
  <si>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</si>
  <si>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</si>
  <si>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</si>
  <si>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</si>
  <si>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</si>
  <si>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</si>
  <si>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</si>
  <si>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</si>
  <si>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</si>
  <si>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</si>
  <si>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</si>
  <si>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</si>
  <si>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</si>
  <si>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</si>
  <si>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</si>
  <si>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</si>
  <si>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</si>
  <si>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</si>
  <si>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</si>
  <si>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</si>
  <si>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</si>
  <si>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</si>
  <si>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</si>
  <si>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</si>
  <si>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</si>
  <si>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</si>
  <si>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</si>
  <si>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</si>
  <si>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</si>
  <si>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</si>
  <si>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</si>
  <si>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</si>
  <si>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</si>
  <si>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</si>
  <si>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</si>
  <si>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</si>
  <si>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</si>
  <si>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</si>
  <si>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</si>
  <si>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</si>
  <si>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</si>
  <si>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</si>
  <si>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</si>
  <si>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</si>
  <si>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</si>
  <si>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</si>
  <si>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</si>
  <si>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</si>
  <si>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</si>
  <si>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</si>
  <si>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</si>
  <si>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</si>
  <si>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</si>
  <si>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</si>
  <si>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</si>
  <si>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</si>
  <si>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</si>
  <si>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</si>
  <si>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</si>
  <si>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</si>
  <si>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</si>
  <si>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</si>
  <si>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</si>
  <si>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</si>
  <si>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</si>
  <si>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</si>
  <si>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</si>
  <si>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</si>
  <si>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</si>
  <si>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</si>
  <si>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</si>
  <si>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</si>
  <si>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</si>
  <si>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</si>
  <si>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</si>
  <si>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</si>
  <si>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</si>
  <si>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</si>
  <si>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</si>
  <si>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</si>
  <si>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</si>
  <si>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</si>
  <si>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</si>
  <si>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</si>
  <si>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</si>
  <si>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</si>
  <si>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</si>
  <si>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</si>
  <si>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</si>
  <si>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</si>
  <si>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</si>
  <si>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</si>
  <si>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</si>
  <si>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</si>
  <si>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</si>
  <si>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</si>
  <si>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</si>
  <si>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</si>
  <si>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</si>
  <si>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</si>
  <si>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</si>
  <si>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</si>
  <si>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</si>
  <si>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</si>
  <si>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</si>
  <si>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</si>
  <si>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</si>
  <si>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</si>
  <si>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</si>
  <si>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</si>
  <si>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</si>
  <si>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</si>
  <si>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</si>
  <si>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</si>
  <si>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</si>
  <si>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</si>
  <si>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</si>
  <si>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</si>
  <si>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</si>
  <si>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</si>
  <si>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</si>
  <si>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</si>
  <si>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</si>
  <si>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</si>
  <si>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</si>
  <si>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</si>
  <si>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</si>
  <si>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</si>
  <si>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</si>
  <si>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</si>
  <si>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</si>
  <si>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</si>
  <si>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</si>
  <si>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</si>
  <si>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</si>
  <si>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</si>
  <si>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</si>
  <si>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</si>
  <si>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</si>
  <si>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</si>
  <si>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</si>
  <si>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</si>
  <si>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</si>
  <si>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</si>
  <si>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</si>
  <si>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</si>
  <si>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</si>
  <si>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</si>
  <si>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</si>
  <si>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</si>
  <si>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</si>
  <si>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</si>
  <si>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</si>
  <si>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</si>
  <si>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</si>
  <si>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</si>
  <si>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</si>
  <si>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</si>
  <si>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</si>
  <si>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</si>
  <si>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</si>
  <si>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</si>
  <si>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</si>
  <si>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</si>
  <si>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</si>
  <si>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</si>
  <si>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</si>
  <si>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</si>
  <si>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</si>
  <si>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</si>
  <si>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</si>
  <si>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</si>
  <si>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</si>
  <si>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</si>
  <si>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</si>
  <si>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</si>
  <si>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</si>
  <si>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</si>
  <si>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</si>
  <si>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</si>
  <si>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</si>
  <si>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</si>
  <si>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</si>
  <si>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</si>
  <si>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</si>
  <si>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</si>
  <si>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</si>
  <si>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</si>
  <si>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</si>
  <si>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</si>
  <si>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</si>
  <si>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</si>
  <si>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</si>
  <si>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</si>
  <si>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</si>
  <si>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</si>
  <si>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</si>
  <si>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</si>
  <si>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</si>
  <si>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</si>
  <si>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</si>
  <si>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</si>
  <si>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</si>
  <si>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</si>
  <si>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</si>
  <si>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</si>
  <si>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</si>
  <si>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</si>
  <si>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</si>
  <si>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</si>
  <si>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</si>
  <si>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</si>
  <si>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</si>
  <si>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</si>
  <si>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</si>
  <si>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</si>
  <si>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</si>
  <si>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</si>
  <si>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</si>
  <si>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</si>
  <si>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</si>
  <si>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</si>
  <si>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</si>
  <si>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</si>
  <si>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</si>
  <si>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</si>
  <si>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</si>
  <si>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</si>
  <si>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</si>
  <si>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</si>
  <si>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</si>
  <si>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</si>
  <si>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</si>
  <si>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</si>
  <si>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</si>
  <si>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</si>
  <si>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</si>
  <si>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</si>
  <si>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</si>
  <si>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</si>
  <si>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</si>
  <si>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</si>
  <si>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</si>
  <si>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</si>
  <si>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</si>
  <si>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</si>
  <si>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</si>
  <si>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</si>
  <si>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</si>
  <si>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</si>
  <si>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</si>
  <si>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</si>
  <si>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</si>
  <si>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</si>
  <si>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</si>
  <si>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</si>
  <si>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</si>
  <si>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</si>
  <si>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</si>
  <si>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</si>
  <si>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</si>
  <si>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</si>
  <si>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</si>
  <si>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</si>
  <si>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</si>
  <si>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</si>
  <si>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</si>
  <si>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</si>
  <si>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</si>
  <si>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</si>
  <si>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</si>
  <si>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</si>
  <si>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</si>
  <si>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</si>
  <si>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</si>
  <si>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</si>
  <si>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</si>
  <si>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</si>
  <si>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</si>
  <si>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</si>
  <si>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</si>
  <si>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</si>
  <si>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</si>
  <si>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</si>
  <si>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</si>
  <si>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</si>
  <si>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</si>
  <si>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</si>
  <si>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</si>
  <si>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</si>
  <si>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</si>
  <si>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</si>
  <si>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</si>
  <si>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</si>
  <si>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</si>
  <si>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</si>
  <si>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</si>
  <si>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</si>
  <si>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</si>
  <si>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</si>
  <si>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</si>
  <si>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</si>
  <si>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</si>
  <si>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</si>
  <si>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</si>
  <si>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</si>
  <si>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</si>
  <si>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</si>
  <si>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</si>
  <si>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</si>
  <si>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</si>
  <si>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</si>
  <si>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</si>
  <si>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</si>
  <si>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</si>
  <si>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</si>
  <si>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</si>
  <si>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</si>
  <si>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</si>
  <si>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</si>
  <si>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</si>
  <si>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</si>
  <si>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</si>
  <si>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</si>
  <si>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</si>
  <si>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</si>
  <si>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</si>
  <si>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</si>
  <si>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</si>
  <si>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</si>
  <si>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</si>
  <si>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</si>
  <si>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</si>
  <si>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</si>
  <si>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</si>
  <si>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</si>
  <si>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</si>
  <si>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</si>
  <si>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</si>
  <si>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</si>
  <si>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</si>
  <si>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</si>
  <si>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</si>
  <si>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</si>
  <si>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</si>
  <si>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</si>
  <si>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</si>
  <si>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</si>
  <si>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</si>
  <si>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</si>
  <si>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</si>
  <si>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</si>
  <si>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</si>
  <si>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</si>
  <si>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</si>
  <si>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</si>
  <si>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</si>
  <si>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</si>
  <si>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</si>
  <si>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</si>
  <si>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</si>
  <si>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X</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</si>
  <si>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</si>
  <si>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</si>
  <si>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</si>
  <si>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</si>
  <si>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</si>
  <si>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</si>
  <si>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</si>
  <si>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</si>
  <si>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</si>
  <si>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</si>
  <si>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</si>
  <si>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</si>
  <si>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</si>
  <si>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</si>
  <si>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</si>
  <si>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</si>
  <si>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</si>
  <si>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</si>
  <si>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</si>
  <si>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</si>
  <si>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</si>
  <si>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</si>
  <si>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</si>
  <si>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</si>
  <si>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I also watched The Quiet Place 2 on vudu.com formerly fandango.com for $5.99 rental, and made a blog on my genomics brief results and explaining why my yfull mitochondrial free partner information on inheritance or familial linkages only shows my mom's side, bc mitochondrial DNA is inherited from the mom.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</si>
  <si>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 For lunch had a belief single burger with tomato, lettuce, and pickles, and cheese only. No sauce. And a 4th kpod cup coffee. Told boss that we were for sure leaving for an FMLA to visit my mom in TX and would be able to work starting again on Sat, bc driving there but I'm flying back. At home gave Growly his meds in a beef snack the roommate said to give him but he didn't eat it and I tossed it under the bed for him when he went under there, and it was gone later. I went to the couples massage of the MLD client I owe 4 to that is using them as a credit towards another service. She now has a $20 balance, didn't say to make it my tip. Got home, did laundry, the roommate was making his own closet that rolls of wood but the same flimsy wheels on the metal plastic one he broke from putting too much weight of clothes on it. He always talks to me like shit too, I just got home and he was like go inside get out of my way, I don't want you here. I had him bring me a cat food to feed miss kiki the outdoor cat and he did but bitched, then I was walking up the stairs and he said, this broad! or brawd, to nobody like its his inisible racist, misogynist friend he runs his mouth to and tells stupid racist impersonations to. I told him that and he said to shut up. He bitched at me like normal when looking for Growly under the bed about my bed having a lot of plastic bowls under it, him feeding the cat (who btw he took the food from when I put in the fridge to keep ants off it and the water is in the other room that the cat also drinks and the dogs drink her water he puts under my bed) and on and on about me. I lost it and threw my empty porcelain dollar tree mug at mantle and again and his flashlight told him that he cannot stop always berating me when I do his dirty dishes he can't do even when I was gone on vacation, I clean the scum off the tub bc he never does, I clean the house, I buy all the toilet paper and paper towels and cleaning supplies, and on and on, and told him I wasn't going to clean the mug that shattered and he can look at it and remind himself of the reason its there, him starting and escalating his need to always bitch about something, and when he wakes up in the morning or goes to sleep he can look at it and have something to immediately bitch about. He cleaned it up hours later. Hes a piece of shit. I was sitting there trying to unwind with my ice and peach cirroc I took from his room when he was fiddling with that stupid closet and he just had to go bitching and running his mouth like he is some old man entitle white fucking nigger that can do that shit, boss people around talk shit to them don't give a damn. I called his ass those names too. I fucking hate this loser. bald, tattoed, white fucking nigger fucking talking his fucking shit day in and day out like a fucking entitled white piece of shit that nobody ever says anything to. He can go fuck off. I got some rest and was in the middle of sending out their SOAP notes and receipts from earlier when I yelled at this scumbag. Went to bed around 11 pm, because I got home around 845, did laundry, argued, put it in dryer, and then went to bed. </t>
  </si>
  <si>
    <t xml:space="preserve">serving vanilla honey greek yogurt
(180.00	6.00	3.00	14.00	19.00	0.00	50.00)
3 servings gummy bears
(300	0	0	0	69	0	15)
1/3 chocolate Choceur candy bar
(360	24	10	8	28	4	40)
beyond meat patty
(260	18	5	20	5	2	350)
bun
(190.00	2.00	0.50	6.00	36.00	1.00	380.00)
3 servings baked cheddar sourcream Aldi brand potato chips
(480	27	6	6	45	3	540)
=180+300+360+260+190+480
=6+0+24+18+2+27
=3+0+10+5+0.5+6
=14+0+8+20+6+6
=19+69+28+5+36+45
=0+0+4+2+1+3
=50+15+40+350+380+540
</t>
  </si>
  <si>
    <t>cirroc peach</t>
  </si>
  <si>
    <t>Pot of Everything Legendary plant based meat with green bell pepper and 3 zucchini, makes 3-4 bowls:</t>
  </si>
  <si>
    <t>Oreida french fries, serving is 3 oz or 27 pieces</t>
  </si>
  <si>
    <t>motts fruit snacks, box of little bags holding about 6-7 fruit snack pcs, serving is 1 pouch:</t>
  </si>
  <si>
    <t>snack size bag baked cheetos</t>
  </si>
  <si>
    <t>snack size bag white cheddar popcorn</t>
  </si>
  <si>
    <t>Woke up at 630 am by alarm and leaving today assuming Mo gets the rental at the time she planned on it yesterday, today at noon. I need to get some paper towels and toilet paper and cat food for the house for the retard. He is almost out and never buys his own. He can't even sit still to see how to run the washing machine and will have a bunch of clothes piled up waiting for my return. Loser. Did the normal routine, fed Growly his stubborn butt his meds and the babies their food. He hasn't been eating his food right away for last few days but is up and ready to eat. I need to make sure I bring the necessities bc I plan on flying home. Want laptop, phone, charger for phone, tooth brush, soap, body soap, rubbing alchol, disinfecting spray and wipes, washcloths, pillow, small blanket, vitamins, checkbook balancing book, plain notepad for notes, underwear, bras, light shorts tshirt, scrubs both regular ones, shoes, makeup. Need the instant coffee, water, and mug too, and face masks. Some sandwhich baggies too. Also the weight scale and my tape measure and caliper measurer and a book, the R programming of genomics one. Easier to read or review the images. Measurements taken after a small BM and after eating my multivitamins with a serving of vanilla honey yogurt and after packing most of the things needed. Packed some little bottles and baggies of lotion and in the bottles dish soap, body wash, rubbing alcohol, shampoo and conditioner, got the toothbrush and toothepaste, some qtips, wash cloths, disinfecting wipes, 3 approx bottles some used up already, not completely filled, undies, socks, scrubs, massage gun infrared light hand held, guasha tools, bath towel. Quite a bit of stuff, about to shower and haven't spoken to my older sis or nieces since yesterday. Just Mo anyways. Not mom either. Hopefully she is good. About to make 3rd cup of coffee. Will bring instant coffee for trip. Mo cancelled bc she said that we couldn't see Mom in the hospital and we can't help with funeral arrangements or cremation until Mom gets better and gets her wedding license to get a TX license. Mom is in a hospital that has her on her stomach and giving her 5 doses of antivirals that make her really tired. She was in the hospital yesterday, but I called 1st of 3 hospitals that she was by chance in while waiting to start work and got her room number 242 in ICU that gave me her phone but it kept ringing. She didn't answer her cell phone in morning, and it went straight to voicemail on my break 3 hours later around 615 pm. Mo told me about her doseage and why she isn't answering the phone probably bc she called the ICU unit and they told her when she asked bc I asked if she knew about MOM and told her I knew her hospital and that it kept going to ICU charge station and ringing. They moved her to ICU from wherever she was yesterday, which is good, bc I talked to a doctor that said they make those calls and select those best able to survive to go to ICU. I have an appointment tomorrow at 6 pm, and work on Wed till 3 pm but am considering going down there WEd late and coming back Thur late on day off just to see how things are going with her, if I can see her. I ate a bunch of chips on my break. I had 1 cheese doritos, a white cheddar popcorn, a cheetos bakedd, and 3 motts fruit snacks, but before break and before work had 5 motts fruit snacks, 2 puffs chips, and a ranch doritos chips. After work, a full schedule even though they had to cancel all yesterday they were able to refill today and didn't check rest of the week. After work had another serving of that peach ciroque. The roommate has his little closet up and it looks like an old relic of past or something some hermit put together living somewhere like the guy living on property not his in New Jersey or close to it that was there for 30+ years and was 86 living off the land and collecting stuff and building a shack with little knick knacks that was 2 story high but burnt to ground while he was in jail for not vacating premises. Happened in last few months. It does hold up his clothes sturdily, he used a bit of the old clothes rack and built around it with wood parts he had from scrap of landlord's outside and his saw that he had. Yesterday I told him I didn't think he should be near things like that and worried for him before he gave me the cat food to feed kiki meow meow outside. and the fight/argument/sreaming festival/breaking mugs break. Growly escaped to the basement from it being wide open and he crawled in there to get him yesterday, but the landlord was over today and closed it up. There was a junk removal guy to inspect and give him an estimate. He told me the truck is $600. I told him to talk to the landlord who showed up a few minutes later before starting his work for the day on the other side of this duplex. Ate a lot of sodium foods today and ankles show it. Had to take off waist trimmer after 7 pm due to the pressure and broken grommets digging into my lower R side of back LB and around front too. Took it back home with me and didn't forget it in the ottoman at work that holds the day's linens/face cradles. Got home around 1030 pm and cleaned up a few spills and fed ms kiki meow meow, and saw her outside eating. She is a sweet cat. Not scared of Princess who alerted me to her presence after leaving the food bc of her constant barking. I brought them inside. I had that one serving of the peach cirroq alcohol while watching the last 20-30 minutes of The Third Day episode 3 that I actually didn't finish a few days ago and ate a bowl of the vegan meat and zucchini with pickles and tortilla round chips before going to bed around 1215 am.</t>
  </si>
  <si>
    <t>snack size cheetos puffs</t>
  </si>
  <si>
    <t>snack size doritos ranch</t>
  </si>
  <si>
    <t>snack size doritos cheese</t>
  </si>
  <si>
    <t xml:space="preserve">1/4 bowl of the PB EL meat zucc green peppers 
(64.19	4.35	1.13	4.13	2.05	0.49	84.71)
1 servings the french fries baked Orita Brand
(130	7	1	2	17	1	450)
5 bags motts fruit snacks
(400	0	0	0	95	0	150)
1 serving yogurt vanilla honey greek
(180.00	6.00	3.00	14.00	19.00	0.00	50.00)
1 snack bag white cheddar popcorn
(80	5	1	2	7	1	120)
1 snack sz baked cheetos
(120	4	0.5	2	18	1	210)
8 bags motts fruit snacks
(640.00	0.00	0.00	0.00	152.00	0.00	240.00)
2 cheetos puffs snack sz
(280	18	3	4	28	2	460)
1 ranch doritos snack
(150	8	1	2	18	1	190)
1 baked cheetos snack
(120	4	0.5	2	18	1	210)
1 white cheddar popcorn snack
(80	5	1	2	7	1	120)
1 doritos cheddar
(150	8	1	2	18	1	210)
1 bowl vegan meat zucc grn blppr
(342.33	23.20	6.03	22.03	10.93	2.60	451.80)
1 serving tortilla rounds
(140.00	7.00	0.50	2.00	16.00	1.00	80.00)
serving pickles
(30	0	0	0	8	1	150)
=64+130+400+180+80+120+640+280+150+120+80+150+342+140+30
=4.4+7+0+6+5+4+0+18+8+4+5+8+23+7+0
=1+1+0+3+1+1+0+3+1+1+1+1+6+1+0
=4+2+0+14+2+2+0+4+2+2+2+2+22+2+0
=2+17+95+19+7+18+152+28+18+18+7+18+7+18+11+16+8
=0.5+1+0+0+1+1+0+2+1+1+1+1+3+1+1
=85+450+150+50+120+210+240+460+190+210+120+210+452+80+150
</t>
  </si>
  <si>
    <t xml:space="preserve">1 bowl vegan meat zucc grn blppr
(342.33	23.20	6.03	22.03	10.93	2.60	451.80)
1 serving tortilla rounds
(140.00	7.00	0.50	2.00	16.00	1.00	80.00)
serving pickles
(30	0	0	0	8	1	150)
22 pizza rolls cheese totinos
(288.75	11	2.75	6.875	42.625	1.375	440)
2 sm avocados	
(322	29	4	4	17	18	14)
2 white cheddar popcorn snack sz
(160	10	2	4	14	2	240)
2 fruit snacks
(160	0	0	0	38	0	60)
1/2 bag gummy bears Haribo
(450	0	0	9	103.5	63	22.5)
1/2 choceur chocolate candy bar
(540	36	15	12	42	6	60)
1 bowl vegan meat zucc grn blppr
(342.33	23.20	6.03	22.03	10.93	2.60	451.80)
1 serving tortilla rounds
(140.00	7.00	0.50	2.00	16.00	1.00	80.00)
serving pickles
(30	0	0	0	8	1	150)
2 fruit snacks
(160	0	0	0	38	0	60)
cheetos puffs
(140.00	9.00	1.50	2.00	14.00	1.00	230.00)
=342+140+30+289+322+160+160+450+540+342+140+30+160+140
=23+7+0+11+29+10+0+0+36+23+7+0+0+9
=6+1+0+3+4+2+0+0+15+6+1+0+0+2
=22+2+0+7+4+4+0+9+12+22+2+0+0+2
=11+16+8+43+17+14+38+104+42+11+16+8+38+14
=3+1+1+1+18+2+0+63+6+3+1+1+0+1
=452+80+150+440+14+240+60+22.5+60+452+80+150+60+230
</t>
  </si>
  <si>
    <t>Woke up at 630 am by alarm, got out of bed at 7 am. Got about 7 hours sleep or 6.5 hours sleep, cleaned up a bunch of pet messes. Gave Growly his meds and only one water pill instead of double in morning, bc I noticed the roommate on my blink camera giving him meds yesterday and I think but didn't ask him if he is also giving him his meds. But he gave him his snack and that is how he puts Growly's meds to give him in a useable form by him. Made my 1st kcup coffee looked at the SCUHS documents for my cohort I didn't get around to yet. Pretty informative and clearly outlined. Can't wait to start. Had a sm BM after 1st cup coffee. Noticed spotty that started yesterday but didn't go away. I started spotting right before work but it increased only slightly at work but no light flow. It was so minimal before work I didn't think to put a pad on. Didn't need to at work. I might be starting my rag yesterday but will mark it and see if it is actually a full week of menstruation. I haven't had the med-heavy or heavy flow in a month or more. Had a 2nd cup of coffee and finished looking at the DC docs online and downloading them to save to the folder before finishing the cup of coffee. I also saw my financial aid went through and paid this term and I get back a little under $4k to help with expenses and will put on credit card to reduce interest and have for emergencies as needed. That's reassuring. I feel like I can do this and will do great in the program and they have a clear outline to move us along for each exam and making sure we understand all of what the exams go over. Had my 3 multivitamins with 3rd cup coffee kpod and bowl vegan meat and serving tortilla rounds chips with serving pickles. Called and checked on RV prices and saw one nearby for $720-750/month. Mom has a trailer pulled by a truck at least 250 power. The lady estimated 30 ft once I called her after speaking to mom a 2nd time. I am so happy and relieved she is doing well. After realizing I wouldn't be able to visit her bc she is in orange no visit unit and once moved to green then only face time and I will be too busy with school when it starts and work until Dec and in Dec travel is impacted and super expensive, I bought my 2nd half of textbooks, and have to wait up to 2 weeks for some of them. Measurements taken after a BM, breakfast, and 3 cups coffee. Had some pizza rolls and a couple small avocados for lunch and then snacked on the last half of gummy bears from a bag and last 1/2 chocolate almond candy bar of Choceur while looking at the facebook content to comment on current affairs in nation. Then while watching a new tv series on Hulu that has Steve Martin and Selena Gomez in it, the murders in the building or something like that, first 3 episodes, had 2 popcorn snack chips and 2 motts fruit snacks. Rearranged my desk bc the roommate keeps moving my bench and pushing the large table into it against the wall. Of course this asshole complains about it and wants me to fix it. He needs to be out of my desk and study space, he has no respect or decency , he never goes over there and now wants it avoided. I cannot stand this loser. He gets the larger room and has his boxes of toys and the boxes to package them stacked all over his room and the side room off that, and I have the little room and literally 1/4 the living room next to his room and it makes him so upset like a little bitch thats just got to have more than me and he cannot let my space be mine. He gets on my nerves so badly. I took a nap for 20-25 minutes at 3 pm but his loud video podcasts woke me, he always has them super loud. I have my alarm set for 5 pm to get ready for the 6 pm of the daughter of the client I had before whose house I went to last time and nobody showed up but the grandma let me set it up but it turns out my ringcentral app didn't notify me that I had a missed text from the client 4 hours before the appt to cancel it. I will check in with them 15 minutes before the appointment to make sure to drive out there. She gets out of class at 530 pm she said but I have to see if that was only Wed. Today is Tues. I broke a pair of earrings I literally bought yesterday at Macy's and returned them after my client at 6 pm. They are doing great, her mom was there. A lovely family. They wanted the MLD 10 massage pkg so I let them buy it. Thats cool, then after Macys, I actually got a refund of $3 and some change on card for Macys bc there was a better sale today when I returned/exchanged the earrings. Originally I was in line at the returns/exchanges but it took 10 minutes at least for one lady trying to get the only assistant there to try and find her package. I decided to go directly to the counter and bring the exact earrings as I didn't have actual packaging of the plastic and the individual receipt they place on it. I wasn't about to dig in trash with pet messes in it for the receipt. The lady understood. Then went to Winco to get the money orders for rent and put on porch, and had a drink of peach ciroq and did the laundry. Texted the landlord the rent is on the porch. They could be going out of town this week due to the Labor Day holiday. Not sure. The roommate let me transfer the money after he tried bitching at me some more about the amount of space I am taking up with my study space in this crammed place due to all his stuff. The guy who I sold the car to randomly texted me while I was massaging my client today too. I texted him and asked how he was doing too as a friend. So he doesn't try hitting on me again like he did some months ago. I also got a text from my chiropractic program advisor about the recorded zoom meetings of meet the Dean and EXXAT being available in the orientation links now with a passcode. I had the last bowl of vegan meat and pickles last of about 2 servings with a serving of tortilla rounds, and 2 fruit snacks, and last bit of the chocolate bar I didn't eat earlier that I already calculated in nutrition. Also had a snack size of cheetos puffs before going into Winco. My rag started getting more light than spotty before leaving to the client's house, so I put a thin pad on. Bed time after updating nutrition for day and having laundry in dryer. That was about 1045 pm.</t>
  </si>
  <si>
    <t>jack and coke</t>
  </si>
  <si>
    <t>snack sz baked BBQ potato chips</t>
  </si>
  <si>
    <t>snack sz baked potato chips</t>
  </si>
  <si>
    <t>reg frito lays cheetos not baked snack size chips</t>
  </si>
  <si>
    <t xml:space="preserve">3 servings pizza rolls totinos cheese
(630	24	6	15	93	3	960)
5 fruit snacks
(400	0	0	0	95	0	150)
1 sm avocado
(241.5	21.75	3	3	12.75	13.5	10.5)
1 BBQ baked snack sz potato chips
(110	3	0	2	19	1	125)
1 baked potato chips snack sz
(110	3	0	2	19	1	220)
3 cheetos snack sz
(480	30	4.5	6	45	3	750)
coca cola about 1.25 servings from a 2 L bottle or 1.25 of a mini size cola
(112.5	0	0	0	31.25	0	37.5)
=630+400+241.5+110+110+480+112.5
=24+0+21.75+3+3+30+0
=6+0+3+0+0+4.5+0
=15+0+3+2+2+6+0
=93+95+12.75+19+19+45+31.25
=3+0+13.5+1+1+3+0
=960+150+10.5+125+220+750+37.5
</t>
  </si>
  <si>
    <t xml:space="preserve">Woke up at 530 am by alarm, laid in bed while the roommate got home, cleaned pet messes, and did whatever, tried to nap but kept waking up every 5-10 minutes thinking I missed my alarm. Got out of bed a little before my 630 am alarm went off, did normal routine with coffee and feeding the babies with Growly his meds. Restarted dryer and had 1st cup of coffee, folded laundry made 2nd cup, took measurements, had lg BM, and got ready for work. I did have an MLD client after work I haven't seen in a month but she rescheduled for Thur 7 pm and today earlier it said it was going to rain 89% chance but now at 720 am says just cloudy. After a lg BM retook measurements and my waistline was 30. 75 and 32.25 and weight was 145.0 five minutes after taking measurements after 1st cup coffee and before breakfast. Yogurt for breakfast then multivitamins. Had about 15 cheese pizza rolls for breakfast on the way to work and 15 more approximately for lunch, and 3 bags of cheetos between lunch and on the drive home and cheese doritos. Left my nieces' gift cards with their step dad bc they weren't there like always to get them. So whatever. Went to Vons and got a bottle of Jack Daniels and a 2 L coca cola. Got home, the roommate was home and was feeding the babies and gave Growly one of his water pills. I will give him his other water pill and his heart pill in a few hours. Wanted to reorganize the room and my bedroom in particular and take out the litter box and put in the living room and move the shelfs around because of my little bitchy roommate bitching about me taking this study space as my own to study and getting in his way. Why can't he just shut his fucking mouth!? He always harrasses me and talks about me to his invisible racist misogynist friend out loudly like everything I do wrong. He is a loser. I wasn't able to speak with my mom when I called her cell phone and room at the hospital at lunch time. And checked the messages and the landlord did reply thanks yesterday at 920 pm approx. On the way home I saw a flattened possum by my house in road on 8th street by crosswalk of Grand BLvd. Made me think it was that cute little guy that climbed around at night a few weeks ago. It was so adorable. Poor little guy. I moved around furniture and fit my desk and bench in the bedroom of mine and emptied out the area in the living room by moving one of my 3 drawer laundry cabinets on top of another in the bedroom and moving the white moving table to block the sunroom and put the electronics for the video feeds of outdoor cams and the wifi and internet by 7 pm. Had 2 total jack daniels and coke all day at this point and made some french fried from Oreida about 2 servings. By 8 pm had the 3rd and final jack and coke and serving pizza rolls with 1 sm avocado a snack sized BBQ potato baked chips and reg baked potato chips snack sz. Went to bed by 12 am. After putting my laundry in the washer and whatever the roommate had rerunning on the dryer cycle on. Looked over a few of the med school text books on my new desk set up in my bedroom away from the roommate's negative energy. Just need a curtain to put up to keep him out of my vision. Watched a few movies while drinking and eating one Hotel Mumbai, good movie dramatic insane, and other The Nightingale about a bunch of scummy people and rape scenes and murder painting the Australian conquerers from England as rapists and murderers in one small faction that killed the aboriginal peoples and raped the convict women and aboriginal females and murdered them like rodents. Doesn't sit well with me on the other angle as I am female, had a criminal record of domestic violence, and am Filipino or a mix of south east asian islander that shares more satellite DNA with the aboriginals of that location when looking for those populations that share more Denisovan ( a type of neanderthal homonid that isn't related to each other but did mix at some point in the last millions of years). The white scumbags of the 1600-late 1800s were the most scummy, narcissistic, ignorant peoples of the world. They killed off, the soldiers in search of land and conquering, people like roadkill everywhere to get them off the land to bring in their own and the basic viking rape and pillage. But also the dialogue acting of the main character was kind of bad at some points. </t>
  </si>
  <si>
    <t xml:space="preserve">Woke up at 530 am when the roommate got home so that I could put in my clothes in the dryer without him touching them and dropping them on the ground then went back to bed, and turned off 630 am alarm. Started getting a slight headache from not having caffeine at normal time around 715 am and got up and out of bed by 730 am. Did the normal routine, the dryer was still running, made my kpod coffee and need more kpods, then fed Growly his meds with the babies' food. Then updated nutrition from yesterday and had a 2nd cup of coffee and a lg BM. Then took measurements. I haven't been on my rag, just a little light the other day, two days ago, but then just spotty. Last night not spotty at all. So not marking today as menstruation unless I start spotting more throughout the day. A weird cycle, might be going into premenopause early, and that can last 10 years. Had yogurt with my multivitamins afterwards while finishing my 2nd cup of coffee by 9 am. I also fed the cat around the time of doing the laundry 8 am the one outside, it wasn't waiting but I saw it on the camera a few minutes later eating the food and crossing the side house. I noticed the trash wasn't collected at 8 am and it is normally collected for waste trash not recyclables or lawn trash around 630 am. Later heard a few trash trucks but didn't check. Next week is a holiday, labor day, not this week. So thought that was odd. Had 3rd cup of coffee while putting away laundry. Spotty today on rag by later in the day. Had a serving pizza rolls and french fries later then a half serving or last of bag of pizza rolls and french fries an hour after that while watching the orientation video of EXXAT and meat the dean and putting away my chemistry supplies and throwing out the boxes, bc the mid shelf fell back again, and I just decided to not fasten it to the little plastic sides that aren't able to meet it as they don't touch exactly and laid it on top of the middle layer that it thankfully fit. It would be a great shelf if it didn't take long to put together the storage cabinet and the plastic didn't break. I also had the 3rd cup of coffee before watching the video I didn't get to finish bc I started it after 1030 am. and later had my 4th cup of coffee before the shower to get to the Murrieta appointment that took almost an hour to get to due to traffic. Snacked on a baked potato chips watching movie and had 1 sm avocado with first set of pizza cheese rolls and on the way to the client's house had a reg cheetos and doritos not baked either one full sodium and calories. The client was new and nice. The 7 pm rescheduled for Saturday after work. I got home did laundry had one jack and coke and one jack and just ice with water on side. Then ate an impossible frozen patty with some cinnomon bun english muffins and another sm avocado made in air fryer bc the avocado was too firm and with pickles. I also stopped by Target right after the client in Murrieta and before arriving home to start the laundry to get school supplies, sciccors, papertowels that they had cheap ones bc the roommate uses too many papertowels that aren't needed. Already out from an 8 pack of good quality paper towels after 2 days. They absorb much better than the cheap ones but he layers them on all the time like they aren't cheap. As long as he isn't buying them. I actually folded his clothes out the dryer too but not his boxers or socks because he is particular about how they need to be folded. </t>
  </si>
  <si>
    <t>Thomas' cinnamon bun english muffins</t>
  </si>
  <si>
    <t xml:space="preserve">serving yogurt
(180.00	6.00	3.00	14.00	19.00	0.00	50.00)
1.5 servings pizza cheese totino rolls
(315	12	3	7.5	46.5	1.5	480)
2 servings french fries
(260	14	2	4	34	2	900)
2 sm avocados
(322	29	4	4	17	18	14)
1 impossible frozen burger patty
(240	14	8	19	9	3	370)
1 set english muffins cinnabun flavor
(150	1.5	0.5	5	30	1	200)
4-5 pickles
(30	0	0	0	8	1	150)
1 bag baked potato chips
(110	3	0	2	19	1	220)
1 bag cheetos
(160	10	1.5	2	15	1	250)
1 bag doritos
(150	8	1	2	18	1	210)
mini coca cola for 1 jack and coke
(90	0	0	0	25	0	30)
=180+315+260+322+240+150+30+110+160+150+90
=6+12+14+29+14+1.5+0+3+10+8+0
=3+3+2+4+8+0.5+0+0+1.5+1+0
=14+7.5+4+4+19+5+0+2+2+2+0
=19+46.5+34+17+9+30+8+19+15+18+25
=0+1.5+2+18+3+1+1+1+1+1+0
=50+480+900+14+370+200+150+220+250+210+30
</t>
  </si>
  <si>
    <t xml:space="preserve">Woke up at 530 am by alarm, but slept till 630 am bc the roommate was in my way and just getting home. Did normal routine but Goody decided not to eat and Princess ate his food. He went outside to potty and took a while coming back in. I will feed him before leaving for the day. Restarted laundry in dryer, and updated nutrition. Still spotty and ankles still kind of swollen. Growly was given his meds in his food and ate it but not right away. Started the 1st cup of the vanilla bean flavored G&amp;G kpod coffee for 1st cup and started 2nd cup but had a lg BM after updating this nutrition database and other features and before folding laundry and eating breakfast with my multivitamins. Measurements taken after folding and putting away laundry and before breakfast and before 3rd cup of coffee but after 2nd cup of coffee. Had multivitamins with yogurt. The alarm went off before measurements and putting away laundry had to get ready for work. Last of the yogurt about 2/3 servings or 1/2 cup with multivitamins, at work had 4th cup coffee kpod carmel machiato G&amp;G, Had 2 vanilla Bean G&amp;G this morning with 1 carmel machiato G&amp;G for 4 total cups coffee, and 2 bags cheetos where 1 at breakfast before work and 1 at lunch with one bag each of the doritos ranch and cheddar and after work 1 doritos cheddar. AFter work a jack and ice water with serving of about 20 pizza rolls with last serving french fries airfryed. The 7 pm cancelled. Thats ok. She's a nice lady I told her as long as she cancels at least 2 hours before appointment not to worry. She is a nurse and probably has been picking up some shifts but also a mom of young children under 10, 3 of them. The roommate is probably the one who packed the trash cans filled with the junk. I know the junk people were over for estimate a few days ago, then were here again with landlord both times meeting him a few minutes later, but yesterday it looked like they didn't pick anything up and today it was cleaned but some junk left organized in piles. I just found out it was the junk people who packed our trash cans full of junk or the landlord or his workers but definitely not the roommate. He always claims any idiot thing he does and says not to go against it like its not an idiot thing to do as the trash won't come by until Friday instead of Thursday next week and all are filled, the waste, the recyclable, and the lawn of the junk wood pieces that were piled in the back. The junk people did organize the different types of junk into piles like laundry sorting, but dumb for filling our trash bins. Not cool. Had another drink of jack daniels over ice water and watched the 4th episode of The Third Day on HBO while snacking on a serving of pizza rolls and a small avocado made in the airfryer. Went to bed around 1015 pm but right when I was about to go to bed the neighbor revved up his motorcycle and kept at it intermittently until about 1115 1120 pm so I moved my van to the front where the horn faces their window and set off my alarm around 12 am, 2-4 am, 430 am and 530 am. If I don't get good sleep, neither do they. And they have a toddler. The neighbors are inconsiderate. </t>
  </si>
  <si>
    <t>back, machine rows mid trapz/deltoids/rhomboids 3 sets 12, 40 lbs
back, lower trapz/deltoids/latts/teres minor 3 sets 12, 50 lbs
inner thighs, 3 sets 12, 40 lbs
outer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shoulders/hips/hams/quads/neck/triceps/deltoids/pecs</t>
  </si>
  <si>
    <t xml:space="preserve">baked cheddar sourcream chips
(110	3	0	2	19	1	125)
2 doritos
(300	16	2	4	36	2	420)
2 cheetos
(320	20	3	4	30	2	500)
1 ranch doritos
(150	8	1	2	18	1	190)
36 pizza rolls cheese totinos
(472.5	18	4.5	11.25	69.75	2.25	720)
1 small avocado
(241.5	21.75	3	3	12.75	13.5	10.5)
serving french fries
(130	7	1	2	17	1	450)
hasbro gummy bears bag
(2025	0	0	40.5	465.75	0	101.25)
=110+300+320+150+472.5+241.5+130+2025
=3+16+20+8+18+21.75+7+0
=0+2+3+1+4.5+3+1+0
=2+4+4+2+11.25+3+2+40.5
=19+36+30+18+69.75+12.75+17+465.75
=1+2+2+1+2.25+13.5+1+0
=125+420+500+190+720+10.5+450+101.25
</t>
  </si>
  <si>
    <t xml:space="preserve">baked potato chips
(110	3	0	2	19	1	220)
2 baked cheetos
(240	8	1	4	36	2	420)
1 impossible patty
(240	14	8	19	9	3	370)
1 Thomas English muffin cinnabon
(150	1.5	0.5	5	30	1	200)
1 serving pickles
(30	0	0	0	8	1	150)
1 Everything legendary plant based patty
(100.00	6.00	4.00	8.00	2.00	0.00	280.00)
1 Thomas English muffin cinnabon
(150	1.5	0.5	5	30	1	200)
1 serving pickles
(30	0	0	0	8	1	150)
1 baked cheetos
(120	4	0.5	2	18	1	210)
1 baked BBQ chips
(110	3	0	2	19	1	125)
20 cheese pizza rolls totino
(262.5	10	2.5	6.25	38.75	1.25	400)
=110+240+240+150+30+100+150+30+120+110+262.5
=3+8+14+1.5+0+6+1.5+0+4+3+10
=0+1+8+0.5+0+4+0.5+0+0.5+0+2.5
=2+4+19+5+0+8+5+0+2+2+6.25
=19+36+9+30+8+2+30+8+18+19+38.75
=1+2+3+1+1+0+1+1+1+1+1.25
=220+420+370+200+150+280+200+150+210+125+400
</t>
  </si>
  <si>
    <t xml:space="preserve">Woke up at 530 am by alarm, did normal routine after setting off alarm one last time. The roommate got home at that time and asked why I parked in the front instead. Didn't tell him why, but I do have better video of the vehicle. Gave Growly his meds by oral syringe, and noticed when cleaning the pet messes the ants are going after their poop and it was bloody in the mess the ants weren't on. Supposed to be a hot weekend. I guess I can predict that from the ants all over everything. They disappear when no food is there. Usually they don't go after dog poop. Just the canned cat food I leave outside. But also the radio hosts say it is going to be hot today and this weekend and Labor Day weekend. Got paid and paid some bills. and transferred money I didn't earn yet from prepaid accounts into savings. Keeping one lady's because she rescheduled the 2 appointments she made. Had a bag of baked chips with my multivitamins, making an impossible burger for lunch with chips. Thought I ate all the baked cheetos but still have 2 bags for lunch. Short day, long days start next weekend. Only ate 1/2 the bag of snack sized chips with vitamins, had a lg BM, then packed up the stuff for lunch and took measurements before taking a quick shower before work. At work I arrived a few minutes bc I forgot to set my waze back to allow freeways and it had me taking side streets and I didn't realize until half way to work that I could have taken the freeway. I called work at 735 to let them know 3 minutes late and they informed my regular who I have been 15 minutes late on before. Nice lady. I got there exactly 3 minutes after time to take client in for 8 am appt. Not too bad, but could have been avoided had I remembered to turn back on the app to allow freeways. After my 2nd client, she seemed so wise with the misogynist and toxic types as she divorced one too who didn't father her kids but spent many years with. They don't change, refuse to until too late and I think revert back even if they do for a little while bc they don't respect women and are misogynists that are entitled. She brought up the gym just to get dressed and show up even 20 minutes. So I decided I would go as my last appt was a no show but I got paid. Got there and planned on 20 minutes but of course turned into 45 min to an hour. Its ok, at least I worked out with machines and some barbells and did some stretching. It was hot today and checking right now it is 98 degrees. For lunch had the impossible patty, on a cinnabon Thomas english muffin with pickles and the rest of the baked potato chips and 2 of the baked cheetos. And a 4 th kpod coffee. Then after work, worked out from about 2 pm until 250 pm. Got home around 3 pm, and fed the babies and Growly his 2nd half of his meds. Didn't see any of my text books that are arriving in next 3 weeks. Found out by looking at one of the campus store orientation ppts in my dashboard that we will get our medical kits in 3 weeks after school starts and they will send out an email, to check our student emails to see if we have anything. I have most of my courses up on canvas. I need to look at the syllabus' of each course and see the exam dates and times and plan for blocking my side biz schedule to study for those exams to do well, and for major assignments that could be possible like in general chemistry 1A with assignments that took 5-7 hours in first few weeks for mastering chemistry homework questions. The workout earlier wasn't a total body workout so I put down 0.75 for the feature of that name. And indoors it was air conditioned, but outdoors around this time was 99 degrees. I had a jack and ice water at home after eating some pizza rolls. And looking at the few syllabus up for 2/5 classes. Not something to plan for exactly, bc need the exact date, but it has the week with two classes in one and a quiz, estimates 1-2 hours to study for each quiz. Still spotty today, and waited about 3 hours after 1st drink to have the 2nd drink around 740 pm. same jack and ice water watching some old stuff on tv hbo max westworld tried a few other shows didn't peak my interest. This one isn't either, but the Third Day is gross, has creeps and sickos in it and the material and carnage is yuck. </t>
  </si>
  <si>
    <t xml:space="preserve">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obliques/deltoids side raises and lowering, 3 sets 12 reps 15 lbs each arm
obliques side twists, 1 set 12 reps 7.5 setting, 2 sets 12 reps 10.5 setting each side
</t>
  </si>
  <si>
    <t xml:space="preserve">baked chips
(110	3	0	2	19	1	220)
24 pizza cheese rolls totino
(315	12	3	7.5	46.5	1.5	480)
double poki salmon bowl, brown rice, ponzu sauce, cucumbers, ginger, misago, sesame seeds
(605.50	16.28	5.35	18.90	96.95	8.35	944.00)
EL PB patty
(100.00	6.00	4.00	8.00	2.00	0.00	280.00)
2 slices oat bread
(220.00	4.00	0.00	8.00	38.00	4.00	270.00)
1/4 cup mozz/parm
(100.00	6.00	4.00	8.00	2.00	0.00	280.00)
serving pickles
(30	0	0	0	8	1	150)
bag bbq chips
(110	3	0	2	19	1	125)
=110+315+605.5+100+220+100+30+110
=3+12+16.28+6+4+6+0+3
=0+3+5.35+4+0+4+0+0
=2+7.5+18.9+8+8+8+0+2
=19+46.5+96.95+2+38+2+8+19
=1+1.5+8.35+0+4+0+1+1
=220+480+944+280+270+280+150+125
</t>
  </si>
  <si>
    <t>Woke up by alarm at 530 am but was very tired, exhausted. I laid in bed until 615 am and got up to make my 1st cup of kpod coffee vanilla bean and make the babies their food and Growly his meds by oral syringe. The roommate was home last night and dishes of his are in the sink but it was empty when I went to bed. I have laundry in the dryer that I restarted. I watched the end of the Westworld series and finished it by about 1045 pm and went to bed by 11 pm. I was looking through my textbooks last night for first time on all of them. Seems interesting, more in debth, a bunch of anatomy. The models look like the same ones in some other books like the MBLEX test prep book and weird showing a bunch of the models' butt cracks in some texts. I forget which one. The photos look old like the 70s or 80s. I got about 6 1/2 hours sleep. My body is feeling tired from the workout yesterday and probably dehydrated. Feeling sore in my pecs/chest/anterior deltoids. I looked at my ankles and they're not swollen, but were when I went to bed last night. And still just spotting on menstruation. Haven't had an actual flow in a while. I should have an MLD client that is prepaid today after work, but will check with her to see. Measurements taken after a reg lg BM and 2 cups coffee. 3 cups coffee before leaving for work and after showering. Vitamins taken with a bag of baked chips. planned to have pizza rolls for lunch and breakfast on way to work. But ate all pizza rolls about 24 of them or 1 1/2 servings pizza rolls on the way to work. At lunch time had a double salmon poki bowl with brown rice, ponzu sauce, misago, cucumbers, ginger, and cream cheese and a 4th cup of kpod coffee. I sent the LMTs I had in my phone from Massage Heights Newport Beach Tierian, Elena, and Madison and the Massage Heights Chino Hills Dahlbert a photo of the sign saying to bring an LMT to get hired at my work and get $500 if full time and after 90 days or $250 if part time. And a previous text as group message added to the initial message sent the other day of work I think yesterday, and I finally got a reply from Dahlbert to stfu and that he and they get it that we need workers but to stop sending them stuff. I told him I was trying to help him out bc I know they don't make as much, aren't respected or treated civilly as human beings by making them use used toilet paper rolls instead of client toilet paper and having to wait 11 days after pay cycle and getting paid after holidays or weekends if the pay day falls on that day and also being yelled at by lead massage therapists at work, and that he can see how it seems I am bragging about being paid living wages instead of trying to help him and he also said its people I don't know or like, and he doesn't know them. One is a person I stay updated on instagram and facebook but rarely like any of his stuff Tiernan or get any likes on my posts by him that I didn't tell him. He can go fuck off for all I care. Trying to help some loser abused out and they do that to me, they can go fuck off. Not interested. He will be taken off my contacts. I just looked and he isn't in my contacts before taking him off of my contacts. But he shows up on the text. He also said that 'with my android ass' like that means I am cheap or don't make enough for an iphone, or everyone else has an iphone. Not sure what that means. I have stopped 'liking' photos of shares and posts on instagram and facebook because the feed of mine will only populate it with their posts if those are the only posts I 'like'. Time to take a break from that crap probably for a long time or near forever. Time consuming and negative for self esteem and not much added worth for social media aquired business. I tried to confirm over RingCentral app the 5pm today and didn't get a reply but it is confirmed in the app, but I have been to her house before and it wasn't a good outcome as I didn't get the message in time that she cancelled, and I set up and waited, but more importantly, the time there, preparing, setting up, waiting, then leaving took about an hour just for that. I don't want to waste my time. Tempted to refund all my clients just so I don't have to be obligated to keep their appointments. I don't know and have no way of knowing when she confirmed the appointment. It just says confirmed in the app for square and the no show policy is checked but its also the wrong service. She booked the one hour $60 when it should be the $0 prepaid already MLD massage. None of the appointments should have the no-show protection confirmed. She was all good. Her 2nd. Need to make SOAP notes and receipt for her. Very nice young lady and her mom. I went to work out after the client and did about a 35 minute workout of arms and obliques, the side twists with 10.5 setting at arms 90 degree at sides pulling, and the downward oblique side flex with some deltoid shoulder lifts 15 lbs each side 3 sets 12 for all exercises, except the triceps pull down for the 30 lb only 10 reps each set of 3, and the dumbbells for the deltoids side lifts 5 lb, the military press 30 lbs of dumbells 15 each side, and the tricep extension on bench making an arm kick back, and the shoulder shrugs upper trapz, and biceps, all 3 sets 12 reps with 15 lbs. Went to Winco next and got more canned cat food, another sweet but skittish kitten, black with yellow eyes has befriended us and the bigger more docile street savy black cat with green eyes. I fed it when I got home, the side diagonal neighbors are having a BBQ gathering and I smell their meat like brisket or something in a smoker, it was on before when leaving to clients and after but with people gathered about 10-15. I got 2 40 pack waters, two of the upgraded winco paper towels that are $4/6 pack instead of $3/6 pack, and 2 of their toilet papers, 3 rubbing alcohol 70% strength, some foil, some chocolate candy bars, Andes mints/Hersheys toffee almond, cadbury type choc almond large size candy bars and box of the small box Andes. Also some more cleaner spray and wipes and dish soap. Not the other two items I have been thinking about like the shower curtain rings and the dish soap that is mid size bw $9-11 instead of the small at $6-8 or the large at $14-18. They didn't have it, nor could I find the shower rings for curtain. The ones I got from Ross months ago suck and it has been on my mind to get the good regular ones that aren't 1/3 a circle and just big enough to not slide on the shower rod but get stuck in place and have to manually be babied to open and close or else they fall off. They were only $5 at the time, probably thought a $5 savings off an expected $10 for the no hassle kind. I didn't like the others and assumed I would like these when I replaced them before trying them out and that was a mistake to throw out the other ones as soon as I put these loser ones on. I also drank a drink after doing a bunch of dishes and fed the babies 1 tiny bit of the cadbury type chocolate with almonds. They can't have too much. I also gave Growly his meds when I got home from work before leaving for the client's house. When I went to the gym after the client's appointment around 6 pm it was still 103 degrees approximately and stayed that way pretty much all day bw 102 and 103. Also, a long time ago I was in a foxy boxing video where I learned to box, not proud of it, but will get defensive if any person tries to use that against me in trying to improve myself, the theme song for that video, look it up if you can and want to see me a sexy beast at age 22, I am now 39, anyways WGFC.net, the video last I checked was $10, Sabrina was who I made out with fourplay, not counted in my count as my husband is #40 ever, but three females I do believe are. Not my thing for permanent, it was just for thrill and in wild days. Very submissive to a point but easily reverse psychology sqeeze theorem controlled into doing things I would not have done had I a better more positive outlook on life and prospects for my future. Wild Girls Fight Club. I am Janice, as they spelled my name wrong, the only good looking one, wink wink, just kidding. This was 2003, I actually technically knocked out the video material for the 2nd DVD, but they didn't raise enough for this one so I end up as a win on one fight and a technical knockout on other, they called me Taz because I spin fist punched Sabrina, the girl I made out with, when she was punching me in the back of the head and back kicked her. She is actually the reason my jaw  made my front tooth slide out of alignment and stay that way for years. I was 111 lbs and she was 135 lbs and I wasn't experienced in boxing, but I got my experience in my break and next promo for the other 2 fights. You really only learn those skills in the ring in competition, bc its all for show and no momentum or balance or placement of feet until that point. Kind of like throwing a baby in the water to sink or swim. But your trained with basics before doing it. Anybody who brings that up to keep me who lost my virginity at 14.5 years old and has schizophrenia and autism can suck a duck, and get prepared for battle as I label you a misogynist, a sexist, a racist, extremist, etc. There is nobody who was hurt in that filming and I was paid $1500 for it and it was on camera. Kiss my ass but I don't tell anybody. Feel free to if you want to, nobody cares. And its only showing tits and R rated fourplay with another female. One of the producers tried really hard to get me to make out with him for the camera, but he was repulsive and I wasn't going to do that. He was like a misogynist who wants females at his mercy just like most guys who workout and don't do much with their lives. Lets stop there, the theme song was playing on the way into the gym like I was going to get ready to hit the bags after posting that instagram of that ex coworker who had the nerve to tell me to stfu. Loser! He wasn't enough to get me there. I still have muscle memory anyways, bc Princess got out the gate and as I was unloading the light stuff the roommate left the gate open and I heard him yell, 'Princess, get over here!' and she ran over and without any other action I kicked my foot out right when she almost ran into it. But she stopped and I got her in the house. She must have saw the little kitten run away. Poor little kitty. Its so cute. It meows for food, but hisses when I get too close to it when laying the food close to her. Didn't eat food after work, the client, the grocery trip and workout prior to that, and had the drink and putting in this updated notes. Went to bed around 1030 pm after putting laundry in the dryer having a PB based burger and a couple drinks.</t>
  </si>
  <si>
    <t xml:space="preserve">Woke up at 530 am by alarm. Had to get up bc I have to get ready by 630 am. Did normal routine and folded laundry. Had a lg BM after 2nd cup of coffee and made 3rd cup of coffee and pizza rolls to eat later. Took measurements after BM. Ankles are swollen and didn't notice any spotting over night but did spot yesterday. Didn't see if they were swollen last night before bed but didn't start the day swollen. Prob the ponzu poki bowl sauce high sodium yesterday at lunch. Started out a hot morning to comfort level. At work was labor day and started a full schedule but the middle cancelled not sure if paid for it but did get an hour booked in that 90 minute spot.For lunch had 85 degrees bakery but the milk tea in the bottle upset my stomach with gas and felt burpy and later just gas but felt like I was sick with that sharp gut pain gas gives. First time drinking milk tea had about 2/3 the bottle then when the client no-showed or cancelled and the other client getting out of a facial booked an hour massage 30 minutes later because the hour started already, I had a 4th cup kpod vanilla bean coffee, it made me sweat. After work started drinking and looking at Amazon and noticed even though I ordered the books by ISBN number ID the editions were wrong so I ordered the versions by edition in kindle and downloaded the kindle app to this laptop first time at PC 5 kindle, Over ten or so years. Thank fully not more than $40 for the two kindle versions to rent until 12/22/21, but the other 2 books are the correct ISBNs and no kindle version for them to rent. So I will see. I also ordered some shower curtain rings and another clock. I don't know what I did to my other little clock. I can't find it. I know I had it at the client in Murrieta but I didn't see it in the bag or at home in the cat tree or the RF machine cart in the back or the middle console. Not sure where it is. I also ordered a stylus. All 3 arrive tomorrow according to AMazon, and my first class in the DC program is at 10 am. I am lab B, and I did see the email that all labs meet at 10 am and log into the provided zoom link. I will have to do this at 945 am or so, bc it was stated discussed to do so in orientation or somewhere that I read in orientation material. I need to make the backdrop pro and conceal my bedroom and add a pro photo if I don't want my video to be on. I only have that one 2 hour class tomorro from 10 am - 12 pm. After doing the book searches and purchases, I still need 4 books to arrive between the 9th and 21st of this month. But I ate a PB patty on oat bread with mozz/parm and pickles and 6 pcs or 1/4 the cadbury chocolate candy bar, and had a total of 3 jack daniels and ice with water on the side. Also, that indigestion made me have 2 small BMs after work bw 3 and 5 pm. I am sore today from the workouts over last few days on my legs and chest and shoulders. And triceps. My legs just my hamstrings not my quads. </t>
  </si>
  <si>
    <t>cadbury chocolate almond candy bar, 5 pcs is  serving, 3.5 pcs per bar, serving:</t>
  </si>
  <si>
    <t>Milk Tea 85 degrees bakery, 2 servings per bottle, 1 serving:</t>
  </si>
  <si>
    <t>16 pcs cheese pizza rolls totino, a serving
(210.00	8.00	2.00	5.00	31.00	1.00	320.00)
2/3 bottle 85 degrees milk tea
(493.33	21.33	21.33	0.00	85.33	0.00	6.67)
salt butter bread 85 degrees bakery
(320	17	10	6	35	0	430)
bb muffin 85 degrees bakery
(600	8	3	15	120	0	600)
6 pcs or 1/3-1/4 cadbury chocolate almond candy bar
(180	9.6	4.8	3.6	19.2	1.2	30)
EL PB patty
(100.00	6.00	4.00	8.00	2.00	0.00	280.00)
2 slices oat bread
(220.00	4.00	0.00	8.00	38.00	4.00	270.00)
1/4 cup mozz/parm
(100.00	6.00	4.00	8.00	2.00	0.00	280.00)
serving pickles
(30	0	0	0	8	1	150)
=210+493+320+600+180+100+220+100+30
=8+21+17+8+10+6+4+6+0
=2+21+10+3+5+4+0+4+0
=5+0+6+15+4+8+8+8+0
=31+85+35+120+19+2+38+2+8
=1+0+0+0+1.2+0+4+0+1
=320+7+430+600+30+280+270+280+150</t>
  </si>
  <si>
    <t xml:space="preserve">9 cheese pizza bagel bites, serving is 4 bites, a pkg has 2 1/4 servings, 1 serving: </t>
  </si>
  <si>
    <t xml:space="preserve">Thomas English muffin cinnabon
(150	1.5	0.5	5	30	1	200)
EL PB patty
(100.00	6.00	4.00	8.00	2.00	0.00	280.00)
2 slices oat bread
(220.00	4.00	0.00	8.00	38.00	4.00	270.00)
1/4 cup mozz/parm
(100.00	6.00	4.00	8.00	2.00	0.00	280.00)
serving pickles
(30	0	0	0	8	1	150)
9 cheese pizza bagel bites
(405	11.25	6.75	13.5	63	2.25	810)
3 servings baked cheetos
(360	12	1.5	6	54	3	630)
3 pcs cadbury chocolate almond candy bar
(90	4.8	2.4	1.8	9.6	0.6	15)
=150+100+220+100+30+405+360+90
=1.5+6+4+6+0+11.25+12+4.8
=0.5+4+0+4+0+6.75+1.5+2.4
=5+8+8+8+0+13.5+6+1.8
=30+2+38+2+8+63+54+9.6
=1+0+4+0+1+2.25+3+0.6
=200+280+270+280+150+810+630+15
</t>
  </si>
  <si>
    <t>Woke up at 530 by alarm but laid in bed while roommate got home and unpacked his lunch stuff from night and got out of bed by 630 alarm and did normal routine, fed Growly by oral syringe, fed babies food, made my coffee, had a reg sm BM by 2nd cup coffee vanilla bean kpod, and another small one by 3rd cup. Then took measurements. Feels more warm lately than the weather is reporting at this time. I am comfortable but usually I am cold around 60-70 degrees or colder. Was looking at how much I spent on my Amazon account for my supplies and listed it out and bought a couple more kindle versions of text books that were pricey almost the same for one hard copy and more expensive for the other hard copy of the textbooks needed for my on campus lab of the chriopractic procedures. Am using my kindle fire to take to that on campus course on Wed/Thur afternoons. My ankles didn't start out swollen but had wrinkles where normally puffy and swollen, kind of unusual. Got about 1015 pm to 530 am sleep hours of about 7 hours bc I laid in bed a bit just resting not fully asleep before 630 am. I have 18 books, 2 are purchased hard copies and kindle copies bc they will arrive after school starts by 2-3 weeks, and there are 2 kindle editions that are the later editions needed, that the ISBN numbers didn't give with the correct typed edition and they are rentals only through Dec 22nd 2021. I spent $1732.35 on only the text books, and the study aids for biology and chemistry as this will improve my understanding with the microscope and slides, pippettes, beakers, blades needed, stethoscope and BP cuff, lab kits, disposable gloves, beakers and glass measureing tubes and containers was ... $482.40. So far I have spent $2,214.75 on supplies and study aides and all the text books for this term. Hopefully these books are used again next term. My advisor texted me to make sure I am checking into first class today, which is helpful. I plan on taking multivitamins with a Thomas's English muffin cinnabon flavor. Then showering and getting ready for first zoom meeting. Maybe working out with weights later. Body still sore. Not too much though. Went through the lecture and notetaking and then the readings and took the preclass quiz 1 finished by 745 pm just before 8 pm, and looked at the other 4 classes, much reading, will definitely be doing that for a while, no due dates on the courses and wrong dates from last term in two classes. Short videos in the 1 unit course. Finished previewing by 836, and saw the readings had links to the campus library to read the first assignements. My L foot and ankle were really swollen by 5 pm and I wore my waist trimmer from about 9 am until that time 5pm, but no compression socks. From being at desk reading with them at 90 degrees for many hours. Snacked on items I got at Smart &amp; Final earlier after the lecture ended at 12 pm. Fed the babies and gave Growly his meds. Breakfast was the Thomas cinnabon english muffin, then lunch after LE in GA or gen anatomy was the EL PB patty, oat bread, pickles, mozz/parm, had 4th kpod coffee at that time before the grocery trip. When I got back, looked at the prerecorded videos for 2.5-3 hours and then read the reading for the day from online source that is provided without being on book list. Because it wasn't and I didn't order it. The lectures synthesize whats in it. Had 3 pcs of the cadbury almond chocolate and shared with babies 1 pc each, then had the 9 cheese pizza bagel bites in a pkg, then later had a serving of cheese pizza rolls, and altogether snacks of 1 serving baked cheetos with bagel bites, then 2 servings baked cheetos later while taking the preclass quiz, 2 attempts, got 4/5 1st attempt and 5/5 2nd attempt, the avg was 4.5 for me. Had 5th cup coffee before reading the GA readings for the preclass quiz and after the prerecorded 2.5-3 hour LEs. It was a kono brand kpod on sale at Smart &amp; Final tastes just like instant tasters choice brand I use occasionally. Went to bed around 915 pm tired. Woke up a bit during night and went back to sleep.</t>
  </si>
  <si>
    <t>Sweet Earth bacon burger plant based hamburger patty</t>
  </si>
  <si>
    <t>Everything Bagels poppyseed, 1 bagel</t>
  </si>
  <si>
    <t>Mozzarella fancy shredded Smart&amp;Final brand, serving is 1/3 cup</t>
  </si>
  <si>
    <t>mustard French's brand, 1 tbs is a serving</t>
  </si>
  <si>
    <t>pickle slices serving is 5 chips</t>
  </si>
  <si>
    <t xml:space="preserve">5 servings cheetos
(600	20	2.5	10	90	5	1050)
3 servings pizza cheese rolls totino
(630	24	6	15	93	3	960)
1 bag doritos ranch
(150	8	1	2	18	1	190)
1 Sweet Earth vegan bacon burger patty
(330	18	9	26	16	2	420)
1 everything bagel
(240.00	2.00	0.50	8.00	46.00	2.00	630.00)
1/3 cup mozz on bagel
(80	5	3.5	6	2	0	190)
pickles
(0	0	0	0	1	0	260)
1 tbs mustard
(0.00	0.00	0.00	0.00	0.00	0.00	55.00)
=600+630+150+330+240+80+0+0
=20+24+8+18+2+5+0+0
=2.5+6+1+9+0.5+3.5+0+0
=10+15+2+26+8+6+0+0
=90+93+18+16+46+2+1+0
=5+3+1+2+2+0+0+0
=1050+960+190+420+630+190+260+55
</t>
  </si>
  <si>
    <t>Woke up at 530 am by alarm, got out at that time, cleaned some pet messes and prepared my coffee, Growly's meds, and the babies' food while the roommate was getting back home also at that time. Then looked at my checking and credit card balances. A couple books that weren't shipped yet from Amazon were charged to my card last night both over $100 and one regular client for couples booked a massage for this Sunday. That's cool. I will see if my other client that rescheduled her 2 appts last week will do the same with this one tonight at 7 pm when returning from my first on campus chiropractic and palpation techniques course. Got about 8 hours of sleep. Went to bed around 915 pm and woke up at 1 am to pee and went back to sleep, waking a couple times for a few minutes. Had a reg BM after 2nd cup of coffee and before 3rd cup of coffee, then took measurements. Had my multivitamins with cheetos. Ankles are already slightly swollen, went to bed with white cotton socks on instead of none or the normal compression socks I wear, and woke up with marks in my lower legs above foot and a little swollen in area above wear ankle socks end. Like it pushed fluid up above ankles but left marks in skin by ankles of the cotton elastic bands. I want to shower by 7 am so that I can get ready before the course starts at 8 am but checking in at 7:45 am, then have a 2 hour general anatomy course. Then drive to Whittier for my afternoon chiropractic and palpation techniques course. I am going to airfry some pizza rolls while I am in the shower to snack on in class and bw classes. They take forever to cool down too. So it works out bc its 653 am right now. Had my morning lectures and ate a couple servings along the way and about 2 servings baked cheetos, and a bag of doritos and cheetos on the way to campus, there was some traffic after 1130 am and delayed by 15 minutes. Had the courses for chiropractic and palpation, with a kn95 mask for everyone to where indoors all the time. Three of the tallest dudes are in my group, 6'2", 6'5", and 6'8" then me and a guy that's 5'7", most the people are 5'7" and my side of the bldg had 1 girl per group of 5 guys except one group had 2 girls. Not many females in program. They were all nice and friendly. Need a gown, and know the dress code. Mostly syllabus review for all classes other then general anatomy. Took side streets home and saw that the road Grand does meet up with a Brea Rd and The road behind the campus, not Imperial Highway but starts with an L, Lambert, Was able to go home give Growly half his heart meds and a water pill, but the roommate fed them so I didn't, I gave hime that before going to campus. Left for my 7 pm MLD prepaid client in Eastvale hadn't seen in a while. Nice lady. Then got home and gave Growly the other half of his pill and made some Sweet Earth vegan bacon hamburger patties and had one burger, saved other for tomorrow. Also had 4th cup of keurig kpod coffee on way to class made in my van before leaving to walk and repark my van after seeing I parked on wrong side of campus and could park much closer, but made a mess trying to make 5th one on way home with water spilling on passenger seat because the keurig tipped over and cleaned it with the soaking up of water, luckily only  1/3 bottle and soaked up about 1/3 the paper towels in front seat. Never poured the kpod so I made it at home and chilled after arriving home and before leaving for clients. Was updating this before making her SOAP notes and receipt and letting burger cool down. It was good. The babies like the part I gave them, 1/4 the uneaten one in 1/3 pieces each for them. Put laundry in dryer. Finished SOAP notes and receipt for client after eating and then put laundry in dryer. Tons of homework to do, but most not due until next week I think. Some courses have quizzes. I will be on top of it when I wake up at 530 am tomorrow. Possibly earlier. I don't want to push it bc I drive to campus later and have a different MLD client at 7 pm but I do get out of my Chiropractic Procedures course at 3 pm tomorrow. So enough time. Side roads only took about an hour and 10 minutes to get home, we got out early from the last course because not enough time to start a new topic. Bed by 1015 pm.</t>
  </si>
  <si>
    <t>back, machine rows mid trapz/deltoids/rhomboids 3 sets 12, 40 lbs
back, lower trapz/deltoids/latts/teres minor 3 sets 12, 50 lbs
inner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shoulders/neck/triceps/pecs</t>
  </si>
  <si>
    <t>jack daniels and ice</t>
  </si>
  <si>
    <t xml:space="preserve">Andes 5pcs chocolate mints
(320	20.8	19.2	3.2	35.2	3.2	32)
1/2 sweet earth PB patty
(165	9	4.5	13	8	1	210)
1/2 everything bagel
(120	1	0.25	4	23	1	315)
1/4 mozz
(60	3.75	2.625	4.5	1.5	0	142.5)
1 serving pickles
(0	0	0	0	1	0	260)
1 tbs mustard
(0.00	0.00	0.00	0.00	0.00	0.00	55.00)
6 pizza bagel bites,burnt in airfryer and cut off most of the burnt part
(270	7.5	4.5	9	42	1.5	540)
5 servings baked cheetos
(600	20	2.5	10	90	5	1050)
1.5 servings cheese pizza rolls totino
(315	12	3	7.5	46.5	1.5	480)
=320+165+120+60+0+0+270+600+315
=20.8+9+1+3.75+0+0+7.5+20+12
=19.2+4.5+0.25+2.6+0+0+4.5+2.5+3
=3.2+13+4+4.5+0+0+9+10+7.5
=35.2+8+23+1.5+1+0+42+90+46.5
=3.2+1+1+0+0+0+1.5+5+1.5
=32+210+315+142.5+260+55+540+1050+480
</t>
  </si>
  <si>
    <t>Woke up at 530 am by alarm and laid in bed 10 minutes then did normal routine. My neck/collar bone and upper trapz/levator scapula ached and still do at almost 7 am. Gave Growly his meds by oral syringe, fed babies, had my coffee, warmed up the refrigerated one from yesterday. Then another one made in keurig and read the Langman's readings on embryology for GA but didn't finish the Wed. one and had a reg BM, then made the 3rd cup of coffee and finished the reading and decided to print the readings for the course that I could read later as pdf instead of logging onto the campus library, bc it limits the readers from 2-10 per item. And I might not get to log in to read it later. I made some pizza bites by microwave as much faster and had my vitamins with 1/2 serving of them when cooled down and my 3rd cup coffee. Still have laundry in the dryer to fold but restarted again 2x, once when waking and moving around the roommate as he got home, and then while making pizza bites. I am going to review the ppt of the 2 hour FABS course before it starts right after the 1 hour GA LE today. But want to shower and get ready by 730 am. Measurements taken after breakfast and a BM and before finishing 3rd cup of coffee around 7am. The chiropractic procedures class was cool, we got closer to physical adjustments, still going over procedures but reviewed the bony landmarks of hand and pelvis mostly sacrum area. Had 5th cup of coffee at school and 6th cup a little right before my 7 pm client and the rest at 810 pm right after that client. I got home from class today at about 410 pm, bc no IPA class at 3 pm and took side streets. Same or faster than traffic, what Waze recommended. After client's went to gym and did the leg and back workout and think I got all machines, same weight used. My R hamstring itches, probably from sitting in cleaning 409 spray I brought before it dried completely and hairs growing in when I shave a few days ago. Saw the roommate there and forgot he works out on that time every day except Sunday. He told me to stay out his way like always in past. I managed to squeeze in my routine but the gym was busy, had to leave to other parts of routine then come back to the machines in order. Did the back rows, back latt pull downs, the inner thighs, missed the outer thighs completely, went to the bench press, then to the dead lifts, squats with barbell, then the front leg extension quads, back leg curls hamstrings and left without really stretching. Did only an upper body quick stretch of Rotator cuff muscles and neck. Had a kink in my neck this morning and during the break of FA LE put some CBD and biofreeze and used massage cane on it. Worked but felt it later, And after class it felt ok, but I got tired when home, and it started hurting or aching again, and felt it during my workout some. I also felt kind of dizzy from wearing my face mask and probably not getting enough oxygen. Only afterwards and some during bench press or bending forward and getting up fast like when disinfecting machines. And when getting out of car, they closed the off ramp on 91 to Main street without a warning and had to go around, fed the kitty again. I think it must be partially blind or have poor vision, the black kitten, bc it doesn't go immediately to the food. Have an 8 am lecture in CP1 class, then the first Cell Tissue Anatomy and Physiology LE for 1.5 hours or so. from 1-230 pm. Bed time was late due to waiting to put clothes in dryer and needing to spin the wash before putting in dryer and they weren't ready at 1048 pm. I got home around 920 pm from the gym.</t>
  </si>
  <si>
    <t>First Street Spanakopita pastries, 12 pastries per pkg, 1 serving is 4 pieces:</t>
  </si>
  <si>
    <t>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 side twists, 1 set 12 reps 7.5 setting, 2 sets 12 reps 10.5 setting each side
outer thighs, 3 sets 12, 40 lbs</t>
  </si>
  <si>
    <t>vlasic pickles, serving is 2.5 pickle chips</t>
  </si>
  <si>
    <t xml:space="preserve">spanakopita pkg 12
(630	36	13.5	18	51	0	1050)
2 servings cheese pizza rolls
(420	16	4	10	62	2	640)
1 serving 8pcs Andes mint chocolates
(200	13	12	2	22	2	20)
1 everything bagel
(240.00	2.00	0.50	8.00	46.00	2.00	630.00)
1/4 cup mozzarella
(80	5	3.5	6	2	0	190)
6 of the Vlasic pickles high sodium per 2.5 pickles is 400 mg
(11.5	0	0	0	2.3	0	920)
1 tbs mustard
(0.00	0.00	0.00	0.00	0.00	0.00	55.00)
=630+420+200+240+80+11.5+0
=36+16+13+2+5+0+0
=13.5+4+12+1+3.5+0+0
=18+10+2+8+6+0+0
=51+62+22+46+2+2.3+0
=0+2+2+2+0+0+0
=1050+640+20+630+190+920+55
</t>
  </si>
  <si>
    <t xml:space="preserve">Woke up at 530 am by alarm, upper R back,neck,shoulders still ache. Stayed in bed until 6 am and got out as the roommate was unpacking his stuff from his arrival from work a few minutes after 530 am. Did normal routine with feeding Growly by syringe in mouth his meds, the babies their food, my 1st cup of coffee, checked into the smartabase covid19 app and looked at announcements in my canvas dashboard and emails and my personal email. Happy that my financial aid was direct deposited last night. That is super cool. If I need to refund my clients' their money I can do it all on my default amount instead of theirs. Homework is manageable, but homework sleep balance not so much if I really do everything when due for ideal preparation before classes. Going to eat breakfast the spinach spanakopita frozen First Street brand pastries in airfryer I got from Smart&amp;Final the other day. My lecture on virtual is CP1 for an hour then three hours to review the readings for the first CTAP course, then an hour to get ready for work. Planning on showering before first lecture, but might just review the items of readings. Measurements taken before breakfast and a BM. Had a sm reg BM before breakfast, after measurements and after 2nd cup of coffee and before 3rd cup coffee. Snacked on the spanakopita pastries, too early to eat them all 12 pcs, took my multivitamins with them. I work tonight from 5 pm to 10 pm and get up early for work a long day, first long Saturday from 8 am to 5 pm. Had the lecture that went over by an hour and almost a half, bc she recorded the 2nd topic, very informative though. Learned that men have a longer less mobile pelvis and truck drivers get SI joint pain more than females like I have but athletes that are males get the SI joint pain, bc women usually sit on one leg when sitting it kinks their neck sideways to adjust eyes to screen level to see and gives a headache to them. As one possible reason from instructor of CP1 class. Then after that course I had time to workout but didn't bc I finished the definitions and then looked at some of the pdf ppts for the 2nd course and took a nap for about 10-15 minutes before class, getting up by alarm 15 minutes before it started. Felt refreshed. Had some pizza rolls and some more at work before starting. Full schedule and had a mini break, called mom but transferred to nurse's station but couldn't speak to the nurse bc of HIPPA as she was with another patient. I wanted to make sure she is doing well and getting better. Last time I spoke to her yesterday or the day before yesterday she said she still feels really tired and feels like she is getting better only slightly and hadn't talked to Mo. I got home around 1020 pm and made a drink of Jameson over ice with a water bottle on the side. My tongue is burning from all the cheetos I ate yesterday and day before, maybe all the sodium on my tongue when driving to the labs and not enough water. I worked out befor work too, from 315 pm to 4 pm and went to work. Got there about 430 pm. Had time to spare and ate the pizza bites then. No snack on my mini. After work, Growly was really huffing and puffing for air. Princess ate his food with meds in it but I gave him meds manually with the oral syringe after finding out. Princess is fine. She took a water pill and the heart med and acts the same. She didn't pee more than normal and she doesn't sleep with her eyes open staring like Growly does with the heart meds. Shes a chihuahua miniature pinture mix. Super hyper normally and still the same. Thats  good to know. I also had a serving of the Andes chocolates in the afternoon at the last virtual class while listening to him. He made sense with the cells, and we didn't discuss the fact that ribosomes, a bunch of them in the cell are creating proteins that maintain the cell, and the RER creates proteins that are excreted out the cell in my genetics or biology courses I just took this Spring and Summer. That is a cool fact. Amazon's vendor with one of the CP1 paper copy books refunded me money but didn't say why, maybe bc I bought the digital order and they are connected or bc they just charged me 2 days ago for it that was ordered at the end of August I think or early September, and decided they don't have it. But I didn't request a refund. I messaged them asking why. Not sure if they replied. But I do have the etextbook version forever as it was available to buy. Ankles were very swollen when I took off my socks and changed into my dress to sleep in before drinking the drink I made for self. Updated this data. I had a headache earlier after the first class and it started about 1/3 to 1/2 through the 2nd virtual course. I drank some coffee the 5th cup to make it go away around 145 pm. It was a blinding vision. I checked my email and the vendor replied and said they knew it would be confusing to me to find out but they had a log error and when pulling the book it wasn't in stock so they refunded me the money. No worries. Bed by 1130 pm. </t>
  </si>
  <si>
    <t>Lunch Buddies Aldis brand snack packs fruit snacks, serving is 1 pouch:</t>
  </si>
  <si>
    <t>Clancys Apple chips Aldi brand dehydrated red apple snack, sering is 1 oz, 12 chips</t>
  </si>
  <si>
    <t>inner thighs, 3 sets 12, 40 lbs
quads leg extension/knee extension, 3 sets 12, 40 lbs
quads/glutes/hips squats barbell 3 sets 12, 55 lbs
hamstrings leg curls sitting machine, 3 sets 12, 40 lbs
stretches shoulders/neck/triceps/pecs</t>
  </si>
  <si>
    <t>Celeste cheese pizza for one, Smart&amp;Final</t>
  </si>
  <si>
    <t xml:space="preserve">1 everything bagel
(240.00	2.00	0.50	8.00	46.00	2.00	630.00)
1/4 cup mozzarella
(80	5	3.5	6	2	0	190)
3 of the Vlasic pickles high sodium per 2.5 pickles is 400 mg
(5.75	0	0	0	1.15	0	460)
1 tbs mustard
(0.00	0.00	0.00	0.00	0.00	0.00	55.00)
1 everything bagel
(240.00	2.00	0.50	8.00	46.00	2.00	630.00)
8 fruit snacks little snack packs Aldis
(640.00	0.00	0.00	8.00	152.00	0.00	160.00)
16 pcs/slices dehydrated Aldis brand apple slices
(186.67	9.33	1.33	0.00	26.67	2.67	20.00)
Celest pizza for one Smart &amp; Final serving is 1 pizza
(380.00	17.00	9.00	9.00	48.00	3.00	880.00)
Andes chocolates 3 pcs
(75	4.875	4.5	0.75	8.25	0.75	7.5)
avocado small in airfryer on top of celeste cheese pizza
(241.5	21.75	3	3	12.75	13.5	10.5)
=240+80+5.75+0+240+640+187+380+75+242
=2+5+0+02+0+9+17+5+22
=1+3.5+0+0+1+0+1+9+5+3
=8+6+0+0+8+8+0+9+1+3
=46+2+1.15+0+46+152+27+48+8+13
=2+0+0+0+2+0+3+3+1+14
=630+190+460+55+630+160+20+880+8+11
</t>
  </si>
  <si>
    <t>Woke up at 530 am and got out of bed 10 minutes later. Made my 1st cup of coffee and gave Growly his meds by oral syringe then fed babies and did the dishes from yesterday of the roommate's and after babies done eating. I woke up and went to bed with that pain in upper right trapezius levator scapula area. The coffee helps make the pain go away. But still there, not sure what it is from. I have work from 8 am to 5 pm today. Took measurements after 1st cup of coffee and before a reg sm BM and after the BM only went down by 1/8" around abdominal area to 30 3/8" at BB and 32 1/8" at 2" below BB. Made a bagel with pickles mustard and mozzarella in airfryer with cheese only and had multivitamins after 630 alarm and then got ready for work. At work on my break for an hour had an everything bagel, called Mom's hospital. Couldn't speak to her but the charge nurse said, she has blood in her stool last 2 days and they are checking on it, and needs a colonoscopy but it could be hemorhoids or diverticulitis. Also, her white blood cells dropped which is good because they are at a healthy level not fighting infection and red blood cells and hemoglobin is at a 13 instead of a 6 or 7 range and that is good. She is tired though and can't talk too much. That's good, hopefully the blood is just something that can be fixed easily with meds or treatment. Hopefully she gets better soon. Love that lady. I need to check on my pops too, he's a cool dude I love too. Was going to do that after work but got home and wanted to do some cardio on the bags for a workout, no movtivation other than to sweat. Did that for 5 rounds 3 minutes with 1 minute rests and then did the machines for legs on inner/outer/quads with leg extensions/hamstrings with leg curls and the side lifts for obliques with 20 kg. 3 sets of 10-15 depending on weight. Ankles were slightly swollen with compression socks and new shorts that are spandex like volleyball player shorts. The roommate came in right when I was finishing up with stretches at the gym and looked upset I was there and I heard him say something and bro! and sigh. Its not his gym and he should have gotten there earlier bc they close at 8 pm on Saturdays and he checked in at 720 pm. Didn't eat any more after work, but on break did get some fruit snacks and apple chips and had about 16 apple chips bw lunch and drive home from work, and 5 fruit snacks at lunch and 3 after work and 5th cup kpod coffee after work, with 4th cup at lunch. Some dude, that was doing Thai Kwon Do wanted to offer me some tips into my 3rd round while resting the minute before it. And I said no thank you to him and its funny that he didn't see me working out with a timer that I had to tell him I have my own workout and may or may not have thanked him. But he's not my hero and I'm not his fan. Everyone has a style and I was doing boxing not legs today. Had another drink for 2 total then made a celeste cheese pizza in airfryer with last unripe avocado on top in airfryer. That was around 920 pm.Listened to country music once started drinking. I also had 2-3 pieces of Andes chocolates as I grabbed 5 pcs but shared with the babies. Went to bed after watching an episode of Only Murderers in the Building on Hulu. That was 1030 pm ish.</t>
  </si>
  <si>
    <t>Woke up at 530 am by alarm, got up a couple times in night to pee and when the roommate got home I thought it was 530 am but it was after 1145 pm but before 12 am. It woke me up but I laid in bed until I went to sleep a few minutes later. Got out of bed around 540 am and did normal routine, coffee, clean pet mess, Growly meds by syringe in mouth, need more of his meds real soon a few days like 4 more of the 24 hour pill left, all meds, fed babies their normal food, restarted dryer then had a 2nd cup of coffee. My roommate put a book on my desk in the morning that I didn't to check to see if it arrived. It was the last expected book as one book was refunded by vendor for not having it. I have it on kindle but would like the physical book. After 2nd cup of coffee put away clothes and made 3rd cup of coffee, had a BM, slightly diarhea a med amt. Then updated this database and took measurements before breakfast and vitamins. Then showered to get ready for work. Work 9am-5pm. Then a couples at 7 pm. Regular clients didn't see last month, they usually get massages on Friday at 5 pm. My availability changed bc of school and thats cool they could work with my schedule. Ankles were slightly swollen in the morning. Had about 11-13 cheese pizza rolls of course sharing with Princess. But microwaved to take multivitamins with. Washed the covers on bed too. But enough hot water to shower. Then at work for lunch had a double salmon poki bowl with brown rice, ginger, wasabi, masago, cucumbers, and ponzu sauce and cream cheese. Didn't taste the best, had that fish taste. But just ate more meninge burning wasabe in each bite. Had my 4th cup of kpod coffee at lunch and no 5th cup by the time I left work to go to my 6 pm couples massage in South Corona. I had 5 fruit snacks on the way there, and 1 more on the way back home from the couples massage and Target to get big headbands that could keep more of my stray hairs out my face and ears and eyes. After work had 2 Jameson whiskey on ice and 20 cheese pizza rolls microwaved. Had laundry in wash by 1030 pm, and finished pizza rolls by 1140 pm. Did the receipts for clients, and had 2 clients I massaged before want to book a massage, but I am busy with homework and keeping on top my studies. I can't take on more appointments. Like I said, busy when I need time to study, and slow AF when not in school or doing anything other than work. Went to bed at 1230 am and the roommate got home and made a little noise later around 1 am.</t>
  </si>
  <si>
    <t>Plain bagels, First Street Smart&amp;Final brand</t>
  </si>
  <si>
    <t>31 pizza rolls cheese totino
(420	16	4	10	62	2	640)
6 fruit snacks
(480	0	0	6	114	0	120)
2 servings apple chips
(280	14	2	0	40	4	30)
double salmon poke bowl with cucumbers, ginger, brown rice, ponzu sauce, masago
(578.5	11.075	2.15	17.7	101.75	8.25	1731)
cream cheese 1/8th a pkg in poke bowl
(51	5.1	3.2	1.1	0.4	0	43)
=420+480+280+579+51
=16+0+14+11+5
=4+0+2+2+3
=10+6+0+18+1
=62+114+40+102+0.4
=2+0+4+8+0
=640+120+30+1731+43</t>
  </si>
  <si>
    <t>battered zucchini sticks, Anchor Smart &amp; Final brand frozen foods, serving 5 pcs/sticks</t>
  </si>
  <si>
    <t>quads squats barbl +20, pec maj/ant delt milt prs +10, triceps chair dip body weight 147, triceps over head dumbell 20 lbs, deltoids shoulder flys lateral lifts dumbells +3 lbs, hamstrings deadlift +10 lbs dumbells</t>
  </si>
  <si>
    <t xml:space="preserve">quads squats barbell 1 set 12 reps 65 lbs, 2 sets 12 reps 85 lbs, +20 lbs
bicep curls 3 sets 12 reps 15 lbs each arm
tricep kick backs, 3 sets 12 reps 15 lbs each arm
deltoids side lifts, 3 sets 12 reps 8 lbs each arm, +3 lbs each deltoid
upper deltoids pectoralis major military press, 3 sets 12 reps 20 lbs each arm,+10 lbs total
deltoids upper trapz shoulder shrugs, 3 sets 12 reps 20 lbs each arm, +10 lbs total
hamstrings deadlifts dumbells, 3 sets/12 reps 40 lbs, +10 lbs 
rhomboids/lwr trapezius back row machine 40 lbs
lattisimus dorsi back pull down machine 1 set/12 reps 50 lbs, 2 sets/12 reps 60 lbs,+10 lbs
</t>
  </si>
  <si>
    <t xml:space="preserve">Woke up at 530 am by alarm but stayed in bed until 6 am tired. Got 5 hours sleep, did normal routine, need to get more wet cat food had 2 cans left after feeding babies will do on my break. First class at 10 am, texted Dad to ask how he was doing and tell him about Mom around 720 am. Gave Growly his meds first thing in the morning, and fed babies, folded laundry, sent out receipt and SOAP notes before that. Last night took my M-Th schedule for biz off availability. Because more clients are booking. I don't have the time to keep up, it takes time to get there, do the massage, time to pack up and get back home that takes from studying and doing well in my DC coursework. I am thankful to have them, but they can book on the weekend and the MLD pkg clients can get a refund. This is exactly why I plan to not take any more pkg clients bc of not having time right now. Last night I got back from clients and Target at around 1030 to 1045 pm. I got to the Target only 2 miles from them at 945 pm. It could have been earlier but my Square app wasn't working and this happened after logging off the client's wifi network. I was able to read a phone update about apps and check to use mobile data then go into range of a mobile data out front for Tmobile, but it took about 10-15 minutes extra time. Today after 2 cups of coffee and while doing the desk notes to clients and reviewing some emails and the school announcements, I had a reg BM, then made 3rd cup of coffee folded the linens and laundry, put the pillow and other blanket in dryer and started the roommate's laundry. I put the pillow and other blanket on the bed in the wash after the linens from client's before bed to wash last night. For breakfast had an airfryed plain bagel with 1/4 cup mozz over it in airfryer. Worked on the 3rd cup of coffee with the bagel and took my multivitamins with the bagel. Might work out today, since it would be a great habit/routine to start doing again. Would be back and arms or close to it and squats missed last workout. It will likely be after 3 pm if I do workout as my courses end but study time begins after 230 pm. I also have a break bw 12 pm and 130 pm bw FABS and CTAP courses for the day's LEs. Took measurements after a BM and after the breakfast and multivitamins about 20 minutes afterwards. Did the dishes then showered and got ready for the day. Was tired during 2nd LE of CTAP course and almost fell asleep but stayed in with camera off till last half hour. Worked out at gym bw 315-420 pm and added a few exercises I forgot about. Mostly arms, back, and quads/hams minimal. Added a few lbs to workout routines. Not busy but started getting busy near the end of my workout. Also, I forgot that I developed some sort of fungal foot infection of dermis between big toe and two little toes. Not sure when I got it and not sure if the shower sharing with the roommate or the sketchers shoes with open ankles that I wore without disinfecting with out socks that I bought about a month ago. I didn't find any athletes spray but went to my van and put some teatree oil with coconut oil on it 24 drops per 1 oz or so oil on it and it stopped itching but made a mess on my linens where I put my foot to put the teatree oil on it. I did that this morning after the shower. It feels better. I need to start doing that every morning and see if it helps it go away or makes it go away or at least the symptoms. I have it on my desk next to my vitamins, lotion, and books and clock. It didn't, it itched badly once I took my socks off, bc the tea tree oil was under light whole time and deactivated in oil, so I went to van and got the one that is essential oil not mixed in carrier oil and put on toes scratching them and kept it in drawer of desk, waited a while to stop itching, put on compression socks, ankles super swollen and itching low legs. Watched the pre-recorded video to take class quiz tomorrow on PNS in 2nd half of part 1 video of human birth defects carried over from week 1. This is now week 2 or module 2. Took notes, waited for itching in legs to go away but the toes stopped itching. I then made a grilled cheese in airfryer with serving of 3 Vlasic pickle chips and mustard with mozz cheese on a brioche bun from Smart&amp;Final. Then I watched the video for our assignment due in intro to phys assessment due tomorrow by 12 pm. Answered questions 4 while watching but didn't see/hear the answers from the Physician on Ted Talk. Got 2/4 right, but tbh one question was multiple check boxes and I picked one extra one but got 2 right, and didn't know that or hear that the guy that discovered percussion or invented it or used it was in Paris. I honestly listened 2x and didn't hear it come up, but that was a question. The assignment said only 1 attempt allowed, but the video asked to retake quiz so I did, and it picked my highest score after giving me the answers on the 1st quiz. So not sure if the highest score will be kept. Mine was a 4/4 on 2nd attempt and a 2/4 on 1st attempt. I had a Jameson and water when looking at the video a 2nd time and it made it more interesting to pay attention to. Was done by 9:45 pm. </t>
  </si>
  <si>
    <t>brioche Artesano brand Smart&amp;Final hamburger buns</t>
  </si>
  <si>
    <t xml:space="preserve">about 24 pizza rolls cheese totino
(315	12	3	7.5	46.5	1.5	480)
1 plain bagel
(230	1	0.5	8	46	2	400)
1/4 cup mozz
(60	3.75	2.625	4.5	1.5	0	142.5)
3 fruit snacks
(240	0	0	3	57	0	60)
2 servings fried zucchini sticks
(300	12	2	4	40	2	720)
1/4 cup mozzarella
(80	5	3.5	6	2	0	190)
3 of the Vlasic pickles high sodium per 2.5 pickles is 400 mg
(5.75	0	0	0	1.15	0	460)
1 tbs mustard
(0.00	0.00	0.00	0.00	0.00	0.00	55.00)
brioche bun
(220	4.5	2.5	7	39	1	280)
=315+230+60+240+300+80+6+0+220
=12+1+4+0+12+5+0+0+4.5
=3+1+3+0+2+3.5+0+0+2.5
=8+8+5+3+4+6+0+0+7
=47+46+2+57+40+2+1+0+39
=1.5+2+0+0+2+0+0+0+1
=480+400+143+60+720+190+460+55+280
</t>
  </si>
  <si>
    <t>inner thighs, 3 sets 12-15reps, 40-50 lbs
quads leg extension/knee extension, 3 sets 12, 40 lbs
outer thighs, 3 sets 12-15 reps, 40-50 lbs
hamstrings leg curls sitting machine, 3 sets 12-15 reps, 40 lbs
stretches shoulders/neck/triceps/pecs/hams/quads/chest/shoulders</t>
  </si>
  <si>
    <t>2 beyond patties
(520	36	10	40	10	4	700)
1/2 cup mozz
(120	7.5	5.25	9	3	0	285)
2 tbs mustard
(0	0	0	0	0	0	110)
6 vlasic pickles
(10	0	0	0	2	0	800)
1/2 pc Andes chocolate
(12.50	0.81	0.75	0.13	1.38	0.13	1.25)
1/8 lg hershey symphony chocolate about 1/3 a reg size candy bar
(400.00	24.00	13.33	8.00	45.33	2.67	133.33)
3 fruit snacks
(240	0	0	3	57	0	60)
1 plain bagel
(230	1	0.5	8	46	2	400)
1 brioche bun artesano 
(220	4.5	2.5	7	39	1	280)
1 plain bagel
(230	1	0.5	8	46	2	400)
=520+120+0+10+13+400+240+230+220+230
=36+8+0+0+1+24+0+1+5+1
=10+5+0+0+1+13+0+1+3+1
=40+9+0+0+0+8+3+8+7+8
=10+3+0+2+1+45+57+46+39+46
=4+0+0+0+0+3+0+2+1+2
=700+285+110+800+1+133+60+400+280+400</t>
  </si>
  <si>
    <t>Woke up at 530 am by alarm but went to bed until 630 alarm and got up and out of bed. Got about 6.5 hours sleep bc I went to bed at around 11 pm last night. Did normal routine in am, my coffee, pets pee outside, clean pet messes, Growly's meds, feed babies, had a reg BM after 1st cup of coffee and while starting the 2nd cup of coffee. Bw that time was looking at emails and making payments and checking orders and sent my older sister a birthday gift with gift receipt through Amazon that arrives tonight by 10 pm but her birthday is Monday. Also, noted in emails that I have 2 FABS quizzes next week. Time to start studying up and I already cleared my weekday availability but have an appointment today at 7 that is local thankfully but will drag my machine into it in an apartment complex by my gym. And one tomorrow at 7 pm. Actually, I keep her on rotation weekly. Bc I can park right in front of her house and she lives right off the fwy and I do too, and it takes just as long to get to her house as the apt nearby taking side streets and she tips me good every time. As of the moment I haven't decided to let anyone interfere with that schedule. Another great client wanted to add a family massage today, but not able to, it takes too long, practically all day. That is valuable study, relaxing, organizing, working out time. Took my measurements around 8 am after a reg BM and halfway through 2nd coffee. Want to shower before my 10 am class. I was able to prep for the LE material last night thankfully. Ankles weren't too swollen when I got up but by time I took measurements and looked at weight scale they started getting swollen right below the malleolas both legs. Finished 2nd cup coffee and had the 3rd cup and my 3 multivitatmin gummies while making and eating a plain bagel with mozz, mustard, pickles, and a beyond meat patty I made in airfryer for 20 minutes while doing the dishes and with its pair. 2 per pkg. Then fed the cats outside but was lazy and didn't bring gate key with me, when I was sliding the can uder the fence, the bigger cat crowded out the kitten or smaller one and tried to pull the cat food can towards her or him and accidentally caught my index finger on the side or lateral edge and gave me a little cut that bled. I cleaned it up with rubbing alcohol immediately then gave another can of wet cat food to the smaller cat under fence. I shared some of my burger with the babies. I am not eating while in GA1 again, bc last time I didn't eat my burger bc the LE included images of birth defects and genitalia when hormones in system of female like testosterone or androgens when pregnant from a adrenal gland tumor and labia shaped like testes were shown in an image I turned away not to see bc he said thats what it was. Ruined my appetite. That's why I didn't eat all of the burger and threw away 1/4 of it left when it was the 3/4 burger left over from night before as I shared 1/4 with babies the night before and only ate 1/2 of it that day during LE on Wed or Thur. Got my ear pods last night and charging them. They will be useful while working out as long as they don't fall out of my ear, and also at work to prevent my stray hairs from curling into my ear canal and making it itch/tickle uncomfortably while massaging someone. Raising my shoulder to deflect the hairs NEVER works. Always have to wipe my hands or use bottom sheet to pull hair aside. Its so annoying while massaging a client. Looked at my notes on prerecorded LE for today's class at 10 am then showered and got ready for the day. Worked out after the voluntary zoom health integrative rounds on reading radiology and case studies and getting into that 3 yr program with the DACBR-diplomat of American Chiropractic Board of Radiology, &lt;350 members are post DC radiologists. I got to gym before 130 pm, did the legs normal weights and the side twists obliques, all machines, inner/outer/quads extensions/hamstrings curls. Did squats yesterday, then did 7 3-minute rounds for a total workout time of 35-45 minutes cardio, but actually only 21 minutes movement of cardio. Broke a sweat, total body kickboxing. Only one there after a few minutes, worked out with my new air pods, was great, looked quiet in gym, and great for moderating. But the My Chemical Romance Station had some crappy songs to kickbox to, and some fast paced ones. Cooled down with stretches to country then exited. I went to the animal hospital in person after calling before my workout and getting an unfriendly and not helpful, more smart ass receptionist, Corrine, wanted me to list the names of the meds when I told her Growly needed all 3 and that she should expect a bad review. I gave the rvew in gym lot beofre workout 3 stars and why. Then after gym saw them only got 2 meds and had to call their 3rd party vendor to speak to a guy very friendly about the vetmedin. Dr Kermit Smith the same guy we saw at the ER for Growly a few months ago was there. But didn't say hi. Corrine I expected to be the red head obese receptionist, but was probably the obese dark haired 50's/70s grease the movie bad girl chick with all the tattoos like an XXL Betty Page that was at the desk. Didn't talk to her about my call and she didn't ask. Just signed in and was out in less than 25 minutes.  Went home and got a call from Dad when exiting Hidden Valley to take side streets because I told him about Mom's condition in hospital and having blood in stool yesterday morning when calling to check on him. He hasn't heard anything about it and was trying to talk to Mo but hasn't been able to get a hold of her. He still cares for my Mom and has always cared for her. He is lonely and many older white ladies probably remind him of his last wife who complained about her body all the time and how sick she is. I went home from vet after calling in their lot to secure the vetmedin and he said he would rush it but called me later at home and I ddin't get it but checked email and saw the missed call he sent about it. Called and he told me that he has to wait on their doctors to approve the change to 1.25 mg of the 5 in 4 parts on prescription. He said by tomorrow is good chance. They are in Riverside and close at 6 pm open at 9 am M-F. I watched part 2 and half of part 3 and need part 4 to study before tomorrows quiz. I forgot the prequiz means before class and missed out on 5 pts when I studied for it. I also refunded the two MLD clients I rarely massage their 180 and 225 balance through Square. I had to cancel one of their appts on Monday. Sent them an email and proof of cancelling and receipts of refund and explained why and when they could expect their cards to be refunded. Have a client at 7 pm up the street 10 minutes from me by my gym. She confirmed the appointment. Had 5th kpod kaui brand coffee at around 5 pm after it cooled off and while watching part3 of prerecorded lectures. Gave Growly his meds mixed with the stuff they gave me today, same pills, should be, at around 615 pm when I stopped the prerecorded LEs to get ready for 7 pm client. Before 10 am LE had a beyond patty on bagel with mozz/mustard/pickls, then a 4th kpod coffee, after the LEs and voluntary zoom intg health club, did the gym and errand, then got home and fed the cat and dogs 2nd time and had the 2nd beyond patty on brioche bun warmed in toaster and microwave with mozz/pickles/mustard. And about half a row or 1/6th the Hersheys lg toffee almond symphony candy bar I bought last week at Aldis I think. It has been in my drawer with the Andes chocolates. Had a 1/2 pc this morning of that and yesterday evening. They're all gone. Left for client's around 645 pm.</t>
  </si>
  <si>
    <t xml:space="preserve">Woke up at 530 am by alarm laid in bed until it went off again at 540 am, got out of bed, took babies outside, made my 1st cup of coffee, gave Growly his meds by mouth syringe, fed babies, folded laundry and put away from last night, and cleaned a pet mess I noticed by the table. Then had a 2nd cup of coffee and went to my laptop to update it and it was updating some Windows updates for 5 minutes of my time. I had a bagel with mozz last night and needed to add that into the nutrition for the day. Ankles weren't too swollen when I got up this moring or when updating this database before starting day. I called Mom around 630 am my time and spoke to her at 830 her time in the morning and she is doing better, is talking, can't sleep bc of steroids, Becky is in her trailer with her dog Cody. I told her Dad still cares about her and she said thats nice. She had a hemorhoid and that was why blood was in her poop. She hasn't been eating much either. But its not Filipino food could be another reason. She does eat American staples but always has at least some rice or fish or spam. I called Dad to let him know her condition and he asked about my older sister bc he hasn't spoken to her everytime he calls or texts no reply. He is worried about her. But I let him know she is very busy and probably can't talk and he probably knows they have odd hours, so when she calls him he is sleeping and when he calls her she is sleeping. I had a reg sm BM after talking to them and before checking out the Draw it To Know it, after 2nd cup of coffee. I tested out the pen and my HP laptop with the mouse pad attached for the finger is lousy, the edges make the movement go off the page or not stop and the pen doesn't work finely for turns, stopping, or emphasizing anything. It looks much worse than using pen and paper. Maybe I should buy an expensive device to help me out. Or a side drawing pad might work, not sure. Have to look into it. My older sister just called me right when I brought her up around 7 am and I had a pizza in airfryer, the personal size celeste cheese pizza. It was done by the time we ended the call. They are doing a celebration of life for my mom's deceased husband, he was actually 55, going to be 56 tomorrow, but due to side effects of obesity and not working out and stress at work and sitting long hours and flying, it caught up to him and he had a pace maker in his heart and kidney disease when he caught the Covid-Sars virus and died from organ failure. I can't make the date on a Saturday even if they do zoom bc I work until 5 pm and thats 7 pm their time and can't miss work, the only days I work. It is sad he died eary, and he was already living in a poor quality of health. Had my multivitamins with my pizza and 3rd cup coffee, and showered and got ready for zoom meeting. I have campus courses after the am courses to go to that start at 1 pm. I told Mo that Dad has been trying to reach her and she said she just talked to him before me and they both have odd hours and she doesn't accept private calls and she has texted him but he didn't reply. Measurements taken before eating the pizza and vitamins. did the courses in morning then travelled to the on campus courses, had an aura headache around 10 am that I had the 4th cup of coffee ready for while in that 2nd course of day virtually a couple hours before driving to campus, but let it cool while snacking on a plain bagel in air fryer with mozz cheese. Before that was a cheese celeste pizza. Drank the coffee and had to wait for the blinding aura migraine part to subside, but was able to participate, it started after the group extra credit project on ANS material of the pre and  postganglionic PNS. A different group member sent it in this time. We didn't see the solutions and I watched the lectures, at first, we had to combine all the other side knowledge to determine the lengths of the nerve fibers as long or short and if parasympathetic and sympathetic where are they located. Have a quiz on week 1 of the week1-8 human development tomorrow am, and got the examsoft software going late in evening after returning from client's house many hours later with laundry in wash. Took a serving of Jameson over ice while doing stressful things like cleaning a pee mess, setting aside the covers on bed the dogs peed on that were just washed to be washed after my linens from massage client earlier, my regular, super nice lady. Only one I am keeping on M-Th. Did the dishes of roommates and fed the kitten outside. I keep feeding her and she is still so skinny. She meows and its cute. The older or bigger cat likes her and they both eat the food I give them, not sure if they are related or how the kitten showed up but it did about 2-3 weeks ago. They get along oddly enough. The larger one is adopted by me and some other neighbors. Very friendly kitties. I have to study the material but wanted to alleviate stress. WE palpated in the on campus courses today and it was more difficult than I imagined finding the PSIS and other bony landmarks on other people and even myself and pubic bones. But we managed. When I got home around 608 pm Growly had another pass out seizure, shit and pee ran out him easily and he was out a few minutes and been coughing a lot with normal meds. He has been coughing more. Poor little guy, he woke up, and I couldn't keep him from passing out before feeding the small cat when returning from campus. I did normal massage from his chest to head to pull oxygenated blood up and out lung cavity but it didn't work today. He got up and was wobbly and out of it and tried to get off couch but fell and tried walking that helped him wake up but couldn't keep his balance and fell a few times. Then went under the bed, the roommate got him out and fed him some lunch meat, helped him out. Then I gave him his meds and went to client's. I had a bloated sick feeling in gut when there, probably from the 9-10 fruit snacks I ate in van on way to campus and back from campus total, the 5th cup kpod coffee vanilla last one left in van,  and the everything bagel not toasted and straight from the bag that was in the van 2-3 days since last I worked on Sunday. It is WEd. I did laundry and had a drink, downloaded the examplify software figured out while digesting the drink I had and it worked and was able to download the exam and wait for the passcode the instructor will give tomorrow. My first time having this sort of software for proctoring exams. We have to have a 2nd device on to view us and assure not cheating via zoom logged into Th LE with exam at 8 am, so no sleeping in past 530 am tomorrow and need to shower, dry hair, make up, brush teeth, etc before class and quiz on wk 1 starts. I think it is 20 minutes. and multiple choice. Also, while digesting the drink after the days activities other than studying for quiz 1. Made another celeste cheese pizza in airfryer but burned it at 9 minutes at 400 degrees. Just like the edges this morning. Went to bed around 11 pm, then woke up at 230 am and studied the ppt slides on the quiz material of wk 1, and went back to bed at 330 after studying while eating about 12 zucchini fingers. </t>
  </si>
  <si>
    <t xml:space="preserve">2 plain bagels
(460.00	2.00	1.00	16.00	92.00	4.00	800.00)
1/2 cup mozz
(120.00	7.50	5.25	9.00	3.00	0.00	285.00)
2 celeste cheese pizzas
(760.00	34.00	18.00	18.00	96.00	6.00	1760.00)
1 Everything Bagel
(240.00	2.00	0.50	8.00	46.00	2.00	630.00)
9 fruit snacks
(720.00	0.00	0.00	9.00	171.00	0.00	180.00)
1 bag Apple chips
(630.00	31.50	4.50	0.00	90.00	9.00	67.50)
12 pcs fried zucchini
(360.00	14.40	2.40	4.80	48.00	2.40	864.00)
=460+120+760+240+720+630+360
=2+7.5+34+2+0+31.5+14.4
=1+5.25+18+0.5+0+4.5+2.4
=16+9+18+8+9+0+4.8
=92+3+96+46+171+90+48
=4+0+6+2+0+9+2.4
=800+285+1760+630+180+67.5+864
</t>
  </si>
  <si>
    <t xml:space="preserve">2 plain bagel
(460.00	2.00	1.00	16.00	92.00	4.00	800.00)
1/2 cup mozz
(120.00	7.50	5.25	9.00	3.00	0.00	285.00)
16 fried zucchini
(480.00	19.20	3.20	6.40	64.00	3.20	1152.00)
8 fruit snacks
(640.00	0.00	0.00	8.00	152.00	0.00	160.00)
Brioche bun
(220	4.5	2.5	7	39	1	280)
1/8 hersheys or 1/3 normal sz hershey bar
(150	9	5	2	17	1	50)
brioche bun
(220	4.5	2.5	7	39	1	280)
1/3 mozz
(80	5	3.5	6	2	0	190)
9 pcs zucchini fingers
(270.00	10.80	1.80	3.60	36.00	1.80	648.00)
=460+120+480+640+220+150+220+80+270
=2+7.5+19.2+0+4.5+9+4.5+5+10.8
=1+5.25+3.2+0+2.5+5+2.5+3.5+1.8
=16+9+6.4+8+7+2+7+6+3.6
=92+3+64+152+39+17+39+2+36
=4+0+3.2+0+1+1+1+0+1.8
=800+285+1152+160+280+50+280+190+684
</t>
  </si>
  <si>
    <t xml:space="preserve">Woke up at 530 am, did normal routine, not much sleep last night, gave Growly his meds, fed babies, had 1st cup of coffee, restarted dryer, had 1st BM after 1st cup coffee then another after 2nd cup in am while studying before the quiz. I also had breakfast before taking measurements, a bagel with mozz cheese and about 9 pcs fried zucchine fingers in airfryer from freezer. Was tired and stressed. Had to set up the 2nd device for zoom to show me not cheating and fiddled with the laptop that was slow and missed a shower until break time at the 2nd LE of FABS1 around 954 am. I did good on quiz, 12/15, about what I expected to do, for the questions. And was tired. No nap, after the lectures, made zucchini during the 2nd LE of day FABS1 and ate on the way to campus LE on CP1. We did some more SI jt manipulations and palpated the bony landmarks but did the gapping and dynamic gapping ?? forget last name and didn't look at lab manual, just followed demo best. Our group all took turns on table with each other separately. On the way home had to go to Riverside to get Growly's meds, the guy is really nice, he made a liquid cold meds that has to be refrigerated, and I was going to workout my arms and back on way home but his meds might have spoiled in the van, so I dropped it home and had a serving of Jameson and another plain bagel with mozz and 3 pickles Vlasic brand in airfryer except pickles. I also had 4 fruit snacks on way to campus and 4 on the way to the pet pharmacy in Riverside. Paid cash with the cash a client gave me, $60 + my own. I stopped off to get fuel with my cash tips from work on the way to campus. I also had a brioche bun with mozz in airfryer in 2nd lecture when making zucchini to eat later. Took measurements around 945 before my quick shower because the break was at 954 am. Measurements taken after eating the 3am zucchini, the plain bagel and brioche bun with mozz, 2 sm BMs after the 3 am zucchini and before the real breakfast of day, and a serving of zucchini for breakfast before any of my courses started. At home had a serving of Jameson, watched the episode this week on hulu of Murderers in the Bldg, and another while watching it and then afterwards updated this listening to the usual spotify country station. I have a couple quizzes in FABS next week and no real time to study, but tomorrow and have a couple of LEs tomorrow then work from 5-10 pm and all day Sat and Sun from open to 5 pm and a client on Sunday at 7 pm. Watched that tv show of 1/2 hour, listened to country music and sang along then watched a romcom I bought for $4 or $5 a month ago that I didn't get around to watching on Vudu and finished the bottle with about 3 drinks in total or 3.5 drinks Jameson. Had some more zucchini fried fingers and a brioche bun and the bagel and mozz to unwind and prepare for my long weekend. No workout today. But will squeeze one in tomorrow if time allows before work. Just arms and maybe back. Nothing cardio. Don't want to sweat. </t>
  </si>
  <si>
    <t>Cheetos flavored popcorn, 2 cups is one serving</t>
  </si>
  <si>
    <t xml:space="preserve">Woke up at 530 am by alarm and snoozed for 10 minutes getting up at 540 am. Washed my clothes hanging up by bed bc Goody or Growly peed on edge of bed and got the long night gowns and dresses hanging up. That bastard! I also washed the linens and covers and mattress pad and replaced with fresh ones being careful to watch Goody. He is usually the one that prefers peeing on all the couches and bedding. Before doing that I did normal routine, no pet messes to clean surprisingly, since we all went to bed around 910 pm and I didn't take them outside since 8 pm. Gave Growly his meds and fed the babies, had my 1st cup of coffee and made a 2nd cup of coffee while roommate was coming in and I had the clothes in wash washing before that time and after feeding babies. Made a brioche bun with mozz for breakfast then had my vitamins 3 of them and the roommate kept announcing the shit he had to take, and realized I had to take one and had a sm BM before drinking my 2nd cup of coffee. Finished it and did the bedding on the bed replacing it and putting the old ones by wash to wash. I have a class LE in CP1 at 8 am for an hour, then CTAP for an hour and a half at 230 pm. I am going to use that bw time to workout at the gym. I should use it to study for quiz in FTABS on Monday, but I can't force myself to study all the time bc I get ADD and have to do that thing whatever it is until it goes away. Ankles weren't swollen when I woke up at all, maybe the sleep helped. Got plenty of it. Even though I ate a ton of sodium yesterday almost twice the daily limit. My ankles are wrinkled like a deflated balloon. They could swell up later. Had the 8-9 am LE then went to gym, chilly outside, and had to put on the heater in the van. Started my workout around 945 am and worked out until about 11 am. Back, arms, and some abs. 3 sets of 8-12 reps same weights overall. Then went to Stater Bros and got some groceries. Came home disinfected the groceries and then put away the dresses and lifted the bottoms onto the tops of hangers so the dogs won't pee on them next time. Put linens in dryer and covers and mattress pad and the roommate's laundry in the washer then had myself a 4th cup of coffee, was getting a blinding aura that reached around to my right eye while driving. It went away as soon as I drank it cold. Had a brioche bun with mozz in airfryer, 3 large bella mushrooms in airfryer before that, and 1 tbs mustard and 4 vlasic pickles on the brioche bun with 3 cups cheetos flavored popcorn. Have class at 1 pm, then when that's over will get ready for work, maybe take a nap since I work late tonight and get up early tomorrow for a long day from 8 am to 5 pm. </t>
  </si>
  <si>
    <t>bella mushroom 3 oz, calorieking.com</t>
  </si>
  <si>
    <t>back rows +10 to 50 lbs instead of 40 lbs, back latts pull down different machine 50 lbs, -10 lbs from 60 lbs last time muscle group worked</t>
  </si>
  <si>
    <t xml:space="preserve">bicep curls 3 sets 12 reps 15 lbs each arm
tricep kick backs, 3 sets 12 reps 15 lbs each arm
deltoids side lifts, 3 sets 12 reps 8 lbs each arm
upper deltoids pectoralis major military press, 3 sets 12 reps 20 lbs each arm
deltoids upper trapz shoulder shrugs, 3 sets 12 reps 20 lbs each arm
hamstrings deadlifts dumbells, 3 sets/12 reps 40 lbs 
rhomboids/lwr trapezius back row machine 50 lbs, +10 lbs
lattisimus dorsi back pull down machine 1 set/12 reps 50 lbs, 2 sets/12 reps 50 lbs,-10 lbs
abs sit ups 3 set 10 reps
abs lower leg lifts 3 sets 10 reps
tricep pull down 3 sets 10-12 reps 30-40 lbs can't read it but struggle, not easy
upr trpz shoulder shrugs 3 sets 12 reps 40 lbs
bench press 3 sets 12 reps 55 lbs
oblique side raises/lifts curls for obliques 3 sets 12 lbs 20 kg=44 lbs
</t>
  </si>
  <si>
    <t xml:space="preserve">chobani almond coco flip yogurt greek, serving 1 </t>
  </si>
  <si>
    <t>chobani vanilla greek yogurt serving 1</t>
  </si>
  <si>
    <t xml:space="preserve">2 brioche buns
(440.00	9.00	5.00	14.00	78.00	2.00	560.00)
3/4 mozz
(180.00	11.25	7.88	13.50	4.50	0.00	427.50)
4 pickles
(6.67	0.00	0.00	0.00	1.33	0.00	533.33)
1 tbs mustard
(0.00	0.00	0.00	0.00	0.00	0.00	55.00)
3 cups cheetos flavored popcorn
(240	16.5	3	4.5	19.5	3	390)
3 lg bella mushrooms
(19.00	0.30	0.10	1.80	3.30	1.10	8.00)
5 fruit snacks
(400	0	0	5	95	0	100)
vanilla chobani yogurt
(110	0	0	12	15	0	60)
3 cups cheetos popcorn
(240	16.5	3	4.5	19.5	3	390)
celeste cheese pizza personal sz
(380.00	17.00	9.00	9.00	48.00	3.00	880.00)
chobani flip almond coco yogurt
(200	9	4	9	20	2	80)
=440+180+7+0+240+19+400+110+240+380+200
=9+11+0+0+17+0+0+0+17+17+9
=5+8+0+0+3+0+0+0+3+9+4
=14+14+0+0+4.5+2+5+12+5+9+9
=78+5+1+0+20+3+95+15+20+48+20
=2+0+0+0+3+1+0+0+3+3+2
=560+428+533+55+390+8+100+60+390+880+80
</t>
  </si>
  <si>
    <t>boomin blueberry bagel Daves Killer brand</t>
  </si>
  <si>
    <t xml:space="preserve">all 3 sets 10-12 reps normal weights machines unless otherwise
quads extensions 40
hamstrings curls 40
inner thighs 50
outer thighs 60
squats dummbells while doind cardio bw sets and after 1 set 20 reps 3 sets 12 reps with 40 lbs of weight in the 20 lb dumbells
cardio 5 3-minute rounds with 1 minute break bw total of 15 minutes cardio kickboxing
</t>
  </si>
  <si>
    <t xml:space="preserve">Woke up at 4 am to give Growly his meds early bc he wouldn't stop coughing. Gave him the sweet syrup vetmedin syrring and the other 2 pills enamaril and lasix crushed in vanilla yogurt he ate willingly and then went to bed until alarm went off and snoozed 10 min to get up and out of bed at 540 am. Made babies their food, not pet messes to clean, and made my coffee. Looked at the news, and had a 2nd cup of coffee, took measurements 1/2 through 2nd cup of coffee and roommate got home. Finished 2nd cup of coffee and had a reg BM. Then made breakfast, yogurt the almond coco flip greek yogurt of chobani with my multivitamins and got ready for work. No drinks last night when I got home bc didn't feel like it and drank all the Jameson. Went to bed with compression socks on but could see by my shoes that my ankles were protruding some so they're swollen. I went to work, the front desk Nicky said something about my 3rd client who is impatient and the only one I have had that wants me to be there to get her right on the dot or ask, so Nicky told me to give her her fully time. And I always do. I asked the client when massaging her and she told me that alls she told Nicky was that if I come to get her that if she could tell me she went to the bathroom and that she only waited 4 minutes. I told her the clients getting out on time isn't something we control and the back to back her being the 3rd is expected to start a few minutes after the hour after disinfecting and getting room ready. I thought it was a shitty thing for Nicky to say, bc she didn't even say she went to the bathroom but asked if I was ready bc she was waiting. Like intentionally trying to stress me out and not help. Just pile on shit to my day. She is unhelpful most the time. Nicky is. For lunch had a yogurt, a bagel and the last of the popcorn and some fruit snacks and 4th cup coffee. Then after work I had a 5th cup coffee and another bagel and went home, gave Growly his meds and went to gym for legs and 15 minutes cardio kickboxing after the leg workout and doing dumbell squats during and after. Then went home started my laundry, did some studying of FABS1 first LE, made a sandwhich with the Good Earth brand burger patties from Aldis that remind me of BBQing someone's shit and couldn't eat it, gave to pups. Even after airfrying it is the consistency of soft mush. Gross! I just ate the brioche bun with pickles and mustard and mozz cheese. Then got tired studying 2nd ppt on vertebral column and went to bed at 930 pm, woke up and laid in bed around 10 pm and went back to bed until a little after 5 am. </t>
  </si>
  <si>
    <t xml:space="preserve">vanilla chobani greek yogurt
(110	0	0	12	15	0	60)
2 Dave's Killer brand blueberry bagle boomin blueberry
(520	5	0	22	96	6	760)
4 cups cheetos popcorn
(320	22	4	6	26	4	520) 
almond coco chobani greek yogurt
(200	9	4	9	20	2	80)
4 fruit snacks
(320	0	0	4	76	0	80)
8 pcs fried zucchini
(240	9.6	1.6	3.2	32	1.6	576)
brioche bun
(220	4.5	2.5	7	39	1	280)
4 vlasik pickles
(8	0	0	0	1.6	0	640)
1 tbs mustard
(0.00	0.00	0.00	0.00	0.00	0.00	55.00)
1/3 cup mozz
(80	5	3.5	6	2	0	190)
=110+520+320+200+320+240+220+8+0+80
=0+5+22+9+0+10+5+0+0+5
=0+0+4+4+0+2+3+0+0+3.5
=12+22+6+9+4+3+7+0+0+6
=15+96+26+20+76+32+39+2+0+2
=0+6+4+2+0+1.6+1+0+0+0
=60+760+520+80+80+576+280+640+55+190
</t>
  </si>
  <si>
    <t xml:space="preserve">Woke up at 515 am and got out of bed when the alarm went off at 530 am, gave Growly his meds while roommate cleaning pet messes as he got home around 510 am. I accidentally knocked over the refrigerated meds I just got for $65 from the pet pharmacy in Riverside and only have a little bit left. I probably knocked over at least half of it while holding Growly so he wouldn't hide under the bed and trying to put him in the other arm while giving him his meds and him refusing it as always. That sucks! Great day to start a morning, not! And thats not used since the 90s. The phrase. Made my coffee and fed the babies. Updated this data base after looking at some of the study material in FABS1, didn't realize that I was supposed to write into the ppt lectures where the arrows were. I know I took separate notes in my notebook and drew what I could while he talked but I might have to go back and review the recorded zoom LEs to fill in. Had a 2nd cup of coffee and didn't start it while it cooled. My ankles I noticed when checking the swollen ankles aren't that swollen to start the day. Won't be working out today bc they close early and I would have if they stayed open bc I have a client at 7 pm and will be done at 8 pm. But do need to study a bunch of memorization of body skeletal and vertebral bodies for quiz tomorrow at 10 am. Also, set aside time to get examplify to take exam if that is what we are doing. Had a reg BM then washed hands and felt cramps in my abdomen and had a 2nd sm BM after washing hands then washed hands again. I started getting the cramping yesterday after my cardio workout at the gym. Measurements taken after a couple BMs and before breakfast and after finishing 2nd cup of coffee. Had the last almond coco greek yogurt Chobani brand with my multivitamins for breakfast. Throughout the day had 7 mushrooms airfryed, 2 brioche buns, 1/2 cup mozz, 1 tbs mustard, 1 BB bagel, 12 vlasic pickles, 1 vanilla chobani yogurt, 3 fruit snacks, 1 slice Amercn cheese, 5 crisscut fries sweet potato, 1 hot cocoa and went to bed around 1115 pm after studying by filling in my pdf slides for the class while viewing the recorded LEs. My 7 pm client rescheduled for next Sunday same time. Also after work, stopped at Ralphs and got some liquor. A Jameson and Patron to replace the roommate's that I drank over time and one for my self. I thought it was a classic Kettle One but realized at the register its a lemon citron flavored Kettle One and all were on sale and party size or large bottles. Didn't have any alcohol but thought about it, but saw all the notifications for my five classes and didn't want to be scatter brained in the morning and forget something important. </t>
  </si>
  <si>
    <t>hot cocoa with marshmallows packets in a box</t>
  </si>
  <si>
    <t>sweet potato fries, crisscut, serving 1 cup</t>
  </si>
  <si>
    <t>kettle one citron flavor</t>
  </si>
  <si>
    <t xml:space="preserve">almond choco greek yogurt chobani brand
(200	9	4	9	20	2	80)
7 bella mushrooms
(38	0.6	0.2	3.6	6.6	2.2	16)
2 brioche buns
(440	9	5	14	78	2	560)
1/2 cup mozz
(120	7.5	5.25	9	3	0	285)
2 tbs mustard
(0	0	0	0	0	0	110)
12 vlasic pickles
(16	0	0	0	3.2	0	1280)
vanilla greek yogurt chobani brand
(110	0	0	12	15	0	60)
3 fruit snacks
(240	0	0	3	57	0	60)
5 crisscut fries about 3/4 cup
(97.5	3.75	0	1.5	15	2.25	247.5)
hot cocoa
(110	1	0.5	1	24	0	150)
blueberry bagel Daves Killer brand
(260	2.5	0	11	48	3	380)
1 slice processed American cheese of roommate's
(70	5	3	4	1	0	250)
=200+38+440+120+0+16+110+240+98+110+260+70
=9+1+9+8+0+0+0+0+4+1+3+5
=4+0+5+5+0+0+0+0+0+1+0+3
=9+4+14+9+0+0+12+3+2+1+11+4
=20+7+78+3+0+3+15+57+15+24+48+1
=2+2+2+0+0+0+0+0+2+0+3+0
=80+16+560+285+110+1280+60+60+248+150+380+250
</t>
  </si>
  <si>
    <t>Daves Killer Brand everything bagels, 1 bagel</t>
  </si>
  <si>
    <t xml:space="preserve">bicep curls 3 sets 10 reps 15 lbs each arm
deltoids side lifts, 3 sets 12 reps 8 lbs each arm
upper deltoids pectoralis major military press, 3 sets 8 reps 20 lbs each arm
deltoids upper trapz shoulder shrugs, 3 sets 12 reps 20 lbs each arm
hamstrings deadlifts dumbells, 3 sets/12 reps 40 lbs 
rhomboids/lwr trapezius back row machine 50-&gt; 60 lbs, +10 lbs
lattisimus dorsi back pull down machine 3/10 reps 50-&gt;60-&gt;70 lbs
abs sit ups 3 set 10 reps
abs lower leg lifts 3 sets 10 reps
tricep pull down 3 sets 10 reps 30-40 lbs can't read it but struggle, not easy
</t>
  </si>
  <si>
    <t xml:space="preserve">brioche bun
(220	4.5	2.5	7	39	1	280)
mozz 1/2 cup
(120	7.5	5.25	9	3	0	285)
2 hot chocolate
(220	2	1	2	48	0	300)
2 beyond patties
(520	36	10	40	10	4	700)
8 pickles
(16	0	0	0	3.2	0	1280)
2 tbs mustard
(0	0	0	0	0	0	110)
5 fruit snacks
(400	0	0	5	95	0	100)
2 everything bagels Dave's Killer brand
(520	10	1	26	88	10	700)
3 fruit snacks
(240	0	0	3	57	0	60)
3 boiled eggs
(210	15	4.5	18	0	0	210)
3 pickles vlasic
(6	0	0	0	1.2	0	480)
=220+120+220+520+16+0+400+520+240+210+6
=4.5+7.5+2+36+0+0+0+10+0+15+0
=2.5+5+1+10+0+0+0+1+0+4.5+0
=7+9+2+40+0+0+5+26+3+18+0
=39+3+48+10+3+0+95+88+57+0+1.2
=1+0+0+4+0+0+0+10+0+0+0
=280+285+300+700+1280+110+100+700+60+210+480
</t>
  </si>
  <si>
    <t>Woke up at a little bit after 435 am and laid in bed, thinking it was 530 and the alarm didn't go off bc my little non LED clock had arms viewable that looked like about 535. When I got out of bed there were some little turn poop messes of the babies on the floor scattered that I left after seeing the time as 435 am and laid in bed. Got up realizing I still have more studying to do and cleaned the pet messes, made my keuring 1st cup coffee in my bedroom and gave Growly his meds no messes and fed the babies. The roommate was on the phone with someone last night loud and yelling about Biden and sales tax and blaming him for everything. He was really loud and I asked him to keep it down. He left his dishes in the sink. I went to bed at 1115 pm approximately and woke up at around 430 am, so thats about 5 hours of sleep. My last class gets out at 230 pm and my quiz is at 10 am and a 2 hour LE course. Will be lab at some point when we catch up on the ppt pdf slides. Did some review of the last pdf slides needed for quiz 1 to study and had a brioche bun with mozz in the airfryer and my multivitamins after 1st cup of coffee and a reg BM and then another 2nd tiny BM with abdominal cramping associated with these BMs. Probably the Greek yogurt bc that is a different addition to my diet. I usually don't have any abdominal cramping before a BM, but the cramping also started yesterday after working out in the gym, immediately after leaving the bag area after stretching. It could also be a slight flu or my side effects from being vaccinated for COVID but having some other strain in the gym. I am just getting paranoid, but good to note just in case someing gets amplified later. I took my measurements after the BMs and while the brioche bun and mozz was in airfryer 3 minutes and cooling. around 630 am. When eating breakfast I called my mom to check in on her. and couldn't get a hold of her, the nurse in charge said bc they hand out meds at this time 830 their time and the nurse handling Mom will call me back and she took my phone number and 1st name. Also, just want to note when I took Goody outside to potty and other babies, the moon was visible in distance beyond neighbors Maria house as a full moon that was orange in color as the sun rise took place or was about to around 5 am. I also texted my sister to wish her happy birthday later while drinking first cup of coffee. Did some studying then updated this db. Going to shower before taking the quiz. Checked Canvas and emails, nothing new other than an ad from Draw it to Know it. Had the quiz, but while studying before 3rd cup had 3rd tiny BM. Took a shower around 730 am after my 3 BMs for day. No stomach cramping afterwards. Not sure why but the last two were practically tiny and probably part of first dump but body cleaning out rectum. Probably should drink more water since I am drinking 5-6 cups of coffee a day. Snacked all day, then had to resend a group lab that my group partner in CP1 and This group today of FABS1 had technical errors sending. I got the email late after the 2nd and last LE of day. Something interesting about stem cells and the cell replication is that the prolotherapy for athletes to repair tendon damage in 6 wks instead of 6 months, isn't part of cell division, it is entirely stem cells that somehow don't need to divide and go through the cell cycle. This is from the expert, and he later explained it briefly in the next ppt after answering my group chat question. I thought it was cell division but with stem cells. This needs a thorough walk through of how it works. I need to know this. Because I connected my information in genetics and biology to understand that it is cell replication that is going on in that tissue that is repairing the damaged low to no vascular tissue. Its not meiosis. Maybe he was not understanding the overall question. He just referenced the same bit of info I know about the morula and embryo and embryonic tissue in early development specifically bw 3-7 days without mentioning it precisely. This would be huge to have this medical procedure available to the public instead of just those super millionaire athletes that can afford to pay a million + USD for the procedure. I worked out at the gym in my black knit christmas tree sequence sweater from Macys and it was great, sat right next to a male who looked possibly Down's Syndrome but maybe on a spectrum that kept him from being incapacitated, though he did sit at the bench a while. He was trained great. Asian Filipino too, had muscle, not my type, even though my current ex husband is a mentally retarded person, he doesn't look it. It takes a while to discover it and is masked by his misogyny and racism so it is hard to tell at first. But he is told what to think and do. He was bitching out loud on the phone to someone who was listening about sales tax for example (for christ's sake is not my language and is a cliche). Nobody is my type. I am an asexual now. Stages of being a CA native feminist. For my workout I did arms, abs, back, but not all exercises and increased my weight some. Had a drink of that kettle one citron over ice. Gave me gas and made me think I had to have a BM but it was just gas. Must have a lot of sugar in it. It tasted good though. I was updating this for the part since the 3rd BM while drinking it, its gone. I have to add in the nutrition for yesterday and today's food. I am hungry. I want beyond nachos the way I make them. If I had money to waste I would buy a shop and make fast food with ONLY beyond meat of the best staples like In-N-Out cheeseburgers and nachos that didn't burn or leave black carcinogenic residue like most fast food places do when cooking beyond patties quick. Other than fat burger that uses impossible meat and soy. Beyond meat is pea protein and it is possible that some people are allergic to peas. But they would know that on the store window. To me, food that is cooked with beyond meat is bomb as in delicious AF. But the animal meat eating folks don't yet devote their life to being dependent on only meat substitute. Especially when bad actors like Aldi's vegetarian and vegan beef patties make the meat substitute selections taste, look, and feel like shit, any mammalian shit. Or just gross. Case in point: Dr. Praeger's vegan meat patties and their Good Earth brand. Disgusting! Its like tasting sushi for the first time at a buffet that kept the sushi rolls out on the floor all day. Just not appealing or representative of the way sushi is supposed to taste and satisfy. Updating this then had a beyond burger on everything bagel by Dave's Killer brand. Got my Amazon order earlier, the winter coat is a snowboarding coat and it is super warm. As soon as I put it on I knew I would be warm in it when the weather starts getting cold. It is already chilly in the morning. I had the burger then decided to continue updating this db and had a 2nd drink. Didn't have gas with this one. Watched 'Spell' a 2020 horror film about voodoo and had a 3rd drink and 3 boiled eggs and 3 pickles and 3 fruit snacks before the former by about 40 minutes. Poured a 4th drink but never drank it. I didn't have any snacks to snack on like chips so thats why i made the boilded eggs with pepper and paprika whole and pickles. After the movie I edited the pdf ppt version of the plain text group work for our lab around 930 pm sent it by email to the professor. But not sure if he got it bc he doesn't reply. Its odd but I have emailed him a question and no reply and also when chatting directly to confirm test finished he didn't reply but another doctor or colleague of his but a dr replied. Maybe its against his religion not to have direct contact I don't know. Its weird. He did email us in the afternoon about it. I will ask Max tomorrow about it. I have his number but didn't ask him about it. I have him in my CP1 class too. Went to bed around 1015 pm.</t>
  </si>
  <si>
    <t xml:space="preserve">Woke up at 530 am but got up an hour before that to pee and my lower back hurt a little bit. I went to sleep with shorts on that had a waistband and its probably why my lower back hurt a little. I usually don't sleep with anything on my waist pressing on it. I got up after the 530 alarm went off. I want to do some studying before my 10 am class and watch the prerecorded video and do some studying of my FABS1 quiz#2 this Thursday at 9 am. Did normal routine, gave Growly his meds after making my coffee, fed the babies and took them outside and fed the kitten. She is so adorable. Took measurements early today, before finishing 1st cup of coffee, a BM, and before breakfast. Ankles weren't that swollen when I woke up, not swollen for the most part other than some by lateral malleola L ankle. Had my LE online and it was a group lab, I only watched part 1 before class and it took me from 7 am to 920 am to take notes on a 1 hr and 40 minute prerecorded LE. Fortunately, there were a few others that saw the part 2 prerecorded LE. The announcements only said to watch the part 1 &amp; 2 before the pre-class quiz today which I took after working out after the LE and after watching part 2 and part 3 of prerecorded LE after the LE ended that were about 25-30 minutes each in time length and about 40 minutes each to take notes on. I have been using the ppt to write notes in but for the actual LE when he starts the LE I will be using my pen to handwrite instead as the digital pen notetaking gives my hand a cramp due to this embedded notebook mouse pad that sucks and doesn't pick up the pen in certain parts of the pad like the outer edges and sometimes dead center of it. When I got back from working out I had a drink and another bagel but with 1 of the boiled eggs, same as for breakfast which was an everything bagel of DK brand with a boiled egg, mustard and 3 pickles and about 1/4 cup mozz cheese, same for lunch right after the LE ended and when viewing the prerecorded part 2 and 3 LEs. I reviewed my notes on top of the ppt of the pectoral and thoracic muscle regions then took the five question quiz. I saw our group lab work was graded as a 4/5 and the quiz I got the same 4/5. We did miss the last few questions and I communicated with Tori and Stevie via email and used Tori's answers she posted image of after trying my own solutions and uploaded as a new submission with Tori's answers. Seemed reasonable. I was the one sharing my screen bc everybody else had a tablet or didn't want to. I don't have any weird stuff on my computer like ads. My instructor is funny. His prerecorded LE on part 1 shows him sharing his screen and an ad came up on his computer desktop for gay men, men searching gay men, wink wink gay men, etc. Then some lady's mic interrupted shortly after telling somebody that if they did it again and walked by some area 'no carwash!' and she means it, then cut back to the LE. I guess its little kids she has to watch while at home on the virtual and that the car wash must have some really fun stuff for kids. I did go to Target immediately after the gym (legs mostlyinner/outer/squats/quad ext./ham curls/dumbell rows rhombs/side lifts obliques/ bench press pec majr and 15 minutes of cardio kickboxing with 30 second rest intervals instead of 60 minute rest intervals) and got some more wash rags, curtain liner, cotton underwear because mine have blood stains all over them, and wanted to get some pkgs of bottle watter the 16 oz size, but believe it or not the Target in Dos Lagos didn't have any pkgs of bottled water. I went to STater Bros up street on cajalco and got their brand 35 pk water a couple of them and snagged a $20 bag of chocolate candy bars designed for Trick or Treaters on Halloween. But won't be used for that. After the quiz I reviewed the short videos on skin and Lymph for my on campus class on IPA, and put clothes in dryer then went to bed. Only 1 drink. It made me groggy and it was a hot day today. 100 degrees is what the weather said for pretty much any time of day. Bed time was about 1015-1030 pm. I also made a pot of nachos with beyond meat that I burned some of the vegan meat and yellow and orange bell peppers with, but most could be salvaged. It was just the pan side as I kept it on medium heat covered for 20 minutes and didn't stir it even once but did put olive oil in it. I didn't eat any of the nachos bc I had the 3rd egg pickle mustard mozz everything bagel while it was cooking. But I will probably have some for lunch. Picked up some beyond and impossible burger patties from Target as well more toothpaste, tooth brushes, qtips, and cleaning spray and bagels. </t>
  </si>
  <si>
    <t xml:space="preserve">3 everything bagels
(780	15	1.5	39	132	15	1050)
4 eggs boiled and sliced
(280	20	6	24	0	0	280)
3/4 cup mozz
(180	11.25	7.875	13.5	4.5	0	427.5)
2 tbs mustard
(0	0	0	0	0	0	110)
12 pickles vlasic
(20	0	0	0	4	0	1600)
2 fruit snacks
(160	0	0	2	38	0	40)
=780+280+180+0+20+160
=15+20+11+0+0+0
=2+6+8+0+0+0
=39+24+14+0+0+2
=132+0+5+0+4+38
=15+0+0+0+0+0
=1050+280+428+110+1600+40
</t>
  </si>
  <si>
    <t>inner thighs machine 50 lbs
outer thighs machine 50 lbs
quads leg extensions 50 lbs
hamstrings curls 50 lbs
pec mjr bench press inclined bench 65 lbs
rhomboids upr trpz dumbell rows bench 35 lb wt disk +15 lbs
obliques side lifts 35 lb wt disk, 20 kg=44 lbs norm. -9 lbs
quads squats barbell 25 lbs each side 95 lbs +10 lbs
all 3 sets of 8-12 reps each</t>
  </si>
  <si>
    <t>Act II butter Lovers pkg 2.5 servings per pkg, serving</t>
  </si>
  <si>
    <t>Stater Bros Parmesan shredded cheese, 1 serving 1/4 cup</t>
  </si>
  <si>
    <t>Cinnamon Raisin Daves Killer Brand Bagel, 1 serving is 1 bagel</t>
  </si>
  <si>
    <t>milky way mini, 4 pcs</t>
  </si>
  <si>
    <t xml:space="preserve">m&amp;ms 2 pkg mini </t>
  </si>
  <si>
    <t>mini snickers 3 pcs</t>
  </si>
  <si>
    <t>twix mini 3 pcs</t>
  </si>
  <si>
    <t>3 musketeers mini 5 pcs</t>
  </si>
  <si>
    <t>beyond meat 2 yellow/orange bell peppers 2 tbs olive oil, pot makes 4 bowls</t>
  </si>
  <si>
    <t>1 1/2 bowls beyond and bell peppers and olive oil
(500.25	37.50	9.00	30.75	12.00	3.75	526.50)
3 cinnamon raisin bagels Dave Killer bread brand
(810.00	9.00	0.00	36.00	153.00	9.00	1200.00)
1/2 parm cheese
(220.00	14.00	9.00	20.00	4.00	0.00	740.00)
5 fruit snacks
(400.00	0.00	0.00	5.00	95.00	0.00	100.00)
mini chocolate halloween candy 
3 mini milky way
(112.50	4.50	2.63	0.75	18.00	0.00	37.50)
4 mini m&amp;Ms snax
(260	10	6	2	38	2	40)
2 mini snickers
(86.67	10.00	6.00	2.00	38.00	2.00	40.00)
4 twix mini
(200.00	9.33	5.33	1.33	26.67	0.00	80.00)
2 blueberry bagels Daves Killer bread brand
(520.00	5.00	0.00	22.00	96.00	6.00	760.00)
8 vlasic pickels
(15.00	0.00	0.00	0.00	3.00	0.00	1200.00)
2 tbs mustard
(0.00	0.00	0.00	0.00	0.00	0.00	110.00)
=500+810+220+400+113+260+87+200+520+15+0
=38+9+14+0+5+10+10+9+5+0+0
=9+0+9+0+3+6+6+5+0+0+0
=31+36+20+5+1+2+2+1+22+0+0
=12+153+4+95+18+38+38+27+96+3+0
=4+9+0+0+0+2+2+0+6+0+0
=527+1200+740+100+38+40+40+80+760+1200+110</t>
  </si>
  <si>
    <t>Woke up at 530 am by alarm. Had the AC on bc it was hot. Restarted dryer, gave Growly his meds, fed the babies, made my coffee, updated this database first thing before jumping into reviewing study materials or class material before class. Quiz in FABS1 tomorrow on Biomechanics of spine LE. I haven't reviewed at all bc catching up on GA1 or preparing for the preclass quiz that I completely forgot to take before class last week and was determined not to forget to take it ever again. Got about 6.5 hours sleep and my ankles were still swollen this morning when I woke up. Had a reg lg BM before finishing my 2nd cup of coffee then took measurements immediately afterwards. Finished my 2nd cup of coffee while folding the laundry before getting ready for my 8 am class at 730 am by showering and putting makeup on and breakfast and multivitamins. Time goes by fast. I also have my regular 7 pm client tonight and studying after getting back from my campus courses on site that end at 5 pm. Updated the next day from notebook, I studied when I got home from my clients 7 pm appt, she's cool, my regular and her cat, after driving home from on campus chiropractic adjustments and palpations CP1 course and intro to phys assessment IPA1. Studied after eating more bagels. Had a blinding part of HA migraine, but the HA never hit bc I had some instant coffee for 6th cup coffee after course. And it fixed the problem, but got the blinding line of like a split in the atmosphere in my vision Went away after 10 min after drinking the coffee. Munched on halloween candy on the way home slightly melted. Ate the bagel late for energy that didn't really work but was good. Was able to study for quiz #2 in FABS 1 and went to bed about 1015 pm, not too late.</t>
  </si>
  <si>
    <t xml:space="preserve">1 1/2 impossible patties
(360.00	21.00	12.00	28.50	13.50	4.50	555.00)
1 bowls beyond and bell peppers and olive oil
(333.50	25.00	6.00	20.50	8.00	2.50	351.00)
1 cinnamon raisin bagels Dave Killer bread brand
(270	3	0	12	51	3	400)
1 blueberry bagel Dave Killer Bread brand
(260	2.5	0	11	48	3	380)
1/2 parm cheese
(220.00	14.00	9.00	20.00	4.00	0.00	740.00)
2 fruit snacks
(160.00	0.00	0.00	2.00	38.00	0.00	40.00)
mini chocolate halloween candy 
3 mini milky way
(112.50	4.50	2.63	0.75	18.00	0.00	37.50)
2 twix mini
(100.00	4.67	2.67	0.67	13.33	0.00	40.00)
2 mini m&amp;Ms snax
(130	5	3	1	19	1	20)
2 twix
(100.00	4.67	2.67	0.67	13.33	0.00	40.00)
6 vlasic pickels
(10.00	0.00	0.00	0.00	2.00	0.00	800.00)
2 tbs mustard
(0.00	0.00	0.00	0.00	0.00	0.00	110.00)
popcorn movie theater brand BUtter Lovers ActII
(140	7	3	2	20	3	310)
after 8 pm
Blueberry bagel
(260	2.5	0	11	48	3	380)
10 pickels
(16.50	0.00	0.00	0.00	3.30	0.00	1320.00)
1 tbs mustard
(0.00	0.00	0.00	0.00	0.00	0.00	55.00)
2 snickers mini
(85.80	3.96	1.65	1.32	11.22	0.66	42.90)
2  3 musketeers mini
(87.10	2.35	1.34	0.67	15.41	0.00	36.85)
2 twix mini
(100.50	4.69	2.68	0.67	13.40	0.00	40.20)
2 milkyway mini
(75.00	3.00	1.75	0.50	12.00	0.00	25.00)
2 m&amp;ms mini
(130	5	3	1	19	1	20)
=360+334+270+260+220+160+113+100+130+100+10+0+140+260+17+0+86+87+101+75+130
=21+25+3+3+14+0+5+5+5+5+0+0+7+3+0+0+4+2+5+3+5
=12+6+0+0+9+0+3+3+3+3+0+0+3+0+0+0+2+1+3+2+3
=29+21+12+11+20+2+1+1+1+1+0+0+2+11+0+0+1+1+1+1+1
=14+8+51+48+4+38+18+13+19+13+2+0+20+48+3+0+11+15+13+12+19
=5+3+3+3+0+0+0+0+1+0+0+0+3+3+0+0+1+0+0+0+1
=555+351+400+380+740+40+38+40+20+40+800+110+310+380+1320+55+43+37+40+25+20
</t>
  </si>
  <si>
    <t xml:space="preserve">Woke up at 530 am and snoozed 10 minutes till 540 am then got out of bed did normal routine, my coffee, Growly's meds, fed babies and outdoor cat/kitten, studied for quiz 2 in FABS, and showered by 735 am. Had GA1 first, instructor is super smart and knows a lot about the body, but he didn't say anything about my client's ticklis ESM that never goes away when asked 2 min before class at 758 am. Just that he gets ticklish and when adjusted by Dr. Bui he gets ticklish but it never goes away and to use something to distract clients nervous system like hot packs to add pressure. He is nice though. I was expecting a really in depth informational underlying explanation for why the client has the ticklish spot similar to how people with sweaty palms get treated by having botox injections in palms to prevent the ANS from causing the sweating or before that cut or severing of the efferent C7:C8 nerves. Took quiz on examplify and used the acer alternate lap top that is super slow even though it has 4 gb RAM. It should be fine. Retarded it is though. ANd super slow. It worked though. And the cell phone, I cannot access the chat menu and do not know how to get to it on the android cell zoom app. The chat is where the instructor Professor Bui sends the examplify pass code.  Left at 11 am, cutting out of Dr Bui's class at 11 am. He was still talking, but for answering questions. Made it on time to class after putting fuel in my van. $40. Measurements taken after 2nd tiny BM after a 1st BM 20 minutes earlier after drinking 1st cup coffee and halfway through 2nd cup coffee. Had 4 cups coffee by 930 am and then 5th before leaving for campus and  6th cup coffee on the way back from campus. I went there for open lab with JP, Max, and Mario. Ali was going to go, and she got there early but didn't know where to go and didn't consequently and didn't have our numbers. She transferred from a 10 term track to 12 track. No BS or BA just had enough credits, same for Mario. I thought it was a requirement, but learned the other day that it isn't a requirement, bc as long as you have more than 90 units or 3 yrs college credits and all the science courses they will consider you for the Doctoral of Chiropractic program. For breakfast was same as late dinner last night, airfryed cinnamon bagel with pickles mustard parmesan instead of mozz and is really flavorful to me with last of beyond meat and bell peppers, for lunch at campus or on the way to campus had one of the two impossible patties that was on a bottom of cinnamon and top of blueberry Daves Killer bread brand with parmesan cheese shredded, pickles, and mustard. Had 1/4 for the pups and cut two of those into quarters, and after work had 2 of those and gave other 1/4 to the babies. Growly was outside and wasn't hyperventilating but passed out with a seizure on the dirt and got messy. I gave him a shower in sink  with warm water and washed off the pee and dirt from him and did laundry of my clothes and the babies' couch blanket and the towels used for babies and drying Growly. had 1st vodka lemon drink at 430 pm, arriving home at 4 pm from campus. Watched another episode made available on Only Murderers in the Bldg on Hulu. It doesn't show on my recommender system with hulu like they don't think it is locking me in to stay tuned and consequently keep monthly subscription. I had to add it to mystuff in Hulu. There is another tv series on FX on Hulu called Last Man that looks interesting, bc w/ this vaccine, if it does sterilize people who get it, only the males would be affected as their gametes are the only ones that carry on the DNA changes, as female's DNA is already made and stored in a vault of their ovaries until their monthly cycle and undergoes 2nd meiosis and crossing over and randomization of DNA genes with male when fertilizing if fertilized. So it makes sense that it could be the end of males if they cannot any longer produce human beings or procreate. Interesting play on evolution. Thats not what the series is about, but that is why I have an interest, mindlessly, in it. I did score well enough on my FABS quiz 2. 7/8 is better than the minimum of C. I find these courses so interesting as they are and am learning quite a bit. This system takes away the retarding stress of trying to be an elitest in succeeding not having to get a B or A but just not a D or lower. Measurements taken before breakfast and after 2 BMs. Had another one later in evening for 3 BMs, 2 reg BMs and 1 tiny BM. The 3rd reg BM was after a couple drinks and when snacking and watching tv on hulu. Went to bed around 1030 pm bc tired and Blink camera was on in bedroom pointed at wall and time lights went out. Turned it around in middle of night. Had 3 drinks all day.  I also ordered another massage table that is light weight aluminum and can be made to get low to ground at less than 24" but not thick foam nor wide for big people. It will work. If they are uncomfortable I can put the more comfy table up for them at my mobile massages. I also ordered a cat house, designer looking for the kitten outside that is our new little friend, and the rest of a halloween costume just simple Cleopatra or Egyptian goddess one. It will probably be stuck on my clothes rack. Used my credit card. </t>
  </si>
  <si>
    <t xml:space="preserve">1 BB bagel DK brand
(260	2.5	0	11	48	3	380)
1/4 cup parm cheese shredded SB brand
(110	7	4.5	10	2	0	370)
4 vlasic pickels
(16.50	0.00	0.00	0.00	3.30	0.00	1320.00)
1 tbs mustard
(0.00	0.00	0.00	0.00	0.00	0.00	55.00)
1 beyond meat patty
(260.00	18.00	5.00	20.00	5.00	2.00	350.00)
3 3-musketeer minis
(78.00	2.10	1.20	0.60	13.80	0.00	33.00)
1 twix mini
(50.00	2.33	1.33	0.33	6.67	0.00	20.00)
2 mini m&amp;Ms snax
(130	5	3	1	19	1	20)
=260+110+17+0+260+78+50+130
=3+7+0+0+18+2+2+5
=0+5+0+0+5+1+1+3
=11+10+0+0+20+1+0+1
=48+2+3+0+5+14+7+19
=3+0+0+0+2+0+0+1
=380+370+1320+55+350+33+20+20
</t>
  </si>
  <si>
    <t xml:space="preserve">Woke up at 530 am by alarm. Woke up earlier but didn't get out of bed and went back to bed. Noticed bedroom blink was pointed at bed instead of wall and turned it around at around 1 am. I watched a few episodes of Last Man before bed and its not that intriguing, especially for an FX series. Not sure about investing my free time watching it. I ate a ton of candy last night and had 3 drinks all night and a blueberry bagel but wrote it down knowing I would forget. Had a reg BM after my first cup and a half of coffee. My belly is big today, and if all is normal, I should be starting my menstruation soon bc its usually 26-28 days. Could be menstrual bloat. With all the sodium I had last night, my ankles weren't that swollen waking up. But I marked it early bc I have work later and classes later, bc the afternoon class is a prerecorded one I still need to view that LE and take notes we could be having a quiz Monday in that class. Starting with the CP1 class this morning at 8 am. Measurements taken before breakfast and after a reg BM. Breakfast was a BB bagel with pickels, parm shredded cheese, mustard, and one of the beyond patties I made in airfryer, 2 in pkg. One for later. Shared 1/4 of it with babies. They love it. Its good. Had my multivitamins with it. I forgot to get more multivitamins at Target last time I went. I am almost out. I got a call from Mo that Mom is on intubator at 630 am or so, called her back before my 8 am LE on CP1, had drank a couple of cups coffee I think up to 3 cups the norm, had a 2nd tiny BM for the day. Must be dehydrated. She said it was serious, as I thought she was getting better. I called the hospital to see if I should take off from work and give late notice to my manager, and the dude in charge of that station ICU bed 1 Jack gave to my little sister Becky who called me back only to bitch about me and talk to me about how selfish and stupid I am for only checking in every few days, accused me of not talking to her since Sat. When I called, the nurses  update me. I didn't like it and told her sorry for her loss and I know she was there a month, but that she needs to stop talking to me that way and to fuck herself and she hung up. She is an entitled little spoiled brat. no respect for anybody, thinks she knows everything and that is what annoys my mom about her. My mom thinks she is more selfish than all of us, bc she runs her mouth and gets pissed at them for watching the news Fox in TX and took off and left them there. Today is the day exactly sincer her dad Dave died at 56 years old. I called back the hospital a few minutes later to be updated and Jack said its violation bc I have to speak to my lil sis even though I am her daughter. I asked if I came down if I could see her and he checked and said 1 person at a time only bw 9am-6-m. I got a flight first thing on first thing thats affordable and called off. Mger was ok and I accidentally texted her on group chat and a couple coworkers wished the best prayers for her. So my lil sis and older sis both treat me like shit and talk to me like I am incompetent or dumb. I have no idea why. Updating this on the way from the 1st layover in Denver to Houston. I should get there at 7 pm TX time, over the visiting hours and still need to drive 35 miles approx to the hospital or take an uber/lyft. Told the roommate and that he needs to give Growly his meds, hopefully he remembers he should bc He told me he is sorry to hear that.  My sis drove there, Mo, with both my nieces and is there now. Thankfully they arrived safely. They were both a couple hour flights each from ONtario to Denver and Denver to Houston. Thankfully not crammed in the airplane cabin for too long, and the 2nd flight was much roomier than the earlier one to Denver. Went to bed at around 12 am TX time bc I was in bed by 1030 pm in the hotel but couldn't sleep and all night kept having Amber alerts go off in TX loud and bright and also noise outside. 12 am TX time is 10 pm CA time. I didn't eat anything bc no car rental and instacart didn't deliver past that time and I need a lyft everywhere. </t>
  </si>
  <si>
    <t>1 champion Raisins Sours</t>
  </si>
  <si>
    <t>Welch's Juicefuls</t>
  </si>
  <si>
    <t>Great Value Tangy Smiles</t>
  </si>
  <si>
    <t>Salt &amp; Vinegar Starbucks potato chips</t>
  </si>
  <si>
    <t>Mozz &amp; Tomato sandwhich Starbucks sandwhich</t>
  </si>
  <si>
    <t>Pumpkin Cold Brew grande starbucks</t>
  </si>
  <si>
    <t>FF small whataburger</t>
  </si>
  <si>
    <t>apple slices whataburger</t>
  </si>
  <si>
    <t xml:space="preserve">Woke up at 7 am TX time turning on and off alarms, no vending for water bottle and the front desk said to go to the lobby for water. I don't want open water just like in the airplane. That is all they servce is open drink beverages with ice. I need to take an uber to the grocery store for water and snacks then visit my mom. That is a 40 minute ride there and another $50. The ride to the hotel from the airport was $52 plus I gave her $20 cash tip. Nice lady, put up and waited for me to walk up to meet her. The blink camera logs in to the time it is where I use the app and does that for all previous. I had a couple cups instant coffee with tap water and then got a bottled water from the front while I waited for my lyft, from a dude, that is Moroccan and lived here 27 years and knows how Houston area grew. He was surprised that we were going far and took me to the hospital on the wrong side. He was nice and friendly. but told me some stuff about how the women/men ratio is 3/1 and college girls from boston come here to work the bars and that is why hotels are sold out and that places like Bombshells a Hooters restaraunt have drinks for $15 that men pay to hang out with women and Cindy's Lingerie is an escort agency or something like that and that the men or company that build the roads is build by the same contractors who built the roads in Iran and Iraq, and Houston has the richest men in the world, and he used to work for NASA and came down here for that but worked delivering body parts to hospitals and his mom was a nurse and my hotel is right next to the biggest hospital and most world medical research center. Very friendly. I tipped him $14 cash. He had to get fuel and thought he would have to while on the way to drop me off at the hospital. At the hospital I was the first daughter there around a little after 9am and told the nurse Jack I think he's dirty and got her sick and that is why she is intubated, she was sedated and didn't get to talk to me or any of my sisters. He told me he would have security escort me out. He is an asshole and makes me think he got her a different strain of COVID as she was there a month already and improving then gets on the ventilator. The nurses who talked to him were also saying stuff under their breath to for me to please leave. but not to me to themselves like white mid 20s crackheads. The guy is an American Indian misogynist. I left a 3 star review and explained the whole incident of him saying something to the nurse after discussing with me something like he was making fun of me and when I asked him he told me he didn't like the way I was talking and to leave. Becky was there and not the mean upset girl the other day. I did feel sorry for her losing her dad and saw a girl like her at the airport waiting for my Lyft that looked like her and said 'cunt' bc it upset me but felt bad at that time bc she was alone and my lil sis lost her best friend and our mom was struggling to live. Its good she moved past it and was civil. I went to the celebration of life for Dave and saw a few of his brothers who flew out. And some of the ladies Mom and Dave hung out with. Didn't eat the food, but my lil sis got a lot of it shipped in from their favorit fast food place in Chicago called Portillos. We saw a bunch of pics of Mom and him and all of us when younger. It made me cry seeing Mom in her younger and healthier years in the photos. Hung out with my sisters and nieces, went to Wal-mart. I didn't have a BM this morning and also didn't eat breakfast or have dinner last night, not even chips. When I took my Lyft I took all my stuff and left $5 on the table for a tip just in case I didn't come back even though the room is paid through Monday. Ended up staying with my sis Mo and the girls my nieces. Took a shower there at night after updating this database. Mom has a tube for glucose to feed her while sedated until Monday and I cannot stay to see her wake up and Becky said the nurse said the doctor might put a trachea in her if they take out the tube after sedation and she cannot breathe on her own. But the survival odds are better and a guy in the hospital had it done but survived and still there alive. Also, before intubating Mom, the doctor asked Becky if she wanted to let our mom go peacefully or intubate her. She intubated her but that is an unexpected thing to ask about our mom when she seemed to be doing a lot better last I checked. </t>
  </si>
  <si>
    <t>Grande Apple Crisp machioto iced Starbucks</t>
  </si>
  <si>
    <t xml:space="preserve">salt &amp; vinegar Starbucks potato chips
(270	13	1.5	5	34	2	640)
Mozz &amp; Tomato Sandwhich Starbucks
(350	13	5	15	42	3	570)
Golden Apple Crisp Cold Brew
(300	7	4.5	12	47	0	280)
Pumpkin Cold Brew
(250	12	8	3	31	0	55)
FF small whataburger
(140	8	0.5	2	16	0	140)
apple slices Whataburger
(95	0.3	0.1	0.5	25	4.4	2)
1 champion Raisins
(70.00	0.00	0.00	1.00	16.00	1.00	0.00)
Welch's juicefuls
(90	0	15	1	21	13	15)
Great Value Tangy Smiles
(90	0.5	0	0	20	0	15)
=270+350+300+250+140+95+70+90+90
=13+13+7+12+8+0.3+0+0+0.5
=1.5+5+4.5+8+1+0+0+15+0
=5+15+12+3+2+1+1+1+0
=34+42+47+31+16+25+16+21+20
=2+3+0+0+0+4.4+1+13+0
=640+570+280+55+140+2+0+15+15
</t>
  </si>
  <si>
    <t>starbucks double shot espresso 6.5 fl oz can</t>
  </si>
  <si>
    <t xml:space="preserve">Went to bed in Mo and the girls hotel room closer to the hospital after I showered around 11 pm but didn't go to bed until 230 am from not being able to. And alarm went off at 530 am, got up and slept an hour on the couch, and then Mo got up to log in but my lap top turned off and she didnt get me when I went back to bed and slept until my 730 alarm went off. Probably got 5 hours of sleep. Still groggy a bit, but had a starbucks double shat espresso we got last night. Stomach cramped from sugars digesting and no BM yesterday. Tried to view the Fri LE we had prerecorded on their wifi. Weight taken after eating a couple sour fruit snacks of the Welch's and the Great Value bought yesterday at the Tomball Walmart where we shopped. I ate my gummy vitamins after the fruit snacks and have 2 left, not a normal day's amount. Visited Mom, and she was moved had cold toes again today but hands were warm, in am saw surgeon waiting, he is considering doing the trachiotomy on her. She will need 24 hour care to clean wound and it gets clogged. Poor Mom. We love her and know she wants to be back to her vibrant and cheery energetic self. She was still sedated but moves her facial expressions and hands when listening to people in the room and its not pleasing. I pray she pulls through and want her to do well and then be healthy enough to get moved to CA so we can take care of her. Mo would have to be her guardian or similar to put her on her health insurance and Becky is the one with power of attorney. Both have great insurance health coverage and other. Mom is a fighter and was scared a month ago entering hospital she doesn't want to 'pass peacefully' and they better do a good job on her. The health care staff doesn't take criticism well and wants to kick anyone out who criticizes their care. One nurse was helpful and we all like her. Thats the one with the brunette hair, and glasses that is a petite one. But she won't be there today, and that Jack guy was there all weekend, and got close to me yesterday walking behind me. He is a piece of shit. And will get what he deserves from what he does to people who depend on him to be there to take care of them as his job as a nurse entails. Mo and Bailey went after Brooke who went in after me bc she needed to use the restroom. They spent longer in there than me. We all got there around 930 am and left for lunch around 2 pm choosing whataburger for Bailey with a long line and no wait at Schlozkys subs. I had a rye med bread avocado turkey without turkey, mayo, or onions. So it only had lettuce, tomato, and avocado. And a bag of snack sized baked cheetos and 1/3 the lg fountain dr. pepper, but they were stale like they were really old. The other chips my sis and Brooke ate they liked of the salt &amp; vinegar chips. The cashier was a decent looking curly haired blondish tall young guy Brooke's age who told her she was cute when she left. She told him she had a bf. But thought it funny as she was eating her cinn roll from cinnabun they also sell and they had. She said it shows her double chin, and she saw him looking at her. We went back to Moms and Becky met up with us after a long brunch with her uncle's as her uncle Pete left and she felt terrible, bc we found out Mom's xrays of her lungs were worse than yesterday and the day before. I feel like these losers working the healthcare for the patients there aren't doing enough. I went in then Becky did, after talking a while, she even talked to that nurse past 6 pm until 640 pm she told us later when we ate at Adriatic's Italian Cafe later around 730 pm, after doing our laundry in Mo's hotel's laundry room. They had 2 of each washer and dryer and I had the quarters from my bag of quarters. I left the rest of the coins in the hotel as a tip to the staff if Mo didn't leave cash. Which reminds me to check out my hotel as I update this at 454 TX time waiting for my flight. At the restaraunt I had about a cup of their heavy alfredo cheese tortellini shrimp. That had 4-5 lg shrimp in it. It was good, but heavy as Alfredo sauce is normally. We hung out afterwards and talked after they closed at 9 pm until 930-940 pm and Bailey had to pee but still kept talking and she walked to Walgreens to pee and thankfully was able to. We saw a Constable or cop talking to a person looked like a very skinny blonde girl that didn't pay for her items of food, and while we were getting Brooke's contact solution found out she had a boy that looked well fed but like an overgrown autistic child. Who knows what she did, maybe she left him in a hot car or didn't pay for her items. WE went back to the hotel after saying bye to Becky and I took a shower and got about 2-3 hours sleep before leaving. Brooke got another stuffed toy they made fun of her for liking bc her bf got her a couple different ones her mom calls blue bastard and she says is named Mugg, and Brooke named this one Gastone. She is still dating Matt a tall skinny guy but had an ex named Mark that still tries to talk to her and Paul her step dad likes. He calls Matt Mark all the time and refers to him as the skinny bf knowing she doesn't like it and neither does Matt. But Mo told me that Brooke refers to Carrina as 'the lezbian' bc her and Bailey were doing everything together but every time Carrina gets a gf she ditches Bailey and doesn't talk to her anymore, so when she makes up with her and says something Brooke doesn't like she tells her to 'shutup, lezbian' and Mo doesn't do anything when Bailey tells her and Mo tells Bailey that she is though. Brooke also tells Carrina all the time she is going to burn in hell, but not bc she doesn't like lezbians but bc she doesn't like her. I got about 2.5 hours sleep from 11 pm to 130 pm then took a lyft with a driver who wasn't talkative and did bare minimum, but at least she got me to the airport on time. Tipped her $15 on credit card and it was cheaper to airport from Mo's hotel than mine. With tip was $43. Bout $20 cheaper. The airport didn't even have TSA or charging stations that worked for outlets available, they shut them off, and had to wait from 230 am until 4 am Houston time and took a while just for me and the first seven or so passengers before me to pass TSA. Good thing I showed up early. They had charging stations, but my phone isn't charging well keeps turning on and off. Went from 47% to 51% power from 420 am until 505 am. I had it almost a year. </t>
  </si>
  <si>
    <t>Simply Cheetos Puffs White cheddar, serving is 32 pcs, 8 servings/bag</t>
  </si>
  <si>
    <t>Lays Poppables white cheddar or cheddar, serving is 28 pcs, 5 servings/bag</t>
  </si>
  <si>
    <t>Dr pepper 20 fluid ounces</t>
  </si>
  <si>
    <t>cheese tortellini 0.8 cup serving, nutritionix.com</t>
  </si>
  <si>
    <t>jewish rye bread similar to schlotzkys bread rye bread dark rye bread appearance, 1 slice</t>
  </si>
  <si>
    <t xml:space="preserve">3 fruit snacks
(240.00	0.00	0.00	3.00	57.00	0.00	60.00)
3 twix mini
(150	7	4	1	20	0	60)
2 snickers mini
(86.67	4.00	1.67	1.33	11.33	0.67	43.33)
1 3-musketeers mini
(26	0.7	0.4	0.2	4.6	0	11)
1 m&amp;m mini
(65	2.5	1.5	0.5	9.5	0.5	10)
1 beyond pattie
(260	18	5	20	5	2	350)
1 BB DK brand bagel
(260	2.5	0	11	48	3	380)
2 starbucks doubleshot espresso energy drinks
(280	12	7	8	36	0	130)
1/3 2 strawberry poptart (as 1/4 bag stale pop tart minis)
(132	3.3	1.65	1.32	24.42	0.33	79.2) 
=240+150+87+26+65+260+260+280+132
=0+7+4+1+3+18+3+12+3
=0+4+2+0+2+5+0+7+2
=3+1+1+0+1+20+11+8+1
=57+20+11+5+10+5+48+36+24
=0+0+1+0+1+2+3+0+0
=60+60+43+11+10+350+380+130+79
</t>
  </si>
  <si>
    <t>Woke up at 130 am to take lyft to airport to catch 6 am flight from houston to Denver then to ontario by 9:50 am. Very tired, did some studying and forgot I had a 2 hour lab in FABS1 and also forgot I had a Sunday appt with my regular MLD client who cancelled and rescheduled this Sunday. I completely forgot until she rebooked for this Sunday. But I managed to kill myself exhaustingly logging onto the campus trying their $8 airline in the sky Southwest wifi that worked for internet but the firewall didn't let me on zoom. I thought I was an hour late, but when the plane landed it showed CA time and it must have been Denver time I was seeing. I logged in while in parking lot and pulled into a gas station to do my part of the group lab assigned and made it home driving with them on zoom talking and afterwards to finish class. I had coffee when I got home from the keurig and threw out all my instant coffee that I brought in a sandwhich bag and there was quite a bit of it but saved the smushed chocolate minis. I had a large watermelon redbull that I got from the gas station for being in their lot for 20+ minutes but never drank it. I am going back to that plane ride from Denver to Ontario to talk about an incident and the ride itself by entering it in now. It has had me cracking up the whole time. I was super tired and took the first what appeared to be roomy aisle seat but in emergency aisle where we have to do the noble thing if all passengers need to be evacuated. Yeah right, like I am going to, but if that should happen ok, yeah sure. But a fat guy was there that I didn't think would be a problem. The ride to ONtario we were told while waiting was filled completely not like the one to Denver so I too the seat that I thought I would be more likely left alone. I saw a couple middle seats next to males that looked like narcissistic white cop or misogynist types who want to talk about themselves or not pleasant to sit next to and chose the one further and best option first available. as I was group C and the last group to fill in. I took it and had a spot above me directly for my 2nd bag. but during the flight and the take off I kept feeling this dude's fat thigh pressed against mine and didn't say anything to him but he was watching the free videos a Tarantino one about the westerners and the chick jessica something in it and something like hateful 8 or something. I avoided him and as the ride went on I would push myself further away and still it was like he wanted me to feel his fat thigh on mine. Also, before taking off, I never sat next to a fat person before and didn't think of this problem, but the stewardess hit me with her left butt cheek 2x while explaining the seat belt and air contraptions. Didn't say anything to either of them, but finally with my ear pods in trying to access internet and being dissappointed thinking I am not able to log into my zoom meeting after paying $8 for their inflight wifi bc of their firewall zoom not working. I was upset and was like, 'is there a way you can keep your fat thigh from hitting mine?' while I scooted to the aisle, and kept my ear pods in but think he said something but wasn't sure then he excused himself to the restroom and when he came back he lifted the bar bw our seats and it helped a lot. I didn't realize at that time and only 2 hours of sleep if it was even up at all. But we were near landing. When we landed I jumped into the aisle first and got my above head carry on and kept it on me while about 30 seats in front filled out of seats and I waited, and the guy behind me gave the fat guy his bag and hit my bag while doing so. I turned around and he gave me a look like a misogynist italian american asshole in early mid 20s. I didn't like that and waited, and the dude then hit my calves with his bag and I turned back and he did it again, I burst out, 'watch it! fag!" and it was the closest thing to misogynist I could think of as he obviously doesn't like women. and he stopped. Then we were exiting plane and I said to him 'because I will hit a fag!' and the guy in front didn't like that as he was wearin ga striped purple and office type business attire and probably was gay. I should have said misogynist but meant the most offensive word for a guy that doesn't like women and hates them. I would actually refer to a gay guy who actually was attrracted to males as queer and not gay. But then I was walking to see if he reacted and laughed my maniacle laughter shortly after saying it bc I reallly could see my self losing it to strike him a couple hard rights and getting into a brawl, and him having started it by hitting me first with his bag and then having to defend himself and me being outnumbered by him, his other friend, and I don't remember exactly what they look like bc I was trying to avoid a fight, but they didn't look queer, and the thought made me laugh really unnerving ly loud and maniacally as I thought of how it would be in court and him and me fighting and him looking also homophobic saying it was bc I said I would hit a fag and then my roommate going there in court to see the dude and him also beatin gthe dude's ass, and ... very off topic, just had to laugh maniacally. He didn't respond, but I did hear him say to his other friend while I was exitin gthe bldg what they would do, the dude wanted to get a beer and the other go to the rest room. I exited, but thought about that moment while in lab at the gas station and didn't realize I was unmuted and the story ran through my mind and made me laugh again really stupid on mic while one of the guys hosting our group and actually a lot of the dudes look like they could actually be attracted to males but not the queer type and not the misogynist type. I said loudly on mic, 'Fuck you ..ha haha ha ha fag! hahahah' then I realized my mic was on while the guys were talking about filling in the slides and I had to apologize and tell them I wasn't talking about them it was me thinking out loudly about a guy that hit me on the plane 2x with his bag and then I turned off my mic. I thought about that and now the lab time a couple more times on this day and the next day. If it was a movie it would be that scene in the movie you just have to laugh at and recall bc it is so stupid like stupid AF that you can't get it out of your head. After a couple keurigs had a reg BM like it should be slightly small amount no abnormal color as if I hadn't missed a couple days of BMs. But body wasn't allowing it. I did have to fart a lot on the weekend while there but no BMs. I did also start rag and it started getting from light to heavy with none of that I guess you could call it courtesy spotting that shows up as a tiny amount of dark blood the day before. It was just light blood while on the plane first flight. Smelled like old blood when you sit down to pee in the stalls and hotter air in groin rising while your squatting to pee.  I had the quiz but tougher than I thought and I didn't even study the study guide. I just read all the notes. I was so tired though and still am. I have a bunch of prerecorded videos to watch for my class tomorrow and also for the lab in that class tomorrow bc they have been based on all the videos this far and the weekly planner said this week to watch all of the videos over the weekend instead of just the first few like last few weeks. Mom didn't get her trachea today but the doctor said tomorrow she will bc the operations were fully packed for the day. They told her Mom's strong and has had to be restrained while sedated bc when the lady brushes her teeth it hurts and she reflexively pulls at the lady's hand. Also, Mo said, it won't be as uncomfortable in the neck hole to breath instead of laying along the gag reflex epiglottis area for the breathing tube. And she needs to get all her upper body muscles moving so that she can prevent atrophy and only be on the trachea for a little while until strong enough to breathe on her own. For lunch after the last lecture of the day I had a left over beyond meat patty from Friday (I didn't get to eat as I left last minute to go to TX) with a bb DK brnd bagel, parmesan cheese, pickles Target brand and mustard, shared 1/4 with babies, and they loved it. And Also had 3 twix, 1 3-musketeers, 2 snickers, and 1 m&amp;M mini sized for all after that. Only had 4 cups coffee altogether including the 2 starbucks double shot espressos this morning at the airport and the 2 keurigs. I took measurements while eating the snack mini candies after the bagel beyond burger. Then was updated on Mom via Mo, but Becky and I didn text about her condition earlier before my classes and plane landed. Love Becky and not being upset with her. She really is doing  a lot for Mom being in TX taking care of her affairs for us and her pup Cody she grew up with since she was a teenager, and having an apartment in Chicago but paying for a rental car down here and her apt and working remotely from TX. It is a lot and to be away from her friends and in TX where all the same restaraunts we have are located but their customer service reviews have 1-3 stars out of 5 for all of them. Not a fun town to be craving any food from if the service is very low. Started my rag while at the airport, noticed the spotty ness after the first and only stop on flight to CA. While in Denver, then light. No spotty warning just light flow. Makes sense as this morning it was 28 days since my last cycle started. Had a drink but didn't eat anything. I have to get bread, I have impossible burger patties, beyond and sweet earth meat to make and frozen vegetables but need groceries and cat food, wet cat food. Went to bed after writing notes on part 1 of videos needed to view before GA1 tomorrow at 10am -12 pm. Went to bed early. My skin was itching and it was chilly but my clothes including heavy winter coat were in the dryer. Had to wear a cotton sweater that made my skin itch, and consequently all my skin itch. Bed time was about 830 pm. I thought the neighbor would keep me up bc he was revving his car he was working on, but I was so tired didn't care. Managed to sleep through night. Bleeding med-heavy and heavey through the night. First regular period in a while. There wasn't anything quick to eat other than that huge halloween bag of candy, so I went to bed without eating anything more. Note that the weather was in Texas from a printscreen of their weather at their TX time of 530 am approximately for this date, and the Sunday and Saturday weathers as well and time of weather and measurements is for TX time and weather.</t>
  </si>
  <si>
    <t xml:space="preserve">Woke up at 530 am by alarm and snoozed for 10 minutes before getting up to do the normal routine of cleaning pet messes, feeding ktty outside and put together its cat house yesterday for it but it didn't know what it was. Looks like a mini beach tower at the beach for it. Fed Growly his meds in his food with the babies. Last of wet food, need more and need to go to the grocery store after I finish the videos to notetake and class that ends at 12 pm. Want to shower too but its already 640 pm and I have laundry to fold and put away. I also need multivitamins at the grocery store. I was able to finish the video LEs with typed notes and added scribbles to the ppt on mediastinum, then we did our lab in our group for GA1 and had a kahoots. Quiz this Thur on CNS and PNS. Need to study. The kahoots was for attendance. I bled a lot while in group, fountain today and after LE over had a puddle of blood around front area so large it reached my bottom tshirt, the cat tshirt and around and over the thin heavy flow pad. I ran out of the other ones I thought but found more thankfully to change completely and go to Target. Got cat food, water, vitamins same gummies, a couple bag of puff white cheddar cheetos type chips some fall seasonal kpods starbucks brand cinn dolce and maple syrup. Had my 3 multivitamins in car after eating some of the white cheddar puffs and some Motts fruit snack bags that I got. Had 5 motts and 2 servings of puffs on way home altogether, made 5th kpod of the maple pecan kpod. Didn't taste as good as it sounds, tastes like all the others. Not sure why. Doesn't even smell sweet in fact tastes like a mild version of nail polish remover or even nail polish. No scent or flavor. Hopefully I don't have COVID. I will have to ask Shane what he thinks. I had my 4th cup of coffee around 945 pm before and immediately after my shower before class. Thankfully was able to finish note taking on time and take a shower and wash hair. Put away the clothes from dryer that laid in my laundry basket since before class started and updated this db. I have to go back and enter nutrition values manually and do those calculations since 2 days before this one. Took measurements after putting my clothes on after a shower 10 min before LE, and after breakfast around 920 am of an impossible patty and broccoli rice. Chopped the 2 patties and mixed with about 3/4 a bag of the broccoli rice. I won't eat all of it and thats all that would fit in the bowl. Shared some with pups. Another patty and tons more broccoli rice left for later in the bowl. I have to do some studying and a preclass quiz due before GA1 LE tomorrow. I haven't worked out since I think Wed. And I am on heavy flow today so not doing it today. I have to go to campus tomorrow, so hopefully most of it bleeds out today. I don't like wearing super heavy pads for bleeding or having a puddle of blood squirt out of me and around my pad while sitting unable to do anything about it. My uterus doesn't like me this month. Not sure why. But definitely not a fan of convenience for me so far. But first real menstruation of my normal types since a few months ago. I had low back pain all day after my drink it started around 430 pm and after my 6th kpod coffee of day around 5 pm of the cinnamon dulce starbucks kpod. I could smell the cinnamon in it so no covid other strain thankfully. I don't have any symptoms so I should be fine. Nothing special on those drinks the G&amp;G brand carmel machiato tastes better and flavorful. Don't waste money on the Starbucks ones. Mom is out of surgery. Becky was keeping us updated and Brooke wants to stay there to help her with Becky. They are going to ween Mom off her sedatived that has her knocked out and possibly put a feeding tube directly into her stomach instead of down her nose and throat. She now has a tracheotomy breathing tube. I want Mom to be how happy and healthy she was many years ago. The happy part might not happen unless she is healthy. But we can all help to get her there. She will need to strengthen her muscles. Chest to breath and move around. She can prevent atrophy that way and get off the tracheotomoy tube and feeding tube once better able to move. Studied the mediastinum and took the pre-class quiz around 8 pm scoring 5/5, then tried to watch Murderers in the building but all night my LB ached and I was massaging my glutes, to help and it did until I stopped, but bleeding heavy and the fountain going at times with LB pain and some low ab pain, not much in abdomen area, all in lower back and sides of LB. Was able to go to sleep around 830 pm and needed to study more for the CP1 and IPA1 quizzes today in class on campus, but decided to set alarm. I was in pain and tired. I set my alarm for 5 am and it didn't go off I got up about 4-5 times to change my pad and it tapered off from really heavy to light pink and slimy then blood clots and pink blood flow. Back didn't ache as much and I drank a bottle of water throughout the night. </t>
  </si>
  <si>
    <t xml:space="preserve">1/3 cup broccoli rice target G&amp;G brand
(8.89	0.00	0.00	0.89	1.78	1.33	8.89)
1 impossible patty
(240.00	14.00	8.00	19.00	9.00	3.00	370.00)
5 motts fruit snax
(400.00	0.00	0.00	0.00	95.00	0.00	150.00)
2 servings white cheddar puffs cheetos Simply labeled
(320.00	18.00	3.00	4.00	32.00	2.00	560.00)
4 motts fruit snax
(320.00	0.00	0.00	0.00	76.00	0.00	120.00)
1/3 popcorn
(46.20	2.31	0.99	0.66	6.60	0.99	102.30)
2 servings Lays poppables chips
(300.00	16.00	3.00	4.00	32.00	2.00	340.00)
1/3 cup broccoli rice target G&amp;G brand
(8.89	0.00	0.00	0.89	1.78	1.33	8.89)
1 impossible patty
(240.00	14.00	8.00	19.00	9.00	3.00	370.00)
=9+240+400+320+320+46+300+9+240
=0+14+0+18+0+2+16+0+14
=0+8+0+3+0+1+3+0+8
=1+19+0+4+0+1+4+1+19
=2+9+95+32+76+7+32+2+9
=1+3+0+2+0+1+2+1+3
=9+370+150+560+120+102+340+9+370
</t>
  </si>
  <si>
    <t>2 GV fruit snax sours
(180.00	1.00	0.00	0.00	40.00	0.00	30.00)
1 welchs juicefuls sours
(90	0	15	1	21	13	15)
2 champion Raisels raisin sours
(140.00	0.00	0.00	2.00	32.00	2.00	0.00)
3/4 can dr pepper (fountain version of canned)
(250.00	0.00	0.00	0.00	66.00	0.00	100.00)
rye/squaw bread jewish rye bread
(160	2	0	4	30	2	440)
1 avocado
(322	29	4	4	17	18	14)
1/2 cup lettuce
(17.00	0.10	0.10	1.30	3.30	0.00	27.00)
2 slices tomato
(22.1	0.2	0	1.1	4.8	1.5	6.2)
1 cup alfredo sauce
(440	44	24	8	8	0	1560)
5 lg shrimp
(42.00	0.70	0.10	8.10	0.40	0.00	59.00)
1/2 cup cheese tortellini
(249	5.9	2.9	11	38	1.5	329)
4 starbucks doubleshot espresso drinks
(560.00	24.00	14.00	16.00	72.00	0.00	260.00)
=180+90+140+250+160+322+17+22+440+42+249+560
=1+0+0+0+2+29+0+0+44+1+6+24
=0+15+0+0+0+4+0+0+24+0+3+14
=0+1+2+0+4+4+1+1+8+8+11+16
=40+21+32+66+30+17+3+5+8+0+38+72
=0+13+2+0+2+18+0+1.5+0+0+1.5+0
=30+15+0+100+440+14+27+6+1560+59+329+260</t>
  </si>
  <si>
    <t xml:space="preserve">Woke up around 625 am bc my alarm I set for 5 am didn't go off. Got about 8 hours of sleep, got up a bunch of times to change pad and had a heavy flow last night, with blood clots once not flowing heavy. Still have LB pain and the blood flow is med-heavy today. LB menstrual cramps to start day while drinking coffee and doing routine, fed babies, gave Growly his meds and need to refill his pimobectin vetmedin. Had 2 cups coffee made but only drank 1 cup into an hour of being up. There aren't any study guides for the quizzes today and the last one that I did in CTAP1 went exactly by the study guide and I didn't study it and got 6/10 on it. I just read all the notes and ppts. The questions on the voltage type transport and other questions. Didn't write the questions either, but he said he would go over it on Friday. Measurements taken after 2 cups coffee and before a BM and before breakfast. BM after 2nd cup of coffee reg BM. Had a yogurt chobani vanilla with multivitamins 3. Then showered. Ready for class with camera off by 755 am. Mom did great following her tracheotomy according to Becky and the girls and Mo drove back yesterday. I was able to pick up my medical kit at school and put in my car, didn't check it for all the goods, bc we still need our stethoscopes and spines (Nov). I already have both from AMazon. I had about 11 Motts fruit snacks yesterday in all, 6 servings of the Simply Cheetos white cheddar puffs, 2 twix minis, 1 snickers mini, 1 serving Lays poppables, 5 pickles of the G&amp;G target brand, 2 tbs mustard, 1 everything bagel, 1/4 cup parm/romano blend cheese from I think Albertsons. Yeah, bc I went there yesterday to get groceries like bagels after class. I also studied from the time I got home until midnight after my client's massage, regular, super nice lady and her cat. Her hub had allergies was sneezing frequently in other room. They are both vaccinated. Not worried. Didn't drink at all. Went to bed around midnight after putting clothes in dryer. My notes are terrible, this quiz on PNS/CNS is a mess, and filling out the study sheet was nonsense at first. Took longer to make sense of by looking through confirmed facts on the ppt and my notes and additions to the ppt slides. I also had LB pain all day. Didn't really go away but blood flow was about medium at school. Closer to med-lt flow. I didn't have to change my pad during class. No blood clots dropped or fountain of blood gushers today. Thats great.  Too bad about the LB pain. Went away slowly. Mom did good after her tracheotomy with vitals all good. Becky confirmed. The girls and Mo all drove back yesterday some time. </t>
  </si>
  <si>
    <t xml:space="preserve">Woke up at 5 am but a few minutes before as my alarm didn't go off yesterday so I woke up before it and it was literally like 5 minutes before 5 am and I got out of bed and studied for the quiz on the PNS/CNS in GA1. Some more of the cranial nerves and the types of fibers and dermatomes and study guide. Was able to shower and dry hair before the quiz at 8 am and do the normal routine before that. My stomach carried the burden of stress. Got 5 hours sleep. Had a reg BM after 1st cup coffee, but diarheah in a couple small BMS before the quiz and my shower. Took measurements after the quiz and breakfast of a bagel to take my multivitamins and before my FABS1 LE online. Wasn't feelin gthat  great and had a nap at 645 for 20 minutes  more like 15 minutes then reviewed study guide and showered and got ready. I have the meds to pick up of Growlys tomorrow, I ordered it last night. Didn't eat much all day, just a bagel with parm romano cheese blend I got at Albertsons yesterday to take with multi vitamins, and mensa flow is lt flow, med lt in the night, and tapered off. No clots or fountain gushers. Checked on Mom via Becky on the way to the open lab after FABS 1 and she is not doing as great as yesterday, her BP keeps going up when she has  a BM and also has a slight fever. Probably bc her nurses are entitled misogynist little bitches that keep fucking with her and keeping her from sleeping. BUt thankfully Becky is watching her. I feel like I might have to go down there myself especially bc I have my TX massage license that expires in 2 years. I want her to get healthy, as she doesn't want to die, she isn't ready, and she deserves to live freely. I love her and want her to be happy and healthy. We had the lab and I scored on my GA1 quiz2 at 8 am a 12/15 for 80%, which is great bc It literally made me sick, not sleepin gand  stomach digestion problems like diarhea. Went away after my shower, but still made stomach feel queezy a bit. Took meaasurements after my quiz and before FABS1. I have to look over those muscle groups again usin gthe dope ass software Complete Anatomy to fill everything in bc it is all over the place in the LE and the Origin, Insertion, Action, and Innervation is randomly discussed and briefly as in once and just watched it to see the way he the instructor describes the muscle action like a pully in each direction. I think it is too boring for the instructior to go through the list of each item per muscle and does it randomly to add infromation. I tuned it out knowing it wasn't easy to follow and folden and put away laundry and did the dishes left over from yesterday. AFter getting back from campus I got my massage table that goes down low, but kept it in the van. Brought in all my massage supplies from the med kit picked up yesterday and the spine of mine I brought over for open lab that nobody used. I have to study for the CP1 quiz over the last 3 weeks LEs and took a drink to relax and eliminate some free radicals and it helped. I was able to complete the client's SOAP notes from yesterday and update this db. For coffee, had 4 cups by FABS 1 but had 5th cup on way to campus open lab at 11 am and a car wreck took 10-15 min on 91 before 71 that looked like a maroon car/pickup was all mangled while a couple of other pickups just dented and a full tire rim in the fwy. The car/pickup mangled was marroon with two white stripes on hood from what I saw. After that the traffic was great. Waze had me take 5 fwy today a new route bypassing the 57 and yesterday I took euclid to bypass 57 by waze app instructions. AFter work a bunch of nonsense traffic on side streets past 57 after filling van up 3/4 of the tank along lambert on the way home. Got home by 430 pm and drink by 445 pm. No workout today, that makes a week or so since last workout. Blood flow is now light and my stomach doesn't feel sick. I did terrible 5/10 in the 1 unit quiz we had yesterday in IPA1. I didn't study at all, and used just common sense, but could have gotten a 6/10 if I would have selected the question on 1 minute instead of count pulse for 30seconds and multiply by 2 as instructor did. That was a question, and I don't know if that is the one I missed, but I am pretty certain I did. Other ones like range of the bilateral heart rate or blood pressure when using the cuff were right usin gpost quiz LE by instructor. No review of what correct responses were was given. But all were in the few slides we had. I just spent more time studying for other items, and didn't have much time bc I had the preclass quizzes and prerecorded videos to watch of GA1 that filled my time. And thinking I had the CP1 quiz yesterday but postponed for Friday 8 am LE, that I have to study for now at 530 pm. All is updated for nutrition except calculations and weight measures taken after the bagel and shower and 4 cups coffe today, and the nutrition calcs for yesterday and weather today. Also, measurements taken after wearing the waist trimmer for 1 hour after the shower and taking measurements before I forget to bw classes online. </t>
  </si>
  <si>
    <t xml:space="preserve">1 chobani vanilla yogurt
()
11 Motts fruit snacks
()
1 lunch buddies fruit snx
()
2 twix mini
()
1 snickers mini
()
1 serving lays poppables chips
()
5 pickles G&amp;G brand Target
()
2 tbs Frenchs mustard
()
1 everything bagel
()
1/4 cup albertsons parmesan/romano cheese blend
()
</t>
  </si>
  <si>
    <t>thomas's everything bagels, 1 bagel</t>
  </si>
  <si>
    <t>Target G&amp;G brand pickle slices, 5 slices in a serving</t>
  </si>
  <si>
    <t>Welch's Island Fruits fruit snacks, 1 pouch</t>
  </si>
  <si>
    <t xml:space="preserve">3 everything bagel
(870.00	10.50	1.50	27.00	159.00	6.00	1230.00)
1/2 cup parm/romano cheese
(220.00	14.00	9.00	20.00	4.00	0.00	740.00)
1 motts fruit snax
(80	0	0	0	19	0	30)
2 welchs fruit snax
(160.00	0.00	0.00	2.00	38.00	0.00	40.00)
1 impossible patty
(240.00	14.00	8.00	19.00	9.00	3.00	370.00)
5 slices G&amp;G pickles
(0	0	0	0	0	0	260)
1 tbs mustard
(0.00	0.00	0.00	0.00	0.00	0.00	55.00)
=870+220+80+160+240+0+0
=11+14+0+0+14+0+0
=2+9+0+0+8+0+0
=27+20+0+2+19+0+0
=159+4+19+38+9+0+0
=6+0+0+0+3+0+0
=1230+740+30+40+370+260+55
</t>
  </si>
  <si>
    <t>Ritz baked thins crackers, serving is 21 chips</t>
  </si>
  <si>
    <t xml:space="preserve">2 everything bagel
(580	7	1	18	106	4	820)
1/2 cup parm/romano cheese
(110	7	4.5	10	2	0	370)
5 pickles G&amp;G brand
(0	0	0	0	0	0	260)
1 tbs mustard
(0.00	0.00	0.00	0.00	0.00	0.00	55.00)
3 welchs fruit snacks
(240	0	0	3	57	0	60)
3 servings rits baked crackers
(390	15	1.5	6	63	6	660)
=580+110+0+0+240+390
=7+7+0+0+0+15
=1+5+0+0+0+2
=18+10+0+0+3+6
=106+2+0+0+57+63
=4+0+0+0+0+6
=820+370+260+55+60+660
</t>
  </si>
  <si>
    <t>inner thighs machine 50 lbs
outer thighs machine 50 lbs
quads leg extensions 50 lbs
hamstrings curls 50 lbs
quads squats barbell 25 lbs each side 95 lbs 
bicep curls 3 sets 10 reps 15 lbs each arm
hamstrings deadlifts dumbells, 3 sets/12 reps 45 lbs 
rhomboids/lwr trapezius back row machine 50-&gt; 60 lbs, 
lattisimus dorsi back pull down machine 3/10 reps 70 lbs
tricep pull down 3 sets 10 reps 30-40 lbs can't read it but struggle, not easy
all 3 sets of 8-12 reps each</t>
  </si>
  <si>
    <t>Woke up at 5 am by alarm and got out of bed without laying in bed to study for CP1 and did normal routine, no pet messes to clean, took babies outside, fed the babies and the cat and kitten outside and gave Growly his meds. Had a reg BM after 1st cup of coffee, after studying and a 2nd cup of coffee and a bagel with parm/romano cheese in airfryer and multivitamins had diarhea and a 2nd sm BM. Then studied some more while drinking 3rd cup of coffee but updating this db. My mensa is light today but still need a pad, not spotty. I have work later. But a whole bunch of quizzes coming up in CTAP and FABS on Monday. No time to study. Might have to cancel these clients, one new and a regular prepaid. I would refund the prepaid. I told the mom of her, a nice lady, but that I can't really be available when I sold her it due to school. But a slight language barrier between us. They are a nice family. But I need that time it takes to drive there, set up supplies, massage, unpack, do laundry after drive home and the SOAP notes and late at night after working 8-9 hours at work. I will be exhausted. Not looking good for studying as it is. I cancelled the new male client that is local and sent message it was time w/ school and family. Waiting to cancel the Sunday appt. Might be able to keep it. But a lot of time I need is wasted. I need that time to study. She only did 3 of her 10 prepaid MLD appts. Mom isn't expected to make it according to Becky after 12 pm, Mo called and said Becky told her that Mom's BP went up to 200 and then dropped to 150. Then I texted Becky for an update and she texted me the same. I did some errands before that, picked up Growly's meds in Riverside, got a cashier's check from the bank, then stopped off to get a MObile car wash drive thru and then Stater's for icecream for Growly and his meds pill crushed form, and snacks. Dissapointed in the Ritz jalapeno cheddar crackers I found too spicy like napalm. Wasted $4 on that bag. Had the other impossible patty I made last night in an everything Thomas's bagel with parm/romano. That cheese is already almost gone due to the roommate not keeping his hands off. He puts a cup in his pasta every time. I only sprinkle a little on my bagels. I picked up a bag. He knows everytime I have cheese and finds it in the fridge. I haven't had that van washed in a few months it feels like, but luckily the white color doesn't make it as obvious that it needs a car wash. I went ahead and canceled the appointments this weekend after also bombing this quiz with 6/9 points. Tough, tricky questions, and fortunately I read through the readings started with reading then skimmed through them. I wrote down the questions but will probably stop into her Monday office hours to review the solutions. and correct responses. I texted the group chat with JD and Max, but only JD responded, he scored 1 pt better with 7/9 and told me he thought the endrange question I put response to was endfeel and that the T/F for chiropractors was True. Max didn't respond, but I heard him end early. While I was writing the questions, he asked instructor to leave after green screen. Still don't have Mario, Ali, Taja, or Kevin's phone numbers. I refunded my client's mom and texted her in the cancellation why bc of my school and needed time and they'd get refunded the 7 prepaid by middle of next week from Square. Got work at 5 pm and might take a nap or workout before work. Mo is upset bc Becky bitched at her yesterday when she was driving straight through a storm and not much sleep. They got back yesterday. So dangerous but luckily they made it. They said they couldn't find a hotel on the way in the storm. But got a few hours here and there of sleep. She doesn't want to fly out there again, but will if needed, bc she is  the sole bread earner. I can feel the stress in her voice. Bailey and Brooke want Meow meow back bc they liked that she missed them when she nudged my leg with her head when smelling them on my pants after I arrived from TX. She would love that. Before that quiz and before taking a shower earlier today had a 3rd diarhea tiny BM. Not sure if its the cinnamon dolce kpod Starbucks coffee, stress, or both. Went away later, and I had the same coffee for my 5th cup at around 1145 pm and no diarhea. Didn't watch the LE in CTAP1 entirely bc my neices came by and got Meow Meow, and it took a while bc she hid under the bed, but loves them, she purred, she just doesn't like change. She settled in at their house, I got the photo. I really hope Mom pulls through this and gets better. We have plans for her to enjoy life, but she keeps having increased heart rate up to as high as 230 from what Becky told the girls and Bailey told me. Becky told me as high as 200. That is really high. My mom is very religious and prays a lot, but didn't want to go, she was scared when she went in. I am wondering if she would have done better just staying home and getting better on her own. They have her on heart meds or BP meds and diabetes meds and sedation for a coma, and now a trache tube in her throat and the feeding tube down her nose. Poor Mom. I love her and want to see her pull through this long road to recovery and be healthy again. Went to work but got to leave at 9 pm instead of 10 pm bc nothing booked at 10 pm, there was originally but she cancelled instead of confirming. I want to make a note that I was light on my rag, almost done, my lower and mid abs hurt like the area the somach and descending colon and spleen are but about a 6/10 and not unbareable, and my middle toe on my left foot that I had an itchy foot fungus a week or so ago that I used tea tree oil on started itching while updating this database. Took 2nd drink as a 2 second shot instead of normal 3 seconds of gravity shot. After the dishes were done entirely, I did the first half of them, but the roommate didn't soak his pasta cheese fork caked on and I soaked it bw drinks and then washed it then. Odd without Meow Meow, hopefully she is ok. She didn't want to leave even though she is bored here and getting used to us. I told them I could always take her back if they need to find a home for her later. I think they want to have someone to love them and to take care of like as if its Lola my mom who needs help. I don't think Mo wants to have Brooke down there to help take care of Lola with Becky. And that might be why Becky bitched at Mo while she drove straight through the other day. She drove through a storm bc the hotels were all packed her and Bailey said. That is so dangerous. And thankfully they made it. I remember going to my class and thinking that on Thursday for open lab that maybe my sister is in town and I felt tired, or maybe it was Wednesday, because they got back yesterday afternoon. So it was yesterday and Mo texted me yesterday that they want Meow meow, bc I texted them when I got here how Meow meow was bumping her head into me and smelling my clothes that had their scents on it and that she never shows me that kind of affection but missed us and remembered them. I really hope they take care of her. I have the outdoor cats though, and thats cool. I told Bailey she could have the outdoor cat house I got the outdoor cat that doesn't use it, and she said she would have to come back as it is too big for the car they were in. Went to bed at 11 pm.</t>
  </si>
  <si>
    <t>Italian blend cheese Stater Bros, serving 1/4 cup</t>
  </si>
  <si>
    <t>double salmon poke bowl, brown rice, double salmon, furikaki sesame seeds, cucumbers, ginger, masago, wasabi, ponzu sauce</t>
  </si>
  <si>
    <t>Woke up at 5 am by alarm and laid in bed after getting up to shut it off and verify my 530 am alarm was on, then got out of bed when that went off. The girls sent me photos of Meow meow and she is out in the open with them. They are taking care of her. She is doing well. Got to get ready for work with a shower by 630 am. I was absent minded when making 1st cup of coffee in keuring. I forgot to put a cup down, and put the water and kpod in it. But when putting ice in my glass I noticed the coffee drop, but fortunately the mess wasn't that big bc it has a tray in it that caught most of the liquid. I was able to take the tray out and empty in sink and clean the rest with a napkin or 4. Gave Growly his meds, the pills in icecream that he liked, butter pecan. I thought I grabbed the oreo cookie one but it was butter pecan when I got home. Yesterday I burnt my tongue eating a ritz jalapeno cheddar cracker bc it was way too spicy and ate a spoon or two of the butter pecan icecream to cool the effects.It kept burning my tongue. I posted to instagram about how over the top spicy foods are becoming. I can't even taste the cracker, looks like a mild spicy on the package but is not at all mild.It was a waste. I found some place online to leave my opinion and review and rating of the product, and it was Amazon as I was a member and allowed to make a review of that product. Gave it one star and said it feels like napalm is imagined to do by continually burning layer by layer of the tongue. Roommate came home around 607 am. While updating this db. had an everything bagel with italian blend cheese SB blend and multi vitamins after a small upset BM. Had another cup of coffee and another small BM. Both sounded like diarhea with gas but not. Then took measurements and made a 3rd cup coffee and took a shower and got ready for work. Diarhea twice at work. My 8 am didn't show and saw she rescheduled for tomorrow when looking at schedule. I am not sure if it is the coffee that cinnamon one, but about to have my 6th cup to study after drinking this alcoholic beverage. Had to find out at lunch that Mom isn't doing good, likely will die today or tomorrow. And after work said bye to her and told her she would go to be with God's children in his Garden with beauty and splendor and no stress. Becky had me on whatsapp. She was on the ventilator and her chest was rising and falling. Becky said she's a fighter, but I was like how can she be expected to fight when taken off of the life support breathing coming off sedation or a coma a week. And she said the nurse staff said she would be in a lot of pain and have a heart attack bc her blood pressure gets too high. A lady I massaged earlier in the day is really religious at the calvary chapel and she recited the story of the Garden of Eden and Moses and the 10 commandments like bible study in childhood. I figured its probably better to say the words that could paint that picture for Mom and of her great work as a wife, mom, sister, daughter, nanny, always taking care of kids and helping out, cleaning, praying for loved ones, and her infectious smile and life and that she would be as beautiful as she imagines and we would always hold her in a great light when thinking of her and when we think of her it would be instantaneous to offer us the same help she always had to give. She was a great work of God, producing 3 smart and beautiful daughters and two beautiful and smart grand daughters and that we would miss her. It made me cry in the work parking lot, snot ran down my nose, trying to cover it. I love her and she is a good great woman and did a lot of good in this world and didn't deserve to be taken out of it so early. Becky is ok with her going peacefully and Mo and Brooke said good bye to her earlier and Bailey was at homecoming. For lunch I had my 5th cup of coffee and the normal double salmon poki bowl with misago, brown rice, ponzu sauce, cucumbers, ginger, wasabi, and cream cheese. The 4th cup was during my no show at 8 am then I also had another no show at 10 am. But saw a client that I hadn't seen in months but am friends with on Instagram. She is a nice, helpful lady. She brought her daughter for a facial. I got home around 6 pm and gave Growly his meds after feeding the kitten and doing some laundry and was updating this when it hit me hard after having a drink and then a coffee and a 2nd drink. I read a text from Brooke that they are here for me if I need them and I got instantly sad and literally called for Mom and knew she was gone. She passed 'peacefully' as Becky said the doctor told her to do and she said she was going to do. She was loved and a lot of people checked on her. I believe in karma and know the so called healers or doctors and nurses there don't do much and will suffer for it. They should all go 'peacefully' and not see any of their loved ones being helped from disease or body ailments that fail them but just be put in a coma so they cannot talk to each one and then pass peacefully. I felt that heavy feeling people say they feel in your heart. Becky swears Mom wants to be with her dad and thats why she was motivated and that she is tired of waiting and Mom's heart kept skyrocketing that if she was taken off sedation she would have a heart attack from the pain and shock. Mom knows we all loved her but its sad that she lost quite a bit of her life that she should have been here. She is somewhere in a form that is part of this Earth and I know it is a good place but honestly haven't established this 'God's kingdom' place and know she believes in it, and I want her to go to where she was the happiest and had the happiest times and loved herself and the world. The two aren't hand in hand though, because she loved her finances at a time she wasn't liking her weight gain after having kids and raising them or at least my younger sister. But between the late 1990s and early 2000s before the real estate crash of 2008 when Dave lost his job, she was happy in Bolingbrook, IL, and its a good place for her. Becky is going to bury her there but is still deciding on having a funeral in TX bc she did have a lot of friends that cared for her in their RV park, at the VFW, and at her church, and the hospital the nurses did. I wouldn't go to the TX one. I am broke and only have enought to go to one funeral. I would go to the Chicago one. I had a bagel at about the time I drank a drink and had the coffee with the italian blend cheese. Then spent about an hour really mourning Mom and on the phone with the sisters about 20 minutes mourning her, then started on the flash cards from the discord notes shared and the Complete Anatomy software and finished shoulder muscles for FABS1 quiz Monday. Need to do more studying for FABS and more Back muscle cards and study for CTAP1 quiz. Somebody put up a study guide for that too. Super awesome of them. I think they are a good side or supplement to reading the ppts and your own notes and comparing to others and not on own. Because its just words otherwise.  The photos are best. And those are on the ppt slides. Went to bed at around 1130 pm after putting my laundry in the dryer.</t>
  </si>
  <si>
    <t xml:space="preserve">evrything bagel thomas'
(290.00	3.50	0.50	9.00	53.00	2.00	410.00)
1/4 cup italian blend Stater Bros brand
(90	6	3.5	7	2	0	210)
double salmon poke bowl
(725	15.325	3.425	27.975	115.65	8.675	2277.5)
1/4 cup cream cheese
(204	20.4	12.8	4.4	1.6	0	172)
1 serving crackers
(130.00	5.00	0.50	2.00	21.00	2.00	220.00)
6 fruit snacks (welchs island)
(480	0	0	6	114	0	120)
evrything bagel thomas'
(290.00	3.50	0.50	9.00	53.00	2.00	410.00)
1/4 cup italian blend Stater Bros brand
(90	6	3.5	7	2	0	210)
=290+90+725+204+130+480+290+90
=4+6+15+20+5+0+4+6
=1+4+3+13+1+0+1+4
=9+7+28+4+2+6+9+7
=53+2+116+2+21+114+53+2
=2+0+9+0+2+0+2+0
=410+210+2278+172+220+120+410+210
</t>
  </si>
  <si>
    <t>sweet earth package plant based meat, 4 servings/package, 1 serving</t>
  </si>
  <si>
    <t xml:space="preserve">Woke up at 530 am by alarm, reset dryer, fed babies and kitten outside, gave Growly his meds in icecream for pills crushed and the vetmedin liquid form by oral syringe like always, updated this db from last night, then started on first cup coffee. measurements before a bagel with italian blend cheese. folded and put away laundry, then got ready for work. had multivitamins after breakfast. I had a BM reg sm before breakfast about 1/2 hour before after 2nd cup coffee and that 2nd cup was the cinnamon kpod starbucks brand. I think that one upsets my stomach. I get gas with my BMs after it. I am going to stop taking it unless I am home and not going anywhere. I had it last night after my 1st drink and was fine. For some reason on an empty stomach it upsets it. Went to work and was doing ok, but crying in session quietly while clients passed out. Then it came and went, just thinking of Mom, I need that to happen, its a normal process to mourn. Told my boss by text at lunch time and she asked if I wanted to go home to mourn, I told her I was fine, and she said if I did I could. I took too much time off, spent money a lot on trip to visit Mom and have no time really for side biz clients other than one here or there that i already know and the time spent is worth it. So I need to work. For lunch I had a couple pita breads and a side of feta zesty cheese and hummus from Hummus republic. Then at home, studied but had a drink just bc its a habit now. I don't really care to drop. But I do get tired the more days in a row I drink. Studying and everything else is fine, just like drinking tons of coffee to be alert. Alcohol at night, up to 3 drinks to flush free radicals or unwind, or bc I can and motivation being old conservative self-proclaimed saints or poster child examples to their people on a good woman of God doesn't drink at all. I have no idea. Probably just bc I can so I will. And I cannot drink too much or else I get sick, so there is a limit. Its worked into being a human being and biology. After work had a bagel in airfryer with the italian blend cheese and did some FABS flash card studying with the helpful Discord SCUHS cohort fall 2021 site additions added by classmates. They are very helpful. It is somewhat like facebook with the memes and posts on the course. I also started the CTAP studying, Went to bed at 930 approximately after setting alarm for 4 am to get up, but it didn't go off and I got up at 5 am instead.  I also talked to the girls and Mo who called me to check on me and said they worried about me being alone, but I am fine, and I called Becky and she told them to call me to check on me, she has her uncle Jim there helping her out. She is going to take her Mom and Dad's dog Cody who is about 14-16 years old with her to Chicago. I had a couple drinks by that time and 6 drinks of coffee. Was going to work out but was tired at 6 pm and studied instead making flashcards so I didn't have to be 100% alert studying but just rewriting. Actually for dinner, I did make that sweet earth and sweet peppers in airfryer and had 1/6 of that on my bagel with italian blend cheese plain. Was good. Also the 2nd drink was a straight vodka kettle one not with ice bc I had a kaleidoscope RHS vision migraine that didn't disappear right after drinking the shot but about 20 minutes later it was gone and I didn't feel any HA pain. Maybe they are related. Who knows? This is why I want to be a doctor and make educated assumptions. With research. I got that on my toolbelt with data science MS degree. I would just like to mention, this sweet, cute little Filipina couple have been going there for months, she was my last client yesterday and her first child about 7 months pregnant, and I was thinking ok, like I just lost my mom and she died too early, and this girl had in vitro and had the option of picking a boy or girl but let her female doctor decide which embryo to implant in her, and she doesn't even know until November. So I was like, ok Mom needs to live out her years and restart life, so I was like massaging her and mixing that with the story of what my client from calvary chapel said about Moses and how he was put in the NIle but his sister and brother followed him and knew exactly who he was but didn't say anything, so I was just like, ok, well Mom here you go , there is your vessel, better jump on this one, a healthy baby, might not be a girl, but Filipino and doing well in finances and relationship, probably no fighting and a good way to restart your life, so lets see if we can put you on this fetus, bc its a fetus after 8 weeks and she is 7 months. Not a crime, and so its just a mental game with an entertaining way of letting the 90 minute prenatal go by. We will check up on her time to time to see how she is doing but Mom would make a great functional personality for her, believes with her heart and trusts God, who wouldn't want her as a child? Just thought I would put that out there, otherwise she is a saint. </t>
  </si>
  <si>
    <t xml:space="preserve">evrything bagel thomas'
(290.00	3.50	0.50	9.00	53.00	2.00	410.00)
1/4 cup italian blend Stater Bros brand
(90	6	3.5	7	2	0	210)
evrything bagel thomas'
(290.00	3.50	0.50	9.00	53.00	2.00	410.00)
1/4 cup italian blend Stater Bros brand
(90	6	3.5	7	2	0	210)
1/6 package sweet earth plant based meat
(126.67	7.33	4.00	10.67	4.67	0.67	206.67)
1/4 orange/yellow pepper
(6.75	0.00	0.00	0.25	1.50	0.25	0.50)
zesty feta cheese 1/2 cup
(179	14.5	10.2	9.7	10.8	0	759)
hummus 1/4 cup
(108.75	5.28	0.70	3.00	12.38	2.45	148.75)
2 pita breads
(330.00	1.40	0.20	11.00	66.80	2.60	644.00)
=290+90+290+90+127+7+179+109+330
=4+6+4+6+7+0+15+5+1
=1+4+1+4+4+0+10+1+0
=9+7+9+7+11+0+10+3+11
=53+2+53+2+5+2+11+12+67
=2+0+2+0+1+0+0+2+3
=410+210+410+210+207+1+759+149+644
</t>
  </si>
  <si>
    <t xml:space="preserve">pec major bench press inclined 65 lbs
triceps chair dip body weight
deltoids 5 lb discs -3 lb
stretched and also did 15 minutes of cardio kickboxing with 5 3-minte rounds and 30 second breaks
</t>
  </si>
  <si>
    <t>Woke up at 5 am instead of 4 am bc my alarm didn't go off and was tired. I wasn't feeling good either, I had a sm reg BM after 1st cup of coffee then after the next 2 cups of coffee not diarhea but every BM felt like lower abdomen pain like the type from diarhea or a lot of gas. Not watery or gassy though. So had 3 BMs. And had 4 cups of coffee by 830 am and studied the CTAP quiz 2 and the FABS1 material on shoulder muscles and vertebral atypical and typical segments and connective tissue. Had the 5 the cup of coffee by break time after the quiz in FABS at 10 and the 6th cup of coffee by quiz 2 in CTAP at 130 pm. I was tired after quiz, and studied but was too tired to study or memorize too much but did use the study guide and got a 7/10. He raised the last quiz 1 in CTAP that I got 6/10 to 7/10 and this one I got 7/10 and studied the study guide. Trick questions with none and all available in multiple choice and thought to pick only one I knew. Didn't check to see which ones I missed, but did write the questions down this time as he dismissed about 90% of the class in the process that it took me to show my green screen after writing all choices to study later or compare. Took a shower before FABS around 915 am and put on the waist trimmer and compression socks, did the courses and after my CTAP at 3 pm I took my waist measurements, thats after breakfast and lunch. Had multivitamins 3 with breakfast the bagel and italian cheese and put extra italian cheese on my airfryed warmed up sweet earth burger with peppers and the everything bagel. I wore my waist trimmer about 6 hours at that time. No nap, shook it off after chomping a cup of ice and worked out at 3 pm. The sky looked cloudy and like it would rain and maybe storm, but didn't rain by the time I got out of the gym an hour later. Just wanted to do a quick cardio and arm workout. Only did 5 3-minute cardio kickboxing rounds with bench press on inclined bench 65 lbs and deltoids with disks 5 lbs and chair dips for triceps, then stretched more, bc I stretched after 15 min cardio. Left for home. Its like Mom's death makes the world sad, and it should, bc she was a great person and offered love and friendship to anybody who talked to her. She was a loving and helpful person by nature. She is greatly missed by all who knew her. Not an enemy in the world. I would have liked her to live out her days on Earth and get better, but it was a gamble on her getting pushed out of sedation and having a heart attack and she wasn't getting better with her Heart Rate up to 200 beats per minute. She can always piggy back on me to enjoy life on Earth. I don't care. I'll be her vessel or space ship. She is awesome and my life is boring. WE didn't interact that much, but she is so sweet and wanted and enjoyed nice things in life but would give up anything for anybody she loved. Who doesn't want nice things in life. She had to live in an RV park the last 5 years of her life due to Dave's choices as she was a homemaker, but they lived very well for about 10-12 years after he got out of the military and did networking IT work until real estate bubble burst and he lost his job and had trouble making the bills, lost his house right when Becky went to college, thankfully she could live there while graduating high school. In my mind, she is a saint, and a perfect example of the woman she thinks God wants the world to have according to her faith and she didn't like anybody disrespecting her or trying to make her feel stupid or look stupid. But what person does? She deserved respect, kept up the house, cleaned people's messes, always made sure people in the house were fed and not hungry. Prayed for people when she found out that they were facing a difficult life event or might face one due to the way they handle reactions to life encounters. I will obviously never admit myself to a hospital after seeing the lousy job the hospital staff did with her, especially bc of the medicines she was on to counteract affects of other medicines on that led to her death. She could have waited out the virus effects at home and been alive for what I believe. It was the meds she was on and her lousy inexperienced medical staff or non-compassionate at the least that led to her death. They shouldn't be taking care of people if they don't know what evidence based research is used to make people survive their unexpected health conditions. They just go with the flow and wait for the patients admitted to die knowing that there is a likelihood of underlying conditions being acceptable for a patient to die. If they don't do their research and keep up to date on treatments that are successful they shouldn't treat people at all. Because they add to the death statistics from the virus. The Tomball REgional Medical center is a lousy hospital, inexperienced, non-compassionate staff, unable to take criticism, and more that would describe how they are. Their death records must be astronomical for the number of patients admitted with underlying conditions if you were to compare their death rates per class of disease to a research center focused on using only best outcome treatments. Do not ever go to a hospital where the reviews alone are all 1 star. They are lousy, and you must not like your loved one to put them in this type of hospital better labeled a hospice than a hospital where sickness is expected to be treated and lead to survival and livelihood. Poor Mom paid the price with her life and they sedated her the whole time I was there and my sisters without letting us see her. They should go bankrupt and all their bills for accounts receivable unpaid and leave their staff with that on their resume for having experience at a 1 star hospital when applying to other health professions and hospitals with much better survival outcomes. My dog, Mr. Growly, outsurvived his heart condition of heart disease on medication past the time given of a couple months just by staying home and having his medicine. People shouldn't be put in open rooms dying and passed out on sedation where the staff and any visitors can walk by and see them, there was no privacy there, only one person could visit at a time, and the doctors couldn't be called on at any time as they were too busy doing rounds, or were they? What the hell is so important for them in a room with 13 beds. She was ICU bed 13. I saw her toilet like a little toddlers toilet out in the open, every glass wall room of each patient had those little bitch ass nurses looking at them. They were dehumanized and couldn't welcome in healing energy or love, they were left to die much like prisoners. That needs to change. They should get treatment at home or at least have some fucking privacy. They cannot heal if they feel depressed and compounded stress and depression from not getting to receive love from their loved ones unless during visiting hours and one at a time. Fuck that hospital. Jack needs to die with a bow and arrow through his neck, and a couple of those young saucy little nurses the same. I don't care who does it, they suck, they can also wait until the job they do provides the guilt they will be feeling later in life and just kill themselves with a belt and suffocate or take too many zanax like my aunt Pam always tries to do and says its bc she remembers her abuse when she was a toddler or youngster. I think as a nurse and being Texan they have a lot of entitled feelings to take things into their own hands and offer punishment to their 'abusers' or people who don't respect them in some form even if just offering their different view and they like to see punishment and people beg for mercy. Much like being paddled, switched, and basically punished as a child, it is conditioned into them and they would kill someone to punish them much like the LIfetime movie of the bus driver who kidnapped a few girls over 10 years and killed a puppy he just gifted to the first victim bc she tried to runaway, he made sure she saw the puppy she loved and he broke his neck in front of her. I think some of these Texan staff do things much like that if they don't like the family. Their pride outweighs their duties as a human being. I grew up there and know. So convince me otherwise, but the nurse Jack that didn't give me updates on MOm's health over the phone and after flying in. I told him I didn't want him taking care of her bc she got sick after he started watching her, he made a comment to a nurse to make her laugh, I asked what he said, he said I need to leave or else security would escort me out. Then I posted about him on Google or the first available where all were 1 star ratings, I gave 3 stars but mentioned his name and his unethical treatment of family and making fun of them and kicking them out for no real reason. I went in there and while looking at my mom those little bitch young nurses kept staring me down the whole time through the glass, then the next day, keep in mind Jack was there the whole time and didn't say shit to leave, but he walked really close to me when disinfecting after getting out her room. She was there a month and her condition is from Covid residual as she is no longer contagious but they do that to be cautious bc its caused by COVID, and he probably put something dirty from an infected room on me, or shit or piss from another patient. Who knows but he didn't say shit to me but invaded my personal space like he planned to put something deadly or infectious on me. He needs to die, and definitely does not and should not be caring for people who are dying. He is a loser, scumbag, piece of shit and he will meet his maker and the ones to deliver him to his maker for the countless murders he must have done via public disease. I would gladly do it, but I don't and cannot own weapons and it is illegal to murder someone or lynch them as described for not having a jury of 12 or a judge go through the evidence in court and come up to a decision of guilty or not and face a punishment. Any how, just wanted to make a not of that and where I stand on hospitals and how my mom met her untimely death in the hands of incompetent health care providers. I don't think I ate that much today, just the same thing I had yesterday a 1/6 sweet earth and peppers burger on everything bagel with 2x the italian blend cheese and for breakfast regular amount of italian blend cheese on an everything bagel. No longer tired. Bout to have that 2nd drink while continually updating this db from yesterday, and it hasn't rained yet at 5:15 pm. BTW my aunt Pam has been a nurse, LVN, in TX small town and big ones like Dallas and Houston for decades. Nice lady, very religious driven by her church schedule and church folks and prayer. I might not have mentioned that. Finished the prerecorded LEs and notes written and on ppt slides by 915 pm. About 2 hours that took more like 3.5 hours to write notes along with the video on respiration and the pleura cavities and organs involved.</t>
  </si>
  <si>
    <t xml:space="preserve">evrything bagel thomas'
(290.00	3.50	0.50	9.00	53.00	2.00	410.00)
1/4 cup italian blend Stater Bros brand
(90	6	3.5	7	2	0	210)
evrything bagel thomas'
(290.00	3.50	0.50	9.00	53.00	2.00	410.00)
1/4 cup italian blend Stater Bros brand
(90	6	3.5	7	2	0	210)
1/6 package sweet earth plant based meat
(126.67	7.33	4.00	10.67	4.67	0.67	206.67)
1/4 orange/yellow pepper
(6.75	0.00	0.00	0.25	1.50	0.25	0.50)
m&amp;m mini
(65.00	2.50	1.50	0.50	9.50	0.50	10.00)
3 snickers mini
(130	6	2.5	2	17	1	65)
2 milky way minis
(37.50	1.50	0.88	0.25	6.00	0.00	12.50)
3 musketeers mini
(26.00	0.70	0.40	0.20	4.60	0.00	11.00)
2 twix mini
(100.00	4.67	2.67	0.67	13.33	0.00	40.00)
rest of sweet earth meat 2/3 package
(285.00	16.50	9.00	24.00	10.50	1.50	465.00)
1/4 orange/yellow pepper
(6.75	0.00	0.00	0.25	1.50	0.25	0.50)
serving of tortilla chips
(140	7	5	2	18	2	90)
1/4 cup italian blend Stater Bros brand
(90	6	3.5	7	2	0	210)
=290+90+290+90+127+7+65+130+38+26+100+285+7+140+90
=4+6+4+6+7+0+3+6+2+1+5+17+0+7+6
=1+4+1+4+4+0+2+3+1+0+3+9+0+5+4
=9+7+9+7+11+0+1+2+0+1+24+0+2+7
=53+2+53+2+5+2+10+17+6+5+13+11+2+18+2
=2+0+2+0+1+0+1+1+0+0+0+2+0+2+0
=410+210+410+210+207+1+10+65+13+11+40+465+1+90+210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</si>
</sst>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xf numFmtId="1" fontId="0" fillId="0" borderId="0" xfId="0" applyNumberFormat="1" applyFill="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622"/>
  <sheetViews>
    <sheetView workbookViewId="0">
      <pane ySplit="1" topLeftCell="A47" activePane="bottomLeft" state="frozen"/>
      <selection pane="bottomLeft" activeCell="B53" sqref="B53:H53"/>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1191</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1192</v>
      </c>
      <c r="B546">
        <v>410</v>
      </c>
      <c r="C546">
        <v>15</v>
      </c>
      <c r="D546">
        <v>9</v>
      </c>
      <c r="E546">
        <v>10</v>
      </c>
      <c r="F546">
        <v>55</v>
      </c>
      <c r="G546">
        <v>0</v>
      </c>
      <c r="H546">
        <v>650</v>
      </c>
    </row>
    <row r="547" spans="1:8" x14ac:dyDescent="0.3">
      <c r="A547" s="16" t="s">
        <v>1193</v>
      </c>
      <c r="B547">
        <v>100</v>
      </c>
      <c r="C547">
        <v>9</v>
      </c>
      <c r="D547">
        <v>6</v>
      </c>
      <c r="E547">
        <v>2</v>
      </c>
      <c r="F547">
        <v>2</v>
      </c>
      <c r="G547">
        <v>0</v>
      </c>
      <c r="H547">
        <v>150</v>
      </c>
    </row>
    <row r="548" spans="1:8" x14ac:dyDescent="0.3">
      <c r="A548" s="16" t="s">
        <v>1194</v>
      </c>
      <c r="B548">
        <v>70</v>
      </c>
      <c r="C548">
        <v>3.5</v>
      </c>
      <c r="D548">
        <v>0</v>
      </c>
      <c r="E548">
        <v>1</v>
      </c>
      <c r="F548">
        <v>9</v>
      </c>
      <c r="G548">
        <v>1</v>
      </c>
      <c r="H548">
        <v>110</v>
      </c>
    </row>
    <row r="549" spans="1:8" x14ac:dyDescent="0.3">
      <c r="A549" s="16" t="s">
        <v>1199</v>
      </c>
      <c r="B549">
        <v>1040</v>
      </c>
      <c r="C549">
        <v>32</v>
      </c>
      <c r="D549">
        <v>12</v>
      </c>
      <c r="E549">
        <v>44</v>
      </c>
      <c r="F549">
        <v>144</v>
      </c>
      <c r="G549">
        <v>16</v>
      </c>
      <c r="H549">
        <v>1360</v>
      </c>
    </row>
    <row r="550" spans="1:8" x14ac:dyDescent="0.3">
      <c r="A550" s="16" t="s">
        <v>1200</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1203</v>
      </c>
      <c r="B551">
        <f>4*350</f>
        <v>1400</v>
      </c>
      <c r="C551">
        <f>4*15</f>
        <v>60</v>
      </c>
      <c r="D551">
        <f>4*8</f>
        <v>32</v>
      </c>
      <c r="E551">
        <f>4*17</f>
        <v>68</v>
      </c>
      <c r="F551">
        <f>4*37</f>
        <v>148</v>
      </c>
      <c r="G551">
        <f>4*3</f>
        <v>12</v>
      </c>
      <c r="H551">
        <f>4*780</f>
        <v>3120</v>
      </c>
    </row>
    <row r="552" spans="1:8" x14ac:dyDescent="0.3">
      <c r="A552" s="16" t="s">
        <v>1208</v>
      </c>
      <c r="B552">
        <v>150</v>
      </c>
      <c r="C552">
        <v>11</v>
      </c>
      <c r="D552">
        <v>4.5</v>
      </c>
      <c r="E552">
        <v>2</v>
      </c>
      <c r="F552">
        <v>14</v>
      </c>
      <c r="G552">
        <v>1</v>
      </c>
      <c r="H552">
        <v>220</v>
      </c>
    </row>
    <row r="553" spans="1:8" x14ac:dyDescent="0.3">
      <c r="A553" s="16" t="s">
        <v>1209</v>
      </c>
      <c r="B553">
        <v>100</v>
      </c>
      <c r="C553">
        <v>1</v>
      </c>
      <c r="D553">
        <v>0</v>
      </c>
      <c r="E553">
        <v>16</v>
      </c>
      <c r="F553">
        <v>6</v>
      </c>
      <c r="G553">
        <v>4</v>
      </c>
      <c r="H553">
        <v>320</v>
      </c>
    </row>
    <row r="554" spans="1:8" x14ac:dyDescent="0.3">
      <c r="A554" s="16" t="s">
        <v>1210</v>
      </c>
      <c r="B554">
        <v>160</v>
      </c>
      <c r="C554">
        <v>9</v>
      </c>
      <c r="D554">
        <v>2</v>
      </c>
      <c r="E554">
        <v>2</v>
      </c>
      <c r="F554">
        <v>15</v>
      </c>
      <c r="G554">
        <v>1</v>
      </c>
      <c r="H554">
        <v>180</v>
      </c>
    </row>
    <row r="555" spans="1:8" x14ac:dyDescent="0.3">
      <c r="A555" s="16" t="s">
        <v>1217</v>
      </c>
      <c r="B555">
        <f>B519*3+B40+B117+B50*3</f>
        <v>1027</v>
      </c>
      <c r="C555">
        <f t="shared" ref="C555:H555" si="125">C519*3+C40+C117+C50*3</f>
        <v>69.599999999999994</v>
      </c>
      <c r="D555">
        <f t="shared" si="125"/>
        <v>18.100000000000001</v>
      </c>
      <c r="E555">
        <f t="shared" si="125"/>
        <v>66.099999999999994</v>
      </c>
      <c r="F555">
        <f t="shared" si="125"/>
        <v>32.799999999999997</v>
      </c>
      <c r="G555">
        <f t="shared" si="125"/>
        <v>7.8</v>
      </c>
      <c r="H555">
        <f t="shared" si="125"/>
        <v>1355.4</v>
      </c>
    </row>
    <row r="556" spans="1:8" x14ac:dyDescent="0.3">
      <c r="A556" s="16" t="s">
        <v>1218</v>
      </c>
      <c r="B556">
        <v>130</v>
      </c>
      <c r="C556">
        <v>7</v>
      </c>
      <c r="D556">
        <v>1</v>
      </c>
      <c r="E556">
        <v>2</v>
      </c>
      <c r="F556">
        <v>17</v>
      </c>
      <c r="G556">
        <v>1</v>
      </c>
      <c r="H556">
        <v>450</v>
      </c>
    </row>
    <row r="557" spans="1:8" x14ac:dyDescent="0.3">
      <c r="A557" s="16" t="s">
        <v>1219</v>
      </c>
      <c r="B557">
        <v>80</v>
      </c>
      <c r="C557">
        <v>0</v>
      </c>
      <c r="D557">
        <v>0</v>
      </c>
      <c r="E557">
        <v>0</v>
      </c>
      <c r="F557">
        <v>19</v>
      </c>
      <c r="G557">
        <v>0</v>
      </c>
      <c r="H557">
        <v>30</v>
      </c>
    </row>
    <row r="558" spans="1:8" x14ac:dyDescent="0.3">
      <c r="A558" s="16" t="s">
        <v>1220</v>
      </c>
      <c r="B558">
        <v>120</v>
      </c>
      <c r="C558">
        <v>4</v>
      </c>
      <c r="D558">
        <v>0.5</v>
      </c>
      <c r="E558">
        <v>2</v>
      </c>
      <c r="F558">
        <v>18</v>
      </c>
      <c r="G558">
        <v>1</v>
      </c>
      <c r="H558">
        <v>210</v>
      </c>
    </row>
    <row r="559" spans="1:8" x14ac:dyDescent="0.3">
      <c r="A559" s="16" t="s">
        <v>1221</v>
      </c>
      <c r="B559">
        <v>80</v>
      </c>
      <c r="C559">
        <v>5</v>
      </c>
      <c r="D559">
        <v>1</v>
      </c>
      <c r="E559">
        <v>2</v>
      </c>
      <c r="F559">
        <v>7</v>
      </c>
      <c r="G559">
        <v>1</v>
      </c>
      <c r="H559">
        <v>120</v>
      </c>
    </row>
    <row r="560" spans="1:8" x14ac:dyDescent="0.3">
      <c r="A560" s="16" t="s">
        <v>1223</v>
      </c>
      <c r="B560" s="17">
        <v>140</v>
      </c>
      <c r="C560" s="17">
        <v>9</v>
      </c>
      <c r="D560" s="17">
        <v>1.5</v>
      </c>
      <c r="E560" s="17">
        <v>2</v>
      </c>
      <c r="F560" s="17">
        <v>14</v>
      </c>
      <c r="G560" s="17">
        <v>1</v>
      </c>
      <c r="H560" s="17">
        <v>230</v>
      </c>
    </row>
    <row r="561" spans="1:8" x14ac:dyDescent="0.3">
      <c r="A561" s="16" t="s">
        <v>1224</v>
      </c>
      <c r="B561">
        <v>150</v>
      </c>
      <c r="C561">
        <v>8</v>
      </c>
      <c r="D561">
        <v>1</v>
      </c>
      <c r="E561">
        <v>2</v>
      </c>
      <c r="F561">
        <v>18</v>
      </c>
      <c r="G561">
        <v>1</v>
      </c>
      <c r="H561">
        <v>190</v>
      </c>
    </row>
    <row r="562" spans="1:8" x14ac:dyDescent="0.3">
      <c r="A562" s="16" t="s">
        <v>1225</v>
      </c>
      <c r="B562">
        <v>150</v>
      </c>
      <c r="C562">
        <v>8</v>
      </c>
      <c r="D562">
        <v>1</v>
      </c>
      <c r="E562">
        <v>2</v>
      </c>
      <c r="F562">
        <v>18</v>
      </c>
      <c r="G562">
        <v>1</v>
      </c>
      <c r="H562">
        <v>210</v>
      </c>
    </row>
    <row r="563" spans="1:8" x14ac:dyDescent="0.3">
      <c r="A563" s="16" t="s">
        <v>1230</v>
      </c>
      <c r="B563">
        <v>110</v>
      </c>
      <c r="C563">
        <v>3</v>
      </c>
      <c r="D563">
        <v>0</v>
      </c>
      <c r="E563">
        <v>2</v>
      </c>
      <c r="F563">
        <v>19</v>
      </c>
      <c r="G563">
        <v>1</v>
      </c>
      <c r="H563">
        <v>125</v>
      </c>
    </row>
    <row r="564" spans="1:8" x14ac:dyDescent="0.3">
      <c r="A564" s="16" t="s">
        <v>1231</v>
      </c>
      <c r="B564">
        <v>110</v>
      </c>
      <c r="C564">
        <v>3</v>
      </c>
      <c r="D564">
        <v>0</v>
      </c>
      <c r="E564">
        <v>2</v>
      </c>
      <c r="F564">
        <v>19</v>
      </c>
      <c r="G564">
        <v>1</v>
      </c>
      <c r="H564">
        <v>220</v>
      </c>
    </row>
    <row r="565" spans="1:8" x14ac:dyDescent="0.3">
      <c r="A565" s="16" t="s">
        <v>1232</v>
      </c>
      <c r="B565">
        <v>160</v>
      </c>
      <c r="C565">
        <v>10</v>
      </c>
      <c r="D565">
        <v>1.5</v>
      </c>
      <c r="E565">
        <v>2</v>
      </c>
      <c r="F565">
        <v>15</v>
      </c>
      <c r="G565">
        <v>1</v>
      </c>
      <c r="H565">
        <v>250</v>
      </c>
    </row>
    <row r="566" spans="1:8" x14ac:dyDescent="0.3">
      <c r="A566" s="16" t="s">
        <v>1236</v>
      </c>
      <c r="B566">
        <v>150</v>
      </c>
      <c r="C566">
        <v>1.5</v>
      </c>
      <c r="D566">
        <v>0.5</v>
      </c>
      <c r="E566">
        <v>5</v>
      </c>
      <c r="F566">
        <v>30</v>
      </c>
      <c r="G566">
        <v>1</v>
      </c>
      <c r="H566">
        <v>200</v>
      </c>
    </row>
    <row r="567" spans="1:8" x14ac:dyDescent="0.3">
      <c r="A567" s="16" t="s">
        <v>1247</v>
      </c>
      <c r="B567" s="17">
        <v>150</v>
      </c>
      <c r="C567" s="17">
        <v>8</v>
      </c>
      <c r="D567" s="17">
        <v>4</v>
      </c>
      <c r="E567" s="17">
        <v>3</v>
      </c>
      <c r="F567" s="17">
        <v>16</v>
      </c>
      <c r="G567" s="17">
        <v>1</v>
      </c>
      <c r="H567" s="17">
        <v>25</v>
      </c>
    </row>
    <row r="568" spans="1:8" x14ac:dyDescent="0.3">
      <c r="A568" s="16" t="s">
        <v>1248</v>
      </c>
      <c r="B568">
        <v>370</v>
      </c>
      <c r="C568">
        <v>16</v>
      </c>
      <c r="D568">
        <v>16</v>
      </c>
      <c r="E568">
        <v>0</v>
      </c>
      <c r="F568">
        <v>64</v>
      </c>
      <c r="G568">
        <v>0</v>
      </c>
      <c r="H568">
        <v>5</v>
      </c>
    </row>
    <row r="569" spans="1:8" x14ac:dyDescent="0.3">
      <c r="A569" s="16" t="s">
        <v>1250</v>
      </c>
      <c r="B569" s="17">
        <v>180</v>
      </c>
      <c r="C569" s="17">
        <v>5</v>
      </c>
      <c r="D569" s="17">
        <v>3</v>
      </c>
      <c r="E569" s="17">
        <v>6</v>
      </c>
      <c r="F569" s="17">
        <v>28</v>
      </c>
      <c r="G569" s="17">
        <v>1</v>
      </c>
      <c r="H569" s="17">
        <v>360</v>
      </c>
    </row>
    <row r="570" spans="1:8" x14ac:dyDescent="0.3">
      <c r="A570" s="16" t="s">
        <v>1253</v>
      </c>
      <c r="B570">
        <v>330</v>
      </c>
      <c r="C570">
        <v>18</v>
      </c>
      <c r="D570">
        <v>9</v>
      </c>
      <c r="E570">
        <v>26</v>
      </c>
      <c r="F570">
        <v>16</v>
      </c>
      <c r="G570">
        <v>2</v>
      </c>
      <c r="H570">
        <v>420</v>
      </c>
    </row>
    <row r="571" spans="1:8" x14ac:dyDescent="0.3">
      <c r="A571" s="16" t="s">
        <v>1254</v>
      </c>
      <c r="B571" s="17">
        <v>240</v>
      </c>
      <c r="C571" s="17">
        <v>2</v>
      </c>
      <c r="D571" s="17">
        <v>0.5</v>
      </c>
      <c r="E571" s="17">
        <v>8</v>
      </c>
      <c r="F571" s="17">
        <v>46</v>
      </c>
      <c r="G571" s="17">
        <v>2</v>
      </c>
      <c r="H571" s="17">
        <v>630</v>
      </c>
    </row>
    <row r="572" spans="1:8" x14ac:dyDescent="0.3">
      <c r="A572" s="16" t="s">
        <v>1255</v>
      </c>
      <c r="B572">
        <v>80</v>
      </c>
      <c r="C572">
        <v>5</v>
      </c>
      <c r="D572">
        <v>3.5</v>
      </c>
      <c r="E572">
        <v>6</v>
      </c>
      <c r="F572">
        <v>2</v>
      </c>
      <c r="G572">
        <v>0</v>
      </c>
      <c r="H572">
        <v>190</v>
      </c>
    </row>
    <row r="573" spans="1:8" x14ac:dyDescent="0.3">
      <c r="A573" s="16" t="s">
        <v>1256</v>
      </c>
      <c r="B573" s="17">
        <v>0</v>
      </c>
      <c r="C573" s="17">
        <v>0</v>
      </c>
      <c r="D573" s="17">
        <v>0</v>
      </c>
      <c r="E573" s="17">
        <v>0</v>
      </c>
      <c r="F573" s="17">
        <v>0</v>
      </c>
      <c r="G573" s="17">
        <v>0</v>
      </c>
      <c r="H573" s="17">
        <v>55</v>
      </c>
    </row>
    <row r="574" spans="1:8" x14ac:dyDescent="0.3">
      <c r="A574" s="16" t="s">
        <v>1257</v>
      </c>
      <c r="B574">
        <v>0</v>
      </c>
      <c r="C574">
        <v>0</v>
      </c>
      <c r="D574">
        <v>0</v>
      </c>
      <c r="E574">
        <v>0</v>
      </c>
      <c r="F574">
        <v>1</v>
      </c>
      <c r="G574">
        <v>0</v>
      </c>
      <c r="H574">
        <v>260</v>
      </c>
    </row>
    <row r="575" spans="1:8" x14ac:dyDescent="0.3">
      <c r="A575" s="16" t="s">
        <v>1264</v>
      </c>
      <c r="B575">
        <v>210</v>
      </c>
      <c r="C575">
        <v>12</v>
      </c>
      <c r="D575">
        <v>4.5</v>
      </c>
      <c r="E575">
        <v>6</v>
      </c>
      <c r="F575">
        <v>17</v>
      </c>
      <c r="G575">
        <v>0</v>
      </c>
      <c r="H575">
        <v>350</v>
      </c>
    </row>
    <row r="576" spans="1:8" x14ac:dyDescent="0.3">
      <c r="A576" s="16" t="s">
        <v>1266</v>
      </c>
      <c r="B576">
        <v>5</v>
      </c>
      <c r="C576">
        <v>0</v>
      </c>
      <c r="D576">
        <v>0</v>
      </c>
      <c r="E576">
        <v>0</v>
      </c>
      <c r="F576">
        <v>1</v>
      </c>
      <c r="G576">
        <v>0</v>
      </c>
      <c r="H576">
        <v>400</v>
      </c>
    </row>
    <row r="577" spans="1:8" x14ac:dyDescent="0.3">
      <c r="A577" s="16" t="s">
        <v>1269</v>
      </c>
      <c r="B577">
        <v>80</v>
      </c>
      <c r="C577">
        <v>0</v>
      </c>
      <c r="D577">
        <v>0</v>
      </c>
      <c r="E577">
        <v>1</v>
      </c>
      <c r="F577">
        <v>19</v>
      </c>
      <c r="G577">
        <v>0</v>
      </c>
      <c r="H577">
        <v>20</v>
      </c>
    </row>
    <row r="578" spans="1:8" x14ac:dyDescent="0.3">
      <c r="A578" s="16" t="s">
        <v>1270</v>
      </c>
      <c r="B578">
        <v>140</v>
      </c>
      <c r="C578">
        <v>7</v>
      </c>
      <c r="D578">
        <v>1</v>
      </c>
      <c r="E578">
        <v>0</v>
      </c>
      <c r="F578">
        <v>20</v>
      </c>
      <c r="G578">
        <v>2</v>
      </c>
      <c r="H578">
        <v>15</v>
      </c>
    </row>
    <row r="579" spans="1:8" x14ac:dyDescent="0.3">
      <c r="A579" s="16" t="s">
        <v>1272</v>
      </c>
      <c r="B579" s="17">
        <v>380</v>
      </c>
      <c r="C579" s="17">
        <v>17</v>
      </c>
      <c r="D579" s="17">
        <v>9</v>
      </c>
      <c r="E579" s="17">
        <v>9</v>
      </c>
      <c r="F579" s="17">
        <v>48</v>
      </c>
      <c r="G579" s="17">
        <v>3</v>
      </c>
      <c r="H579" s="17">
        <v>880</v>
      </c>
    </row>
    <row r="580" spans="1:8" x14ac:dyDescent="0.3">
      <c r="A580" s="16" t="s">
        <v>1276</v>
      </c>
      <c r="B580">
        <v>230</v>
      </c>
      <c r="C580">
        <v>1</v>
      </c>
      <c r="D580">
        <v>0.5</v>
      </c>
      <c r="E580">
        <v>8</v>
      </c>
      <c r="F580">
        <v>46</v>
      </c>
      <c r="G580">
        <v>2</v>
      </c>
      <c r="H580">
        <v>400</v>
      </c>
    </row>
    <row r="581" spans="1:8" x14ac:dyDescent="0.3">
      <c r="A581" s="16" t="s">
        <v>1278</v>
      </c>
      <c r="B581">
        <v>150</v>
      </c>
      <c r="C581">
        <v>6</v>
      </c>
      <c r="D581">
        <v>1</v>
      </c>
      <c r="E581">
        <v>2</v>
      </c>
      <c r="F581">
        <v>20</v>
      </c>
      <c r="G581">
        <v>1</v>
      </c>
      <c r="H581">
        <v>360</v>
      </c>
    </row>
    <row r="582" spans="1:8" x14ac:dyDescent="0.3">
      <c r="A582" s="16" t="s">
        <v>1282</v>
      </c>
      <c r="B582">
        <v>220</v>
      </c>
      <c r="C582">
        <v>4.5</v>
      </c>
      <c r="D582">
        <v>2.5</v>
      </c>
      <c r="E582">
        <v>7</v>
      </c>
      <c r="F582">
        <v>39</v>
      </c>
      <c r="G582">
        <v>1</v>
      </c>
      <c r="H582">
        <v>280</v>
      </c>
    </row>
    <row r="583" spans="1:8" x14ac:dyDescent="0.3">
      <c r="A583" s="16" t="s">
        <v>1291</v>
      </c>
      <c r="B583" s="17">
        <v>160</v>
      </c>
      <c r="C583" s="17">
        <v>11</v>
      </c>
      <c r="D583" s="17">
        <v>2</v>
      </c>
      <c r="E583" s="17">
        <v>3</v>
      </c>
      <c r="F583" s="17">
        <v>13</v>
      </c>
      <c r="G583" s="17">
        <v>2</v>
      </c>
      <c r="H583" s="17">
        <v>260</v>
      </c>
    </row>
    <row r="584" spans="1:8" x14ac:dyDescent="0.3">
      <c r="A584" s="16" t="s">
        <v>1293</v>
      </c>
      <c r="B584" s="17">
        <v>19</v>
      </c>
      <c r="C584" s="17">
        <v>0.3</v>
      </c>
      <c r="D584" s="17">
        <v>0.1</v>
      </c>
      <c r="E584" s="17">
        <v>1.8</v>
      </c>
      <c r="F584" s="17">
        <v>3.3</v>
      </c>
      <c r="G584" s="17">
        <v>1.1000000000000001</v>
      </c>
      <c r="H584" s="17">
        <v>8</v>
      </c>
    </row>
    <row r="585" spans="1:8" x14ac:dyDescent="0.3">
      <c r="A585" s="16" t="s">
        <v>1296</v>
      </c>
      <c r="B585">
        <v>200</v>
      </c>
      <c r="C585">
        <v>9</v>
      </c>
      <c r="D585">
        <v>4</v>
      </c>
      <c r="E585">
        <v>9</v>
      </c>
      <c r="F585">
        <v>20</v>
      </c>
      <c r="G585">
        <v>2</v>
      </c>
      <c r="H585">
        <v>80</v>
      </c>
    </row>
    <row r="586" spans="1:8" x14ac:dyDescent="0.3">
      <c r="A586" s="16" t="s">
        <v>1297</v>
      </c>
      <c r="B586">
        <v>110</v>
      </c>
      <c r="C586">
        <v>0</v>
      </c>
      <c r="D586">
        <v>0</v>
      </c>
      <c r="E586">
        <v>12</v>
      </c>
      <c r="F586">
        <v>15</v>
      </c>
      <c r="G586">
        <v>0</v>
      </c>
      <c r="H586">
        <v>60</v>
      </c>
    </row>
    <row r="587" spans="1:8" x14ac:dyDescent="0.3">
      <c r="A587" s="16" t="s">
        <v>1299</v>
      </c>
      <c r="B587">
        <v>260</v>
      </c>
      <c r="C587">
        <v>2.5</v>
      </c>
      <c r="D587">
        <v>0</v>
      </c>
      <c r="E587">
        <v>11</v>
      </c>
      <c r="F587">
        <v>48</v>
      </c>
      <c r="G587">
        <v>3</v>
      </c>
      <c r="H587">
        <v>380</v>
      </c>
    </row>
    <row r="588" spans="1:8" x14ac:dyDescent="0.3">
      <c r="A588" s="16" t="s">
        <v>1304</v>
      </c>
      <c r="B588">
        <v>110</v>
      </c>
      <c r="C588">
        <v>1</v>
      </c>
      <c r="D588">
        <v>0.5</v>
      </c>
      <c r="E588">
        <v>1</v>
      </c>
      <c r="F588">
        <v>24</v>
      </c>
      <c r="G588">
        <v>0</v>
      </c>
      <c r="H588">
        <v>150</v>
      </c>
    </row>
    <row r="589" spans="1:8" x14ac:dyDescent="0.3">
      <c r="A589" s="16" t="s">
        <v>1305</v>
      </c>
      <c r="B589">
        <v>130</v>
      </c>
      <c r="C589">
        <v>5</v>
      </c>
      <c r="D589">
        <v>0</v>
      </c>
      <c r="E589">
        <v>2</v>
      </c>
      <c r="F589">
        <v>20</v>
      </c>
      <c r="G589">
        <v>3</v>
      </c>
      <c r="H589">
        <v>330</v>
      </c>
    </row>
    <row r="590" spans="1:8" x14ac:dyDescent="0.3">
      <c r="A590" s="16" t="s">
        <v>1308</v>
      </c>
      <c r="B590">
        <v>260</v>
      </c>
      <c r="C590">
        <v>5</v>
      </c>
      <c r="D590">
        <v>0.5</v>
      </c>
      <c r="E590">
        <v>13</v>
      </c>
      <c r="F590">
        <v>44</v>
      </c>
      <c r="G590">
        <v>5</v>
      </c>
      <c r="H590">
        <v>350</v>
      </c>
    </row>
    <row r="591" spans="1:8" x14ac:dyDescent="0.3">
      <c r="A591" s="16" t="s">
        <v>1315</v>
      </c>
      <c r="B591">
        <v>140</v>
      </c>
      <c r="C591">
        <v>7</v>
      </c>
      <c r="D591">
        <v>3</v>
      </c>
      <c r="E591">
        <v>2</v>
      </c>
      <c r="F591">
        <v>20</v>
      </c>
      <c r="G591">
        <v>3</v>
      </c>
      <c r="H591">
        <v>310</v>
      </c>
    </row>
    <row r="592" spans="1:8" x14ac:dyDescent="0.3">
      <c r="A592" s="16" t="s">
        <v>1316</v>
      </c>
      <c r="B592">
        <v>110</v>
      </c>
      <c r="C592">
        <v>7</v>
      </c>
      <c r="D592">
        <v>4.5</v>
      </c>
      <c r="E592">
        <v>10</v>
      </c>
      <c r="F592">
        <v>2</v>
      </c>
      <c r="G592">
        <v>0</v>
      </c>
      <c r="H592">
        <v>370</v>
      </c>
    </row>
    <row r="593" spans="1:8" x14ac:dyDescent="0.3">
      <c r="A593" s="16" t="s">
        <v>1317</v>
      </c>
      <c r="B593">
        <v>270</v>
      </c>
      <c r="C593">
        <v>3</v>
      </c>
      <c r="D593">
        <v>0</v>
      </c>
      <c r="E593">
        <v>12</v>
      </c>
      <c r="F593">
        <v>51</v>
      </c>
      <c r="G593">
        <v>3</v>
      </c>
      <c r="H593">
        <v>400</v>
      </c>
    </row>
    <row r="594" spans="1:8" x14ac:dyDescent="0.3">
      <c r="A594" s="16" t="s">
        <v>1318</v>
      </c>
      <c r="B594">
        <v>150</v>
      </c>
      <c r="C594">
        <v>6</v>
      </c>
      <c r="D594">
        <v>3.5</v>
      </c>
      <c r="E594">
        <v>1</v>
      </c>
      <c r="F594">
        <v>24</v>
      </c>
      <c r="G594">
        <v>0</v>
      </c>
      <c r="H594">
        <v>50</v>
      </c>
    </row>
    <row r="595" spans="1:8" x14ac:dyDescent="0.3">
      <c r="A595" s="16" t="s">
        <v>1319</v>
      </c>
      <c r="B595">
        <v>130</v>
      </c>
      <c r="C595">
        <v>5</v>
      </c>
      <c r="D595">
        <v>3</v>
      </c>
      <c r="E595">
        <v>1</v>
      </c>
      <c r="F595">
        <v>19</v>
      </c>
      <c r="G595">
        <v>1</v>
      </c>
      <c r="H595">
        <v>20</v>
      </c>
    </row>
    <row r="596" spans="1:8" x14ac:dyDescent="0.3">
      <c r="A596" s="16" t="s">
        <v>1320</v>
      </c>
      <c r="B596">
        <v>130</v>
      </c>
      <c r="C596">
        <v>6</v>
      </c>
      <c r="D596">
        <v>2.5</v>
      </c>
      <c r="E596">
        <v>2</v>
      </c>
      <c r="F596">
        <v>17</v>
      </c>
      <c r="G596">
        <v>1</v>
      </c>
      <c r="H596">
        <v>65</v>
      </c>
    </row>
    <row r="597" spans="1:8" x14ac:dyDescent="0.3">
      <c r="A597" s="16" t="s">
        <v>1321</v>
      </c>
      <c r="B597">
        <v>150</v>
      </c>
      <c r="C597">
        <v>7</v>
      </c>
      <c r="D597">
        <v>4</v>
      </c>
      <c r="E597">
        <v>1</v>
      </c>
      <c r="F597">
        <v>20</v>
      </c>
      <c r="G597">
        <v>0</v>
      </c>
      <c r="H597">
        <v>60</v>
      </c>
    </row>
    <row r="598" spans="1:8" x14ac:dyDescent="0.3">
      <c r="A598" s="16" t="s">
        <v>1322</v>
      </c>
      <c r="B598">
        <v>130</v>
      </c>
      <c r="C598">
        <v>3.5</v>
      </c>
      <c r="D598">
        <v>2</v>
      </c>
      <c r="E598">
        <v>1</v>
      </c>
      <c r="F598">
        <v>23</v>
      </c>
      <c r="G598">
        <v>0</v>
      </c>
      <c r="H598">
        <v>55</v>
      </c>
    </row>
    <row r="599" spans="1:8" x14ac:dyDescent="0.3">
      <c r="A599" s="16" t="s">
        <v>1323</v>
      </c>
      <c r="B599">
        <f>B37*4+B41*2+B50*2</f>
        <v>1334</v>
      </c>
      <c r="C599">
        <f t="shared" ref="C599:H599" si="126">C37*4+C41*2+C50*2</f>
        <v>100</v>
      </c>
      <c r="D599">
        <f t="shared" si="126"/>
        <v>24</v>
      </c>
      <c r="E599">
        <f t="shared" si="126"/>
        <v>82</v>
      </c>
      <c r="F599">
        <f t="shared" si="126"/>
        <v>32</v>
      </c>
      <c r="G599">
        <f t="shared" si="126"/>
        <v>10</v>
      </c>
      <c r="H599">
        <f t="shared" si="126"/>
        <v>1404</v>
      </c>
    </row>
    <row r="600" spans="1:8" x14ac:dyDescent="0.3">
      <c r="A600" s="16" t="s">
        <v>1330</v>
      </c>
      <c r="B600" s="17">
        <v>70</v>
      </c>
      <c r="C600" s="17">
        <v>0</v>
      </c>
      <c r="D600" s="17">
        <v>0</v>
      </c>
      <c r="E600" s="17">
        <v>1</v>
      </c>
      <c r="F600" s="17">
        <v>16</v>
      </c>
      <c r="G600" s="17">
        <v>1</v>
      </c>
      <c r="H600" s="17">
        <v>0</v>
      </c>
    </row>
    <row r="601" spans="1:8" x14ac:dyDescent="0.3">
      <c r="A601" s="16" t="s">
        <v>1331</v>
      </c>
      <c r="B601">
        <v>90</v>
      </c>
      <c r="C601">
        <v>0</v>
      </c>
      <c r="D601">
        <v>15</v>
      </c>
      <c r="E601">
        <v>1</v>
      </c>
      <c r="F601">
        <v>21</v>
      </c>
      <c r="G601">
        <v>13</v>
      </c>
      <c r="H601">
        <v>15</v>
      </c>
    </row>
    <row r="602" spans="1:8" x14ac:dyDescent="0.3">
      <c r="A602" s="16" t="s">
        <v>1332</v>
      </c>
      <c r="B602">
        <v>90</v>
      </c>
      <c r="C602">
        <v>0.5</v>
      </c>
      <c r="D602">
        <v>0</v>
      </c>
      <c r="E602">
        <v>0</v>
      </c>
      <c r="F602">
        <v>20</v>
      </c>
      <c r="G602">
        <v>0</v>
      </c>
      <c r="H602">
        <v>15</v>
      </c>
    </row>
    <row r="603" spans="1:8" x14ac:dyDescent="0.3">
      <c r="A603" s="16" t="s">
        <v>1333</v>
      </c>
      <c r="B603">
        <v>270</v>
      </c>
      <c r="C603">
        <v>13</v>
      </c>
      <c r="D603">
        <v>1.5</v>
      </c>
      <c r="E603">
        <v>5</v>
      </c>
      <c r="F603">
        <v>34</v>
      </c>
      <c r="G603">
        <v>2</v>
      </c>
      <c r="H603">
        <v>640</v>
      </c>
    </row>
    <row r="604" spans="1:8" x14ac:dyDescent="0.3">
      <c r="A604" s="16" t="s">
        <v>1334</v>
      </c>
      <c r="B604">
        <v>350</v>
      </c>
      <c r="C604">
        <v>13</v>
      </c>
      <c r="D604">
        <v>5</v>
      </c>
      <c r="E604">
        <v>15</v>
      </c>
      <c r="F604">
        <v>42</v>
      </c>
      <c r="G604">
        <v>3</v>
      </c>
      <c r="H604">
        <v>570</v>
      </c>
    </row>
    <row r="605" spans="1:8" x14ac:dyDescent="0.3">
      <c r="A605" s="16" t="s">
        <v>1339</v>
      </c>
      <c r="B605">
        <v>300</v>
      </c>
      <c r="C605">
        <v>7</v>
      </c>
      <c r="D605">
        <v>4.5</v>
      </c>
      <c r="E605">
        <v>12</v>
      </c>
      <c r="F605">
        <v>47</v>
      </c>
      <c r="G605">
        <v>0</v>
      </c>
      <c r="H605">
        <v>280</v>
      </c>
    </row>
    <row r="606" spans="1:8" x14ac:dyDescent="0.3">
      <c r="A606" s="16" t="s">
        <v>1335</v>
      </c>
      <c r="B606">
        <v>250</v>
      </c>
      <c r="C606">
        <v>12</v>
      </c>
      <c r="D606">
        <v>8</v>
      </c>
      <c r="E606">
        <v>3</v>
      </c>
      <c r="F606">
        <v>31</v>
      </c>
      <c r="G606">
        <v>0</v>
      </c>
      <c r="H606">
        <v>55</v>
      </c>
    </row>
    <row r="607" spans="1:8" x14ac:dyDescent="0.3">
      <c r="A607" s="16" t="s">
        <v>1336</v>
      </c>
      <c r="B607">
        <v>140</v>
      </c>
      <c r="C607">
        <v>8</v>
      </c>
      <c r="D607">
        <v>0.5</v>
      </c>
      <c r="E607">
        <v>2</v>
      </c>
      <c r="F607">
        <v>16</v>
      </c>
      <c r="G607">
        <v>0</v>
      </c>
      <c r="H607">
        <v>140</v>
      </c>
    </row>
    <row r="608" spans="1:8" x14ac:dyDescent="0.3">
      <c r="A608" s="16" t="s">
        <v>1337</v>
      </c>
      <c r="B608">
        <v>95</v>
      </c>
      <c r="C608">
        <v>0.3</v>
      </c>
      <c r="D608">
        <v>0.1</v>
      </c>
      <c r="E608">
        <v>0.5</v>
      </c>
      <c r="F608">
        <v>25</v>
      </c>
      <c r="G608">
        <v>4.4000000000000004</v>
      </c>
      <c r="H608">
        <v>2</v>
      </c>
    </row>
    <row r="609" spans="1:8" x14ac:dyDescent="0.3">
      <c r="A609" s="16" t="s">
        <v>1341</v>
      </c>
      <c r="B609">
        <v>140</v>
      </c>
      <c r="C609">
        <v>6</v>
      </c>
      <c r="D609">
        <v>3.5</v>
      </c>
      <c r="E609">
        <v>4</v>
      </c>
      <c r="F609">
        <v>18</v>
      </c>
      <c r="G609">
        <v>0</v>
      </c>
      <c r="H609">
        <v>65</v>
      </c>
    </row>
    <row r="610" spans="1:8" x14ac:dyDescent="0.3">
      <c r="A610" s="16" t="s">
        <v>1343</v>
      </c>
      <c r="B610">
        <v>160</v>
      </c>
      <c r="C610">
        <v>9</v>
      </c>
      <c r="D610">
        <v>1.5</v>
      </c>
      <c r="E610">
        <v>2</v>
      </c>
      <c r="F610">
        <v>16</v>
      </c>
      <c r="G610">
        <v>1</v>
      </c>
      <c r="H610">
        <v>280</v>
      </c>
    </row>
    <row r="611" spans="1:8" x14ac:dyDescent="0.3">
      <c r="A611" s="16" t="s">
        <v>1344</v>
      </c>
      <c r="B611">
        <v>150</v>
      </c>
      <c r="C611">
        <v>8</v>
      </c>
      <c r="D611">
        <v>1.5</v>
      </c>
      <c r="E611">
        <v>2</v>
      </c>
      <c r="F611">
        <v>16</v>
      </c>
      <c r="G611">
        <v>1</v>
      </c>
      <c r="H611">
        <v>170</v>
      </c>
    </row>
    <row r="612" spans="1:8" x14ac:dyDescent="0.3">
      <c r="A612" s="16" t="s">
        <v>1345</v>
      </c>
      <c r="B612" s="17">
        <v>250</v>
      </c>
      <c r="C612" s="17">
        <v>0</v>
      </c>
      <c r="D612" s="17">
        <v>0</v>
      </c>
      <c r="E612" s="17">
        <v>0</v>
      </c>
      <c r="F612" s="17">
        <v>66</v>
      </c>
      <c r="G612" s="17">
        <v>0</v>
      </c>
      <c r="H612" s="17">
        <v>100</v>
      </c>
    </row>
    <row r="613" spans="1:8" x14ac:dyDescent="0.3">
      <c r="A613" s="16" t="s">
        <v>1346</v>
      </c>
      <c r="B613">
        <v>249</v>
      </c>
      <c r="C613">
        <v>5.9</v>
      </c>
      <c r="D613">
        <v>2.9</v>
      </c>
      <c r="E613">
        <v>11</v>
      </c>
      <c r="F613">
        <v>38</v>
      </c>
      <c r="G613">
        <v>1.5</v>
      </c>
      <c r="H613">
        <v>329</v>
      </c>
    </row>
    <row r="614" spans="1:8" x14ac:dyDescent="0.3">
      <c r="A614" s="16" t="s">
        <v>1347</v>
      </c>
      <c r="B614">
        <v>80</v>
      </c>
      <c r="C614">
        <v>1</v>
      </c>
      <c r="D614">
        <v>0</v>
      </c>
      <c r="E614">
        <v>2</v>
      </c>
      <c r="F614">
        <v>15</v>
      </c>
      <c r="G614">
        <v>1</v>
      </c>
      <c r="H614">
        <v>220</v>
      </c>
    </row>
    <row r="615" spans="1:8" x14ac:dyDescent="0.3">
      <c r="A615" s="16" t="s">
        <v>1356</v>
      </c>
      <c r="B615" s="17">
        <v>290</v>
      </c>
      <c r="C615" s="17">
        <v>3.5</v>
      </c>
      <c r="D615" s="17">
        <v>0.5</v>
      </c>
      <c r="E615" s="17">
        <v>9</v>
      </c>
      <c r="F615" s="17">
        <v>53</v>
      </c>
      <c r="G615" s="17">
        <v>2</v>
      </c>
      <c r="H615" s="17">
        <v>410</v>
      </c>
    </row>
    <row r="616" spans="1:8" x14ac:dyDescent="0.3">
      <c r="A616" s="16" t="s">
        <v>1357</v>
      </c>
      <c r="B616">
        <v>0</v>
      </c>
      <c r="C616">
        <v>0</v>
      </c>
      <c r="D616">
        <v>0</v>
      </c>
      <c r="E616">
        <v>0</v>
      </c>
      <c r="F616">
        <v>0</v>
      </c>
      <c r="G616">
        <v>0</v>
      </c>
      <c r="H616">
        <v>260</v>
      </c>
    </row>
    <row r="617" spans="1:8" x14ac:dyDescent="0.3">
      <c r="A617" s="16" t="s">
        <v>1358</v>
      </c>
      <c r="B617">
        <v>80</v>
      </c>
      <c r="C617">
        <v>0</v>
      </c>
      <c r="D617">
        <v>0</v>
      </c>
      <c r="E617">
        <v>1</v>
      </c>
      <c r="F617">
        <v>19</v>
      </c>
      <c r="G617">
        <v>0</v>
      </c>
      <c r="H617">
        <v>20</v>
      </c>
    </row>
    <row r="618" spans="1:8" x14ac:dyDescent="0.3">
      <c r="A618" s="16" t="s">
        <v>1360</v>
      </c>
      <c r="B618" s="17">
        <v>130</v>
      </c>
      <c r="C618" s="17">
        <v>5</v>
      </c>
      <c r="D618" s="17">
        <v>0.5</v>
      </c>
      <c r="E618" s="17">
        <v>2</v>
      </c>
      <c r="F618" s="17">
        <v>21</v>
      </c>
      <c r="G618" s="17">
        <v>2</v>
      </c>
      <c r="H618" s="17">
        <v>220</v>
      </c>
    </row>
    <row r="619" spans="1:8" x14ac:dyDescent="0.3">
      <c r="A619" s="16" t="s">
        <v>1364</v>
      </c>
      <c r="B619">
        <v>90</v>
      </c>
      <c r="C619">
        <v>6</v>
      </c>
      <c r="D619">
        <v>3.5</v>
      </c>
      <c r="E619">
        <v>7</v>
      </c>
      <c r="F619">
        <v>2</v>
      </c>
      <c r="G619">
        <v>0</v>
      </c>
      <c r="H619">
        <v>210</v>
      </c>
    </row>
    <row r="620" spans="1:8" x14ac:dyDescent="0.3">
      <c r="A620" s="16" t="s">
        <v>1365</v>
      </c>
      <c r="B620">
        <f>B173+B171+B170+B168+B161*2+B251+B172*4+B456</f>
        <v>725</v>
      </c>
      <c r="C620">
        <f t="shared" ref="C620:H620" si="127">C173+C171+C170+C168+C161*2+C251+C172*4+C456</f>
        <v>15.325000000000001</v>
      </c>
      <c r="D620">
        <f t="shared" si="127"/>
        <v>3.4250000000000003</v>
      </c>
      <c r="E620">
        <f t="shared" si="127"/>
        <v>27.974999999999998</v>
      </c>
      <c r="F620">
        <f t="shared" si="127"/>
        <v>115.64999999999998</v>
      </c>
      <c r="G620">
        <f t="shared" si="127"/>
        <v>8.6750000000000007</v>
      </c>
      <c r="H620">
        <f t="shared" si="127"/>
        <v>2277.5</v>
      </c>
    </row>
    <row r="621" spans="1:8" x14ac:dyDescent="0.3">
      <c r="A621" s="16" t="s">
        <v>1368</v>
      </c>
      <c r="B621">
        <v>190</v>
      </c>
      <c r="C621">
        <v>11</v>
      </c>
      <c r="D621">
        <v>6</v>
      </c>
      <c r="E621">
        <v>16</v>
      </c>
      <c r="F621">
        <v>7</v>
      </c>
      <c r="G621">
        <v>1</v>
      </c>
      <c r="H621">
        <v>310</v>
      </c>
    </row>
    <row r="622" spans="1:8" x14ac:dyDescent="0.3">
      <c r="B622" s="17">
        <f>B621*(6/4)</f>
        <v>285</v>
      </c>
      <c r="C622" s="17">
        <f t="shared" ref="C622:H622" si="128">C621*(6/4)</f>
        <v>16.5</v>
      </c>
      <c r="D622" s="17">
        <f t="shared" si="128"/>
        <v>9</v>
      </c>
      <c r="E622" s="17">
        <f t="shared" si="128"/>
        <v>24</v>
      </c>
      <c r="F622" s="17">
        <f t="shared" si="128"/>
        <v>10.5</v>
      </c>
      <c r="G622" s="17">
        <f t="shared" si="128"/>
        <v>1.5</v>
      </c>
      <c r="H622" s="17">
        <f t="shared" si="128"/>
        <v>465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67"/>
  <sheetViews>
    <sheetView tabSelected="1" topLeftCell="X1" zoomScale="74" zoomScaleNormal="85" workbookViewId="0">
      <pane ySplit="1" topLeftCell="A259" activePane="bottomLeft" state="frozen"/>
      <selection activeCell="O1" sqref="O1"/>
      <selection pane="bottomLeft" activeCell="AD267" sqref="AD267"/>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64" si="400">$AC215/$AB215</f>
        <v>4.5635805911879532E-2</v>
      </c>
      <c r="AJ215" s="6">
        <f t="shared" ref="AJ215:AJ264" si="401">$AD215/$AB215</f>
        <v>1.1503067484662576E-2</v>
      </c>
      <c r="AK215" s="6">
        <f t="shared" ref="AK215:AK264" si="402">$AE215/$AB215</f>
        <v>3.1999442275515898E-2</v>
      </c>
      <c r="AL215" s="6">
        <f t="shared" ref="AL215:AL264" si="403">$AF215/$AB215</f>
        <v>0.12529280535415505</v>
      </c>
      <c r="AM215" s="6">
        <f t="shared" ref="AM215:AM264" si="404">$AG215/$AB215</f>
        <v>1.5184049079754602E-2</v>
      </c>
      <c r="AN215" s="6">
        <f t="shared" ref="AN215:AN264"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10">
        <v>0</v>
      </c>
      <c r="AS217" s="7">
        <v>0</v>
      </c>
      <c r="AT217" s="7">
        <v>0</v>
      </c>
      <c r="AU217" s="7">
        <v>0</v>
      </c>
      <c r="AV217" s="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7">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10">
        <v>0</v>
      </c>
      <c r="AS218" s="7">
        <v>0</v>
      </c>
      <c r="AT218" s="7">
        <v>0</v>
      </c>
      <c r="AU218" s="7">
        <v>0</v>
      </c>
      <c r="AV218" s="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7">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10">
        <v>0</v>
      </c>
      <c r="AS219" s="7">
        <v>0</v>
      </c>
      <c r="AT219" s="7">
        <v>0</v>
      </c>
      <c r="AU219" s="7">
        <v>0</v>
      </c>
      <c r="AV219" s="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7">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10">
        <v>0</v>
      </c>
      <c r="AS220" s="7">
        <v>0</v>
      </c>
      <c r="AT220" s="7">
        <v>0</v>
      </c>
      <c r="AU220" s="7">
        <v>0</v>
      </c>
      <c r="AV220" s="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7">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10">
        <v>0</v>
      </c>
      <c r="AS221" s="7">
        <v>0</v>
      </c>
      <c r="AT221" s="7">
        <v>0</v>
      </c>
      <c r="AU221" s="7">
        <v>0</v>
      </c>
      <c r="AV221" s="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7">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1189</v>
      </c>
      <c r="AA222" s="10" t="s">
        <v>1190</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10">
        <v>0</v>
      </c>
      <c r="AS222" s="7">
        <v>0</v>
      </c>
      <c r="AT222" s="7">
        <v>0</v>
      </c>
      <c r="AU222" s="7">
        <v>0</v>
      </c>
      <c r="AV222" s="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7">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1197</v>
      </c>
      <c r="AA223" s="10" t="s">
        <v>1195</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10">
        <v>0</v>
      </c>
      <c r="AS223" s="7">
        <v>0</v>
      </c>
      <c r="AT223" s="7">
        <v>0</v>
      </c>
      <c r="AU223" s="7">
        <v>0</v>
      </c>
      <c r="AV223" s="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1196</v>
      </c>
      <c r="BM223" s="7">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1198</v>
      </c>
      <c r="AA224" s="10" t="s">
        <v>1201</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10">
        <v>0</v>
      </c>
      <c r="AS224" s="7">
        <v>0</v>
      </c>
      <c r="AT224" s="7">
        <v>0</v>
      </c>
      <c r="AU224" s="7">
        <v>0</v>
      </c>
      <c r="AV224" s="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1202</v>
      </c>
      <c r="BM224" s="7">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1205</v>
      </c>
      <c r="AA225" s="10" t="s">
        <v>1206</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10">
        <v>0</v>
      </c>
      <c r="AS225" s="7">
        <v>0</v>
      </c>
      <c r="AT225" s="7">
        <v>0</v>
      </c>
      <c r="AU225" s="7">
        <v>0</v>
      </c>
      <c r="AV225" s="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1204</v>
      </c>
      <c r="BM225" s="7">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1207</v>
      </c>
      <c r="AA226" s="10" t="s">
        <v>1211</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10">
        <v>0</v>
      </c>
      <c r="AS226" s="7">
        <v>0</v>
      </c>
      <c r="AT226" s="7">
        <v>0</v>
      </c>
      <c r="AU226" s="7">
        <v>0</v>
      </c>
      <c r="AV226" s="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1202</v>
      </c>
      <c r="BM226" s="7">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1213</v>
      </c>
      <c r="AA227" s="10" t="s">
        <v>1212</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7">
        <v>4</v>
      </c>
      <c r="AP227" s="7">
        <v>1</v>
      </c>
      <c r="AQ227" s="7">
        <v>0</v>
      </c>
      <c r="AR227" s="10">
        <v>0</v>
      </c>
      <c r="AS227" s="7">
        <v>0</v>
      </c>
      <c r="AT227" s="7">
        <v>0</v>
      </c>
      <c r="AU227" s="7">
        <v>0</v>
      </c>
      <c r="AV227" s="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1202</v>
      </c>
      <c r="BM227" s="7">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1214</v>
      </c>
      <c r="AA228" s="10" t="s">
        <v>1215</v>
      </c>
      <c r="AB228" s="5">
        <f>180+300+360+260+190+480</f>
        <v>1770</v>
      </c>
      <c r="AC228" s="6">
        <f>6+0+24+18+2+27</f>
        <v>77</v>
      </c>
      <c r="AD228" s="6">
        <f>3+0+10+5+0.5+6</f>
        <v>24.5</v>
      </c>
      <c r="AE228" s="6">
        <f>14+0+8+20+6+6</f>
        <v>54</v>
      </c>
      <c r="AF228" s="6">
        <f>19+69+28+5+36+45</f>
        <v>202</v>
      </c>
      <c r="AG228" s="6">
        <f>0+0+4+2+1+3</f>
        <v>10</v>
      </c>
      <c r="AH228" s="6">
        <f>50+15+40+350+380+540</f>
        <v>1375</v>
      </c>
      <c r="AI228" s="6">
        <f t="shared" si="400"/>
        <v>4.3502824858757061E-2</v>
      </c>
      <c r="AJ228" s="6">
        <f t="shared" si="401"/>
        <v>1.384180790960452E-2</v>
      </c>
      <c r="AK228" s="6">
        <f t="shared" si="402"/>
        <v>3.0508474576271188E-2</v>
      </c>
      <c r="AL228" s="6">
        <f t="shared" si="403"/>
        <v>0.11412429378531073</v>
      </c>
      <c r="AM228" s="6">
        <f t="shared" si="404"/>
        <v>5.6497175141242938E-3</v>
      </c>
      <c r="AN228" s="6">
        <f t="shared" si="405"/>
        <v>0.7768361581920904</v>
      </c>
      <c r="AO228" s="7">
        <v>4</v>
      </c>
      <c r="AP228" s="7">
        <v>1</v>
      </c>
      <c r="AQ228" s="7">
        <v>0</v>
      </c>
      <c r="AR228" s="10">
        <v>0</v>
      </c>
      <c r="AS228" s="7">
        <v>0</v>
      </c>
      <c r="AT228" s="7">
        <v>0</v>
      </c>
      <c r="AU228" s="7">
        <v>0</v>
      </c>
      <c r="AV228" s="7">
        <v>0</v>
      </c>
      <c r="AW228" s="7">
        <v>31</v>
      </c>
      <c r="AX228" s="7">
        <v>1</v>
      </c>
      <c r="AY228" s="5">
        <v>5.5</v>
      </c>
      <c r="AZ228" s="7">
        <v>0</v>
      </c>
      <c r="BA228" s="7">
        <v>0</v>
      </c>
      <c r="BB228" s="7">
        <v>0</v>
      </c>
      <c r="BC228" s="7">
        <v>1</v>
      </c>
      <c r="BD228" s="7">
        <v>1</v>
      </c>
      <c r="BE228" s="7">
        <v>0</v>
      </c>
      <c r="BF228" s="7">
        <v>0</v>
      </c>
      <c r="BG228" s="7">
        <v>0</v>
      </c>
      <c r="BH228" s="7">
        <v>0</v>
      </c>
      <c r="BI228" s="7">
        <v>0</v>
      </c>
      <c r="BJ228" s="7">
        <v>0</v>
      </c>
      <c r="BK228" s="11">
        <v>1.5</v>
      </c>
      <c r="BL228" s="7" t="s">
        <v>1216</v>
      </c>
      <c r="BM228" s="7">
        <v>1</v>
      </c>
    </row>
    <row r="229" spans="1:65" ht="19.95" customHeight="1" x14ac:dyDescent="0.3">
      <c r="A229" s="3" t="s">
        <v>15</v>
      </c>
      <c r="B229" s="3">
        <v>0</v>
      </c>
      <c r="C229" s="8">
        <v>44438</v>
      </c>
      <c r="D229" s="9">
        <v>0.30486111111111108</v>
      </c>
      <c r="E229" s="4">
        <v>69</v>
      </c>
      <c r="F229" s="3">
        <v>0</v>
      </c>
      <c r="G229" s="3">
        <v>0</v>
      </c>
      <c r="H229" s="3">
        <v>0</v>
      </c>
      <c r="I229" s="3">
        <v>0</v>
      </c>
      <c r="J229" s="9">
        <v>0.36249999999999999</v>
      </c>
      <c r="K229" s="3">
        <v>143.19999999999999</v>
      </c>
      <c r="L229" s="11">
        <f t="shared" ref="L229" si="431">K229-K228</f>
        <v>-1.2000000000000171</v>
      </c>
      <c r="M229" s="5">
        <f t="shared" ref="M229" si="432">AB228</f>
        <v>1770</v>
      </c>
      <c r="N229" s="11">
        <v>30</v>
      </c>
      <c r="O229" s="11">
        <v>31.5</v>
      </c>
      <c r="P229" s="11">
        <v>10.875</v>
      </c>
      <c r="Q229" s="11">
        <v>10.75</v>
      </c>
      <c r="R229" s="11">
        <v>19.875</v>
      </c>
      <c r="S229" s="11">
        <v>20</v>
      </c>
      <c r="T229" s="11">
        <v>16</v>
      </c>
      <c r="U229" s="11">
        <v>17</v>
      </c>
      <c r="V229" s="11">
        <v>16</v>
      </c>
      <c r="W229" s="11">
        <v>14</v>
      </c>
      <c r="X229" s="11">
        <v>7</v>
      </c>
      <c r="Y229" s="11">
        <v>7</v>
      </c>
      <c r="Z229" s="3" t="s">
        <v>1222</v>
      </c>
      <c r="AA229" s="10" t="s">
        <v>1226</v>
      </c>
      <c r="AB229" s="5">
        <f>64+130+400+180+80+120+640+280+150+120+80+150+342+140+30</f>
        <v>2906</v>
      </c>
      <c r="AC229" s="6">
        <f>4.4+7+0+6+5+4+0+18+8+4+5+8+23+7+0</f>
        <v>99.4</v>
      </c>
      <c r="AD229" s="6">
        <f>1+1+0+3+1+1+0+3+1+1+1+1+6+1+0</f>
        <v>21</v>
      </c>
      <c r="AE229" s="6">
        <f>4+2+0+14+2+2+0+4+2+2+2+2+22+2+0</f>
        <v>60</v>
      </c>
      <c r="AF229" s="6">
        <f>2+17+95+19+7+18+152+28+18+18+7+18+7+18+11+16+8</f>
        <v>459</v>
      </c>
      <c r="AG229" s="6">
        <f>0.5+1+0+0+1+1+0+2+1+1+1+1+3+1+1</f>
        <v>14.5</v>
      </c>
      <c r="AH229" s="6">
        <f>85+450+150+50+120+210+240+460+190+210+120+210+452+80+150</f>
        <v>3177</v>
      </c>
      <c r="AI229" s="6">
        <f t="shared" si="400"/>
        <v>3.420509291121817E-2</v>
      </c>
      <c r="AJ229" s="6">
        <f t="shared" si="401"/>
        <v>7.2264280798348245E-3</v>
      </c>
      <c r="AK229" s="6">
        <f t="shared" si="402"/>
        <v>2.0646937370956641E-2</v>
      </c>
      <c r="AL229" s="6">
        <f t="shared" si="403"/>
        <v>0.15794907088781832</v>
      </c>
      <c r="AM229" s="6">
        <f t="shared" si="404"/>
        <v>4.9896765313145221E-3</v>
      </c>
      <c r="AN229" s="6">
        <f t="shared" si="405"/>
        <v>1.0932553337921542</v>
      </c>
      <c r="AO229" s="7">
        <v>4</v>
      </c>
      <c r="AP229" s="7">
        <v>1</v>
      </c>
      <c r="AQ229" s="7">
        <v>1</v>
      </c>
      <c r="AR229" s="10">
        <v>0</v>
      </c>
      <c r="AS229" s="7">
        <v>0</v>
      </c>
      <c r="AT229" s="7">
        <v>0</v>
      </c>
      <c r="AU229" s="7">
        <v>0</v>
      </c>
      <c r="AV229" s="7">
        <v>0</v>
      </c>
      <c r="AW229" s="7">
        <v>31</v>
      </c>
      <c r="AX229" s="7">
        <v>1</v>
      </c>
      <c r="AY229" s="5">
        <v>7.5</v>
      </c>
      <c r="AZ229" s="7">
        <v>0</v>
      </c>
      <c r="BA229" s="7">
        <v>0</v>
      </c>
      <c r="BB229" s="7">
        <v>0</v>
      </c>
      <c r="BC229" s="7">
        <v>1</v>
      </c>
      <c r="BD229" s="7">
        <v>1</v>
      </c>
      <c r="BE229" s="7">
        <v>0</v>
      </c>
      <c r="BF229" s="7">
        <v>0</v>
      </c>
      <c r="BG229" s="7">
        <v>0</v>
      </c>
      <c r="BH229" s="7">
        <v>0</v>
      </c>
      <c r="BI229" s="7">
        <v>0</v>
      </c>
      <c r="BJ229" s="7">
        <v>1</v>
      </c>
      <c r="BK229" s="11">
        <v>1</v>
      </c>
      <c r="BL229" s="7" t="s">
        <v>1216</v>
      </c>
      <c r="BM229" s="7">
        <v>1</v>
      </c>
    </row>
    <row r="230" spans="1:65" ht="19.95" customHeight="1" x14ac:dyDescent="0.3">
      <c r="A230" s="3" t="s">
        <v>16</v>
      </c>
      <c r="B230" s="3">
        <v>1</v>
      </c>
      <c r="C230" s="8">
        <v>44439</v>
      </c>
      <c r="D230" s="9">
        <v>0.44305555555555554</v>
      </c>
      <c r="E230" s="4">
        <v>71</v>
      </c>
      <c r="F230" s="3">
        <v>0</v>
      </c>
      <c r="G230" s="3">
        <v>0</v>
      </c>
      <c r="H230" s="3">
        <v>0</v>
      </c>
      <c r="I230" s="3">
        <v>0</v>
      </c>
      <c r="J230" s="9">
        <v>0.45</v>
      </c>
      <c r="K230" s="3">
        <v>145.80000000000001</v>
      </c>
      <c r="L230" s="11">
        <f t="shared" ref="L230" si="433">K230-K229</f>
        <v>2.6000000000000227</v>
      </c>
      <c r="M230" s="5">
        <f t="shared" ref="M230" si="434">AB229</f>
        <v>2906</v>
      </c>
      <c r="N230" s="11">
        <v>31.125</v>
      </c>
      <c r="O230" s="11">
        <v>32.875</v>
      </c>
      <c r="P230" s="11">
        <v>10.625</v>
      </c>
      <c r="Q230" s="11">
        <v>10.625</v>
      </c>
      <c r="R230" s="11">
        <v>19.625</v>
      </c>
      <c r="S230" s="11">
        <v>19.875</v>
      </c>
      <c r="T230" s="11">
        <v>15</v>
      </c>
      <c r="U230" s="11">
        <v>15</v>
      </c>
      <c r="V230" s="11">
        <v>16</v>
      </c>
      <c r="W230" s="11">
        <v>13</v>
      </c>
      <c r="X230" s="11">
        <v>7</v>
      </c>
      <c r="Y230" s="11">
        <v>7</v>
      </c>
      <c r="Z230" s="3" t="s">
        <v>1228</v>
      </c>
      <c r="AA230" s="10" t="s">
        <v>1227</v>
      </c>
      <c r="AB230" s="5">
        <f>342+140+30+289+322+160+160+450+540+342+140+30+160+140</f>
        <v>3245</v>
      </c>
      <c r="AC230" s="6">
        <f>23+7+0+11+29+10+0+0+36+23+7+0+0+9</f>
        <v>155</v>
      </c>
      <c r="AD230" s="6">
        <f>6+1+0+3+4+2+0+0+15+6+1+0+0+2</f>
        <v>40</v>
      </c>
      <c r="AE230" s="6">
        <f>22+2+0+7+4+4+0+9+12+22+2+0+0+2</f>
        <v>86</v>
      </c>
      <c r="AF230" s="6">
        <f>11+16+8+43+17+14+38+104+42+11+16+8+38+14</f>
        <v>380</v>
      </c>
      <c r="AG230" s="6">
        <f>3+1+1+1+18+2+0+63+6+3+1+1+0+1</f>
        <v>101</v>
      </c>
      <c r="AH230" s="6">
        <f>452+80+150+440+14+240+60+22.5+60+452+80+150+60+230</f>
        <v>2490.5</v>
      </c>
      <c r="AI230" s="6">
        <f t="shared" si="400"/>
        <v>4.7765793528505393E-2</v>
      </c>
      <c r="AJ230" s="6">
        <f t="shared" si="401"/>
        <v>1.2326656394453005E-2</v>
      </c>
      <c r="AK230" s="6">
        <f t="shared" si="402"/>
        <v>2.6502311248073961E-2</v>
      </c>
      <c r="AL230" s="6">
        <f t="shared" si="403"/>
        <v>0.11710323574730354</v>
      </c>
      <c r="AM230" s="6">
        <f t="shared" si="404"/>
        <v>3.1124807395993836E-2</v>
      </c>
      <c r="AN230" s="6">
        <f t="shared" si="405"/>
        <v>0.76748844375963021</v>
      </c>
      <c r="AO230" s="7">
        <v>4</v>
      </c>
      <c r="AP230" s="7">
        <v>1</v>
      </c>
      <c r="AQ230" s="7">
        <v>1</v>
      </c>
      <c r="AR230" s="10">
        <v>0</v>
      </c>
      <c r="AS230" s="7">
        <v>0</v>
      </c>
      <c r="AT230" s="7">
        <v>0</v>
      </c>
      <c r="AU230" s="7">
        <v>0</v>
      </c>
      <c r="AV230" s="7">
        <v>0</v>
      </c>
      <c r="AW230" s="7">
        <v>0</v>
      </c>
      <c r="AX230" s="7">
        <v>0</v>
      </c>
      <c r="AY230" s="5">
        <v>6.75</v>
      </c>
      <c r="AZ230" s="7">
        <v>0</v>
      </c>
      <c r="BA230" s="7">
        <v>0</v>
      </c>
      <c r="BB230" s="7">
        <v>0</v>
      </c>
      <c r="BC230" s="7">
        <v>1</v>
      </c>
      <c r="BD230" s="7">
        <v>1</v>
      </c>
      <c r="BE230" s="7">
        <v>0</v>
      </c>
      <c r="BF230" s="7">
        <v>1</v>
      </c>
      <c r="BG230" s="7">
        <v>20</v>
      </c>
      <c r="BH230" s="7">
        <v>0</v>
      </c>
      <c r="BI230" s="7">
        <v>0</v>
      </c>
      <c r="BJ230" s="7">
        <v>1</v>
      </c>
      <c r="BK230" s="11">
        <v>1</v>
      </c>
      <c r="BL230" s="7" t="s">
        <v>1216</v>
      </c>
      <c r="BM230" s="7">
        <v>1</v>
      </c>
    </row>
    <row r="231" spans="1:65" ht="30" customHeight="1" x14ac:dyDescent="0.3">
      <c r="A231" s="3" t="s">
        <v>17</v>
      </c>
      <c r="B231" s="3">
        <v>2</v>
      </c>
      <c r="C231" s="8">
        <v>44440</v>
      </c>
      <c r="D231" s="9">
        <v>0.3034722222222222</v>
      </c>
      <c r="E231" s="4">
        <v>67</v>
      </c>
      <c r="F231" s="3">
        <v>0</v>
      </c>
      <c r="G231" s="3">
        <v>0</v>
      </c>
      <c r="H231" s="3">
        <v>0</v>
      </c>
      <c r="I231" s="3">
        <v>0</v>
      </c>
      <c r="J231" s="9">
        <v>0.2986111111111111</v>
      </c>
      <c r="K231" s="3">
        <v>145.80000000000001</v>
      </c>
      <c r="L231" s="11">
        <f t="shared" ref="L231" si="435">K231-K230</f>
        <v>0</v>
      </c>
      <c r="M231" s="5">
        <f t="shared" ref="M231" si="436">AB230</f>
        <v>3245</v>
      </c>
      <c r="N231" s="11">
        <v>31</v>
      </c>
      <c r="O231" s="11">
        <v>32.5</v>
      </c>
      <c r="P231" s="11">
        <v>10.75</v>
      </c>
      <c r="Q231" s="11">
        <v>11</v>
      </c>
      <c r="R231" s="11">
        <v>20</v>
      </c>
      <c r="S231" s="11">
        <v>20</v>
      </c>
      <c r="T231" s="11">
        <v>14</v>
      </c>
      <c r="U231" s="11">
        <v>13</v>
      </c>
      <c r="V231" s="11">
        <v>16</v>
      </c>
      <c r="W231" s="11">
        <v>14</v>
      </c>
      <c r="X231" s="11">
        <v>7</v>
      </c>
      <c r="Y231" s="11">
        <v>7</v>
      </c>
      <c r="Z231" s="3" t="s">
        <v>1234</v>
      </c>
      <c r="AA231" s="10" t="s">
        <v>1233</v>
      </c>
      <c r="AB231" s="5">
        <f>630+400+241.5+110+110+480+112.5</f>
        <v>2084</v>
      </c>
      <c r="AC231" s="6">
        <f>24+0+21.75+3+3+30+0</f>
        <v>81.75</v>
      </c>
      <c r="AD231" s="6">
        <f>6+0+3+0+0+4.5+0</f>
        <v>13.5</v>
      </c>
      <c r="AE231" s="6">
        <f>15+0+3+2+2+6+0</f>
        <v>28</v>
      </c>
      <c r="AF231" s="6">
        <f>93+95+12.75+19+19+45+31.25</f>
        <v>315</v>
      </c>
      <c r="AG231" s="6">
        <f>3+0+13.5+1+1+3+0</f>
        <v>21.5</v>
      </c>
      <c r="AH231" s="6">
        <f>960+150+10.5+125+220+750+37.5</f>
        <v>2253</v>
      </c>
      <c r="AI231" s="6">
        <f t="shared" si="400"/>
        <v>3.9227447216890594E-2</v>
      </c>
      <c r="AJ231" s="6">
        <f t="shared" si="401"/>
        <v>6.4779270633397315E-3</v>
      </c>
      <c r="AK231" s="6">
        <f t="shared" si="402"/>
        <v>1.3435700575815739E-2</v>
      </c>
      <c r="AL231" s="6">
        <f t="shared" si="403"/>
        <v>0.15115163147792707</v>
      </c>
      <c r="AM231" s="6">
        <f t="shared" si="404"/>
        <v>1.0316698656429943E-2</v>
      </c>
      <c r="AN231" s="6">
        <f t="shared" si="405"/>
        <v>1.0810940499040307</v>
      </c>
      <c r="AO231" s="7">
        <v>4</v>
      </c>
      <c r="AP231" s="7">
        <v>1</v>
      </c>
      <c r="AQ231" s="7">
        <v>1</v>
      </c>
      <c r="AR231" s="10">
        <v>0</v>
      </c>
      <c r="AS231" s="7">
        <v>0</v>
      </c>
      <c r="AT231" s="7">
        <v>0</v>
      </c>
      <c r="AU231" s="7">
        <v>0</v>
      </c>
      <c r="AV231" s="7">
        <v>0</v>
      </c>
      <c r="AW231" s="7">
        <v>31</v>
      </c>
      <c r="AX231" s="7">
        <v>1</v>
      </c>
      <c r="AY231" s="5">
        <v>7</v>
      </c>
      <c r="AZ231" s="7">
        <v>0</v>
      </c>
      <c r="BA231" s="7">
        <v>0</v>
      </c>
      <c r="BB231" s="7">
        <v>0</v>
      </c>
      <c r="BC231" s="7">
        <v>1</v>
      </c>
      <c r="BD231" s="7">
        <v>1</v>
      </c>
      <c r="BE231" s="7">
        <v>0</v>
      </c>
      <c r="BF231" s="7">
        <v>0</v>
      </c>
      <c r="BG231" s="7">
        <v>0</v>
      </c>
      <c r="BH231" s="7">
        <v>0</v>
      </c>
      <c r="BI231" s="7">
        <v>0</v>
      </c>
      <c r="BJ231" s="7">
        <v>1</v>
      </c>
      <c r="BK231" s="11">
        <v>3</v>
      </c>
      <c r="BL231" s="7" t="s">
        <v>1229</v>
      </c>
      <c r="BM231" s="7">
        <v>1</v>
      </c>
    </row>
    <row r="232" spans="1:65" ht="30" customHeight="1" x14ac:dyDescent="0.3">
      <c r="A232" s="3" t="s">
        <v>18</v>
      </c>
      <c r="B232" s="3">
        <v>3</v>
      </c>
      <c r="C232" s="8">
        <v>44441</v>
      </c>
      <c r="D232" s="9">
        <v>0.36736111111111108</v>
      </c>
      <c r="E232" s="4">
        <v>66</v>
      </c>
      <c r="F232" s="3">
        <v>0</v>
      </c>
      <c r="G232" s="3">
        <v>0</v>
      </c>
      <c r="H232" s="3">
        <v>0</v>
      </c>
      <c r="I232" s="3">
        <v>0</v>
      </c>
      <c r="J232" s="9">
        <v>0.36805555555555558</v>
      </c>
      <c r="K232" s="3">
        <v>145</v>
      </c>
      <c r="L232" s="11">
        <f t="shared" ref="L232" si="437">K232-K231</f>
        <v>-0.80000000000001137</v>
      </c>
      <c r="M232" s="5">
        <f t="shared" ref="M232" si="438">AB231</f>
        <v>2084</v>
      </c>
      <c r="N232" s="11">
        <v>30.75</v>
      </c>
      <c r="O232" s="11">
        <v>32.5</v>
      </c>
      <c r="P232" s="11">
        <v>11</v>
      </c>
      <c r="Q232" s="11">
        <v>11</v>
      </c>
      <c r="R232" s="11">
        <v>20</v>
      </c>
      <c r="S232" s="11">
        <v>20.25</v>
      </c>
      <c r="T232" s="11">
        <v>14</v>
      </c>
      <c r="U232" s="11">
        <v>14</v>
      </c>
      <c r="V232" s="11">
        <v>16</v>
      </c>
      <c r="W232" s="11">
        <v>16</v>
      </c>
      <c r="X232" s="11">
        <v>7</v>
      </c>
      <c r="Y232" s="11">
        <v>7</v>
      </c>
      <c r="Z232" s="3" t="s">
        <v>1235</v>
      </c>
      <c r="AA232" s="10" t="s">
        <v>1237</v>
      </c>
      <c r="AB232" s="5">
        <f>180+315+260+322+240+150+30+110+160+150+90</f>
        <v>2007</v>
      </c>
      <c r="AC232" s="6">
        <f>6+12+14+29+14+1.5+0+3+10+8+0</f>
        <v>97.5</v>
      </c>
      <c r="AD232" s="6">
        <f>3+3+2+4+8+0.5+0+0+1.5+1+0</f>
        <v>23</v>
      </c>
      <c r="AE232" s="6">
        <f>14+7.5+4+4+19+5+0+2+2+2+0</f>
        <v>59.5</v>
      </c>
      <c r="AF232" s="6">
        <f>19+46.5+34+17+9+30+8+19+15+18+25</f>
        <v>240.5</v>
      </c>
      <c r="AG232" s="6">
        <f>0+1.5+2+18+3+1+1+1+1+1+0</f>
        <v>29.5</v>
      </c>
      <c r="AH232" s="6">
        <f>50+480+900+14+370+200+150+220+250+210+30</f>
        <v>2874</v>
      </c>
      <c r="AI232" s="6">
        <f t="shared" si="400"/>
        <v>4.8579970104633781E-2</v>
      </c>
      <c r="AJ232" s="6">
        <f t="shared" si="401"/>
        <v>1.14598903836572E-2</v>
      </c>
      <c r="AK232" s="6">
        <f t="shared" si="402"/>
        <v>2.9646238166417538E-2</v>
      </c>
      <c r="AL232" s="6">
        <f t="shared" si="403"/>
        <v>0.11983059292476334</v>
      </c>
      <c r="AM232" s="6">
        <f t="shared" si="404"/>
        <v>1.4698555057299452E-2</v>
      </c>
      <c r="AN232" s="6">
        <f t="shared" si="405"/>
        <v>1.4319880418535127</v>
      </c>
      <c r="AO232" s="7">
        <v>4</v>
      </c>
      <c r="AP232" s="7">
        <v>1</v>
      </c>
      <c r="AQ232" s="7">
        <v>1</v>
      </c>
      <c r="AR232" s="10">
        <v>0</v>
      </c>
      <c r="AS232" s="7">
        <v>0</v>
      </c>
      <c r="AT232" s="7">
        <v>0</v>
      </c>
      <c r="AU232" s="7">
        <v>0</v>
      </c>
      <c r="AV232" s="7">
        <v>0</v>
      </c>
      <c r="AW232" s="7">
        <v>0</v>
      </c>
      <c r="AX232" s="7">
        <v>0</v>
      </c>
      <c r="AY232" s="5">
        <v>7.25</v>
      </c>
      <c r="AZ232" s="7">
        <v>0</v>
      </c>
      <c r="BA232" s="7">
        <v>0</v>
      </c>
      <c r="BB232" s="7">
        <v>0</v>
      </c>
      <c r="BC232" s="7">
        <v>1</v>
      </c>
      <c r="BD232" s="7">
        <v>1</v>
      </c>
      <c r="BE232" s="7">
        <v>0</v>
      </c>
      <c r="BF232" s="7">
        <v>0</v>
      </c>
      <c r="BG232" s="7">
        <v>0</v>
      </c>
      <c r="BH232" s="7">
        <v>0</v>
      </c>
      <c r="BI232" s="7">
        <v>0</v>
      </c>
      <c r="BJ232" s="7">
        <v>1</v>
      </c>
      <c r="BK232" s="11">
        <v>2</v>
      </c>
      <c r="BL232" s="7" t="s">
        <v>1229</v>
      </c>
      <c r="BM232" s="7">
        <v>1</v>
      </c>
    </row>
    <row r="233" spans="1:65" ht="30" customHeight="1" x14ac:dyDescent="0.3">
      <c r="A233" s="3" t="s">
        <v>137</v>
      </c>
      <c r="B233" s="3">
        <v>4</v>
      </c>
      <c r="C233" s="8">
        <v>44442</v>
      </c>
      <c r="D233" s="9">
        <v>0.3</v>
      </c>
      <c r="E233" s="4">
        <v>62</v>
      </c>
      <c r="F233" s="3">
        <v>0</v>
      </c>
      <c r="G233" s="3">
        <v>0</v>
      </c>
      <c r="H233" s="3">
        <v>0</v>
      </c>
      <c r="I233" s="3">
        <v>0</v>
      </c>
      <c r="J233" s="9">
        <v>0.31388888888888888</v>
      </c>
      <c r="K233" s="3">
        <v>142.80000000000001</v>
      </c>
      <c r="L233" s="11">
        <f t="shared" ref="L233" si="439">K233-K232</f>
        <v>-2.1999999999999886</v>
      </c>
      <c r="M233" s="5">
        <f t="shared" ref="M233" si="440">AB232</f>
        <v>2007</v>
      </c>
      <c r="N233" s="11">
        <v>30.75</v>
      </c>
      <c r="O233" s="11">
        <v>32.5</v>
      </c>
      <c r="P233" s="11">
        <v>10.625</v>
      </c>
      <c r="Q233" s="11">
        <v>10.75</v>
      </c>
      <c r="R233" s="11">
        <v>19.75</v>
      </c>
      <c r="S233" s="11">
        <v>20.25</v>
      </c>
      <c r="T233" s="11">
        <v>14</v>
      </c>
      <c r="U233" s="11">
        <v>12</v>
      </c>
      <c r="V233" s="11">
        <v>15</v>
      </c>
      <c r="W233" s="11">
        <v>15</v>
      </c>
      <c r="X233" s="11">
        <v>7</v>
      </c>
      <c r="Y233" s="11">
        <v>7</v>
      </c>
      <c r="Z233" s="3" t="s">
        <v>1238</v>
      </c>
      <c r="AA233" s="10" t="s">
        <v>1240</v>
      </c>
      <c r="AB233" s="5">
        <f>110+300+320+150+472.5+241.5+130+2025</f>
        <v>3749</v>
      </c>
      <c r="AC233" s="6">
        <f>3+16+20+8+18+21.75+7+0</f>
        <v>93.75</v>
      </c>
      <c r="AD233" s="6">
        <f>0+2+3+1+4.5+3+1+0</f>
        <v>14.5</v>
      </c>
      <c r="AE233" s="6">
        <f>2+4+4+2+11.25+3+2+40.5</f>
        <v>68.75</v>
      </c>
      <c r="AF233" s="6">
        <f>19+36+30+18+69.75+12.75+17+465.75</f>
        <v>668.25</v>
      </c>
      <c r="AG233" s="6">
        <f>1+2+2+1+2.25+13.5+1+0</f>
        <v>22.75</v>
      </c>
      <c r="AH233" s="6">
        <f>125+420+500+190+720+10.5+450+101.25</f>
        <v>2516.75</v>
      </c>
      <c r="AI233" s="6">
        <f t="shared" si="400"/>
        <v>2.5006668444918646E-2</v>
      </c>
      <c r="AJ233" s="6">
        <f t="shared" si="401"/>
        <v>3.8676980528140835E-3</v>
      </c>
      <c r="AK233" s="6">
        <f t="shared" si="402"/>
        <v>1.8338223526273675E-2</v>
      </c>
      <c r="AL233" s="6">
        <f t="shared" si="403"/>
        <v>0.1782475326753801</v>
      </c>
      <c r="AM233" s="6">
        <f t="shared" si="404"/>
        <v>6.0682848759669242E-3</v>
      </c>
      <c r="AN233" s="6">
        <f t="shared" si="405"/>
        <v>0.67131234995998934</v>
      </c>
      <c r="AO233" s="7">
        <v>4</v>
      </c>
      <c r="AP233" s="7">
        <v>1</v>
      </c>
      <c r="AQ233" s="7">
        <v>1</v>
      </c>
      <c r="AR233" s="10">
        <v>0</v>
      </c>
      <c r="AS233" s="7">
        <v>0</v>
      </c>
      <c r="AT233" s="7">
        <v>0</v>
      </c>
      <c r="AU233" s="7">
        <v>0</v>
      </c>
      <c r="AV233" s="7">
        <v>0</v>
      </c>
      <c r="AW233" s="7">
        <v>31</v>
      </c>
      <c r="AX233" s="7">
        <v>1</v>
      </c>
      <c r="AY233" s="5">
        <v>7.5</v>
      </c>
      <c r="AZ233" s="7">
        <v>0</v>
      </c>
      <c r="BA233" s="7">
        <v>0</v>
      </c>
      <c r="BB233" s="7">
        <v>0</v>
      </c>
      <c r="BC233" s="7">
        <v>1</v>
      </c>
      <c r="BD233" s="7">
        <v>1</v>
      </c>
      <c r="BE233" s="7">
        <v>0</v>
      </c>
      <c r="BF233" s="7">
        <v>0</v>
      </c>
      <c r="BG233" s="7">
        <v>0</v>
      </c>
      <c r="BH233" s="7">
        <v>0</v>
      </c>
      <c r="BI233" s="7">
        <v>0</v>
      </c>
      <c r="BJ233" s="7">
        <v>1</v>
      </c>
      <c r="BK233" s="11">
        <v>2</v>
      </c>
      <c r="BL233" s="7" t="s">
        <v>1229</v>
      </c>
      <c r="BM233" s="7">
        <v>1</v>
      </c>
    </row>
    <row r="234" spans="1:65" ht="30" customHeight="1" x14ac:dyDescent="0.3">
      <c r="A234" s="3" t="s">
        <v>19</v>
      </c>
      <c r="B234" s="3">
        <v>5</v>
      </c>
      <c r="C234" s="8">
        <v>44443</v>
      </c>
      <c r="D234" s="9">
        <v>0.58333333333333337</v>
      </c>
      <c r="E234" s="4">
        <v>99</v>
      </c>
      <c r="F234" s="3">
        <v>0</v>
      </c>
      <c r="G234" s="3">
        <v>0</v>
      </c>
      <c r="H234" s="3">
        <v>0</v>
      </c>
      <c r="I234" s="3">
        <v>0.75</v>
      </c>
      <c r="J234" s="9">
        <v>0.28194444444444444</v>
      </c>
      <c r="K234" s="3">
        <v>144.6</v>
      </c>
      <c r="L234" s="11">
        <f t="shared" ref="L234" si="441">K234-K233</f>
        <v>1.7999999999999829</v>
      </c>
      <c r="M234" s="5">
        <f t="shared" ref="M234" si="442">AB233</f>
        <v>3749</v>
      </c>
      <c r="N234" s="11">
        <v>30.625</v>
      </c>
      <c r="O234" s="11">
        <v>32.25</v>
      </c>
      <c r="P234" s="11">
        <v>10.75</v>
      </c>
      <c r="Q234" s="11">
        <v>11</v>
      </c>
      <c r="R234" s="11">
        <v>20</v>
      </c>
      <c r="S234" s="11">
        <v>20.25</v>
      </c>
      <c r="T234" s="11">
        <v>15</v>
      </c>
      <c r="U234" s="11">
        <v>17</v>
      </c>
      <c r="V234" s="11">
        <v>18</v>
      </c>
      <c r="W234" s="11">
        <v>16</v>
      </c>
      <c r="X234" s="11">
        <v>7</v>
      </c>
      <c r="Y234" s="11">
        <v>7</v>
      </c>
      <c r="Z234" s="3" t="s">
        <v>1242</v>
      </c>
      <c r="AA234" s="10" t="s">
        <v>1241</v>
      </c>
      <c r="AB234" s="5">
        <f>110+240+240+150+30+100+150+30+120+110+262.5</f>
        <v>1542.5</v>
      </c>
      <c r="AC234" s="6">
        <f>3+8+14+1.5+0+6+1.5+0+4+3+10</f>
        <v>51</v>
      </c>
      <c r="AD234" s="6">
        <f>0+1+8+0.5+0+4+0.5+0+0.5+0+2.5</f>
        <v>17</v>
      </c>
      <c r="AE234" s="6">
        <f>2+4+19+5+0+8+5+0+2+2+6.25</f>
        <v>53.25</v>
      </c>
      <c r="AF234" s="6">
        <f>19+36+9+30+8+2+30+8+18+19+38.75</f>
        <v>217.75</v>
      </c>
      <c r="AG234" s="6">
        <f>1+2+3+1+1+0+1+1+1+1+1.25</f>
        <v>13.25</v>
      </c>
      <c r="AH234" s="6">
        <f>220+420+370+200+150+280+200+150+210+125+400</f>
        <v>2725</v>
      </c>
      <c r="AI234" s="6">
        <f t="shared" si="400"/>
        <v>3.3063209076175042E-2</v>
      </c>
      <c r="AJ234" s="6">
        <f t="shared" si="401"/>
        <v>1.1021069692058346E-2</v>
      </c>
      <c r="AK234" s="6">
        <f t="shared" si="402"/>
        <v>3.452188006482982E-2</v>
      </c>
      <c r="AL234" s="6">
        <f t="shared" si="403"/>
        <v>0.14116693679092382</v>
      </c>
      <c r="AM234" s="6">
        <f t="shared" si="404"/>
        <v>8.5899513776337109E-3</v>
      </c>
      <c r="AN234" s="6">
        <f t="shared" si="405"/>
        <v>1.766612641815235</v>
      </c>
      <c r="AO234" s="7">
        <v>4</v>
      </c>
      <c r="AP234" s="7">
        <v>1</v>
      </c>
      <c r="AQ234" s="7">
        <v>1</v>
      </c>
      <c r="AR234" s="10" t="s">
        <v>1239</v>
      </c>
      <c r="AS234" s="7">
        <v>0</v>
      </c>
      <c r="AT234" s="7">
        <v>0</v>
      </c>
      <c r="AU234" s="7">
        <v>0</v>
      </c>
      <c r="AV234" s="7">
        <v>0</v>
      </c>
      <c r="AW234" s="7">
        <v>31</v>
      </c>
      <c r="AX234" s="7">
        <v>1</v>
      </c>
      <c r="AY234" s="5">
        <v>5.5</v>
      </c>
      <c r="AZ234" s="7">
        <v>0</v>
      </c>
      <c r="BA234" s="7">
        <v>0</v>
      </c>
      <c r="BB234" s="7">
        <v>0</v>
      </c>
      <c r="BC234" s="7">
        <v>1</v>
      </c>
      <c r="BD234" s="7">
        <v>1</v>
      </c>
      <c r="BE234" s="7">
        <v>0</v>
      </c>
      <c r="BF234" s="7">
        <v>0</v>
      </c>
      <c r="BG234" s="7">
        <v>0</v>
      </c>
      <c r="BH234" s="7">
        <v>0</v>
      </c>
      <c r="BI234" s="7">
        <v>0</v>
      </c>
      <c r="BJ234" s="7">
        <v>1</v>
      </c>
      <c r="BK234" s="11">
        <v>2</v>
      </c>
      <c r="BL234" s="7" t="s">
        <v>1229</v>
      </c>
      <c r="BM234" s="7">
        <v>1</v>
      </c>
    </row>
    <row r="235" spans="1:65" ht="30" customHeight="1" x14ac:dyDescent="0.3">
      <c r="A235" s="3" t="s">
        <v>23</v>
      </c>
      <c r="B235" s="3">
        <v>6</v>
      </c>
      <c r="C235" s="8">
        <v>44444</v>
      </c>
      <c r="D235" s="9">
        <v>0.76041666666666663</v>
      </c>
      <c r="E235" s="4">
        <v>103</v>
      </c>
      <c r="F235" s="3">
        <v>0</v>
      </c>
      <c r="G235" s="3">
        <v>0</v>
      </c>
      <c r="H235" s="3">
        <v>0</v>
      </c>
      <c r="I235" s="3">
        <v>0.25</v>
      </c>
      <c r="J235" s="9">
        <v>0.3125</v>
      </c>
      <c r="K235" s="3">
        <v>143.80000000000001</v>
      </c>
      <c r="L235" s="11">
        <f t="shared" ref="L235" si="443">K235-K234</f>
        <v>-0.79999999999998295</v>
      </c>
      <c r="M235" s="5">
        <f t="shared" ref="M235" si="444">AB234</f>
        <v>1542.5</v>
      </c>
      <c r="N235" s="11">
        <v>30.5</v>
      </c>
      <c r="O235" s="11">
        <v>32.25</v>
      </c>
      <c r="P235" s="11">
        <v>10.875</v>
      </c>
      <c r="Q235" s="11">
        <v>10.875</v>
      </c>
      <c r="R235" s="11">
        <v>20</v>
      </c>
      <c r="S235" s="11">
        <v>20.125</v>
      </c>
      <c r="T235" s="11">
        <v>16</v>
      </c>
      <c r="U235" s="11">
        <v>14</v>
      </c>
      <c r="V235" s="11">
        <v>16</v>
      </c>
      <c r="W235" s="11">
        <v>15</v>
      </c>
      <c r="X235" s="11">
        <v>7</v>
      </c>
      <c r="Y235" s="11">
        <v>7</v>
      </c>
      <c r="Z235" s="3" t="s">
        <v>1245</v>
      </c>
      <c r="AA235" s="10" t="s">
        <v>1244</v>
      </c>
      <c r="AB235" s="5">
        <f>110+315+605.5+100+220+100+30+110</f>
        <v>1590.5</v>
      </c>
      <c r="AC235" s="6">
        <f>3+12+16.28+6+4+6+0+3</f>
        <v>50.28</v>
      </c>
      <c r="AD235" s="6">
        <f>0+3+5.35+4+0+4+0+0</f>
        <v>16.350000000000001</v>
      </c>
      <c r="AE235" s="6">
        <f>2+7.5+18.9+8+8+8+0+2</f>
        <v>54.4</v>
      </c>
      <c r="AF235" s="6">
        <f>19+46.5+96.95+2+38+2+8+19</f>
        <v>231.45</v>
      </c>
      <c r="AG235" s="6">
        <f>1+1.5+8.35+0+4+0+1+1</f>
        <v>16.850000000000001</v>
      </c>
      <c r="AH235" s="6">
        <f>220+480+944+280+270+280+150+125</f>
        <v>2749</v>
      </c>
      <c r="AI235" s="6">
        <f t="shared" si="400"/>
        <v>3.1612700408676517E-2</v>
      </c>
      <c r="AJ235" s="6">
        <f t="shared" si="401"/>
        <v>1.0279786230745049E-2</v>
      </c>
      <c r="AK235" s="6">
        <f t="shared" si="402"/>
        <v>3.4203080792203709E-2</v>
      </c>
      <c r="AL235" s="6">
        <f t="shared" si="403"/>
        <v>0.14552027664256523</v>
      </c>
      <c r="AM235" s="6">
        <f t="shared" si="404"/>
        <v>1.0594152782143981E-2</v>
      </c>
      <c r="AN235" s="6">
        <f t="shared" si="405"/>
        <v>1.7283872995913234</v>
      </c>
      <c r="AO235" s="7">
        <v>4</v>
      </c>
      <c r="AP235" s="7">
        <v>1</v>
      </c>
      <c r="AQ235" s="7">
        <v>1</v>
      </c>
      <c r="AR235" s="10" t="s">
        <v>1243</v>
      </c>
      <c r="AS235" s="7">
        <v>0</v>
      </c>
      <c r="AT235" s="7">
        <v>0</v>
      </c>
      <c r="AU235" s="7">
        <v>0</v>
      </c>
      <c r="AV235" s="7">
        <v>0</v>
      </c>
      <c r="AW235" s="7">
        <v>31</v>
      </c>
      <c r="AX235" s="7">
        <v>1</v>
      </c>
      <c r="AY235" s="5">
        <v>6.5</v>
      </c>
      <c r="AZ235" s="7">
        <v>0</v>
      </c>
      <c r="BA235" s="7">
        <v>0</v>
      </c>
      <c r="BB235" s="7">
        <v>0</v>
      </c>
      <c r="BC235" s="7">
        <v>1</v>
      </c>
      <c r="BD235" s="7">
        <v>1</v>
      </c>
      <c r="BE235" s="7">
        <v>0</v>
      </c>
      <c r="BF235" s="7">
        <v>0</v>
      </c>
      <c r="BG235" s="7">
        <v>0</v>
      </c>
      <c r="BH235" s="7">
        <v>0</v>
      </c>
      <c r="BI235" s="7">
        <v>0</v>
      </c>
      <c r="BJ235" s="7">
        <v>1</v>
      </c>
      <c r="BK235" s="11">
        <v>2</v>
      </c>
      <c r="BL235" s="7" t="s">
        <v>1261</v>
      </c>
      <c r="BM235" s="7">
        <v>1</v>
      </c>
    </row>
    <row r="236" spans="1:65" ht="30" customHeight="1" x14ac:dyDescent="0.3">
      <c r="A236" s="3" t="s">
        <v>15</v>
      </c>
      <c r="B236" s="3">
        <v>7</v>
      </c>
      <c r="C236" s="8">
        <v>44445</v>
      </c>
      <c r="D236" s="9">
        <v>0.28333333333333333</v>
      </c>
      <c r="E236" s="4">
        <v>69</v>
      </c>
      <c r="F236" s="3">
        <v>0</v>
      </c>
      <c r="G236" s="3">
        <v>0</v>
      </c>
      <c r="H236" s="3">
        <v>0</v>
      </c>
      <c r="I236" s="3">
        <v>0</v>
      </c>
      <c r="J236" s="9">
        <v>0.28055555555555556</v>
      </c>
      <c r="K236" s="3">
        <v>144.80000000000001</v>
      </c>
      <c r="L236" s="11">
        <f t="shared" ref="L236" si="445">K236-K235</f>
        <v>1</v>
      </c>
      <c r="M236" s="5">
        <f t="shared" ref="M236" si="446">AB235</f>
        <v>1590.5</v>
      </c>
      <c r="N236" s="11">
        <v>30.25</v>
      </c>
      <c r="O236" s="11">
        <v>32</v>
      </c>
      <c r="P236" s="11">
        <v>11</v>
      </c>
      <c r="Q236" s="11">
        <v>11</v>
      </c>
      <c r="R236" s="11">
        <v>21</v>
      </c>
      <c r="S236" s="11">
        <v>20.25</v>
      </c>
      <c r="T236" s="11">
        <v>14</v>
      </c>
      <c r="U236" s="11">
        <v>14</v>
      </c>
      <c r="V236" s="11">
        <v>18</v>
      </c>
      <c r="W236" s="11">
        <v>15</v>
      </c>
      <c r="X236" s="11">
        <v>7</v>
      </c>
      <c r="Y236" s="11">
        <v>7</v>
      </c>
      <c r="Z236" s="3" t="s">
        <v>1246</v>
      </c>
      <c r="AA236" s="10" t="s">
        <v>1249</v>
      </c>
      <c r="AB236" s="5">
        <f>210+493+320+600+180+100+220+100+30</f>
        <v>2253</v>
      </c>
      <c r="AC236" s="6">
        <f>8+21+17+8+10+6+4+6+0</f>
        <v>80</v>
      </c>
      <c r="AD236" s="6">
        <f>2+21+10+3+5+4+0+4+0</f>
        <v>49</v>
      </c>
      <c r="AE236" s="6">
        <f>5+0+6+15+4+8+8+8+0</f>
        <v>54</v>
      </c>
      <c r="AF236" s="6">
        <f>31+85+35+120+19+2+38+2+8</f>
        <v>340</v>
      </c>
      <c r="AG236" s="6">
        <f>1+0+0+0+1.2+0+4+0+1</f>
        <v>7.2</v>
      </c>
      <c r="AH236" s="6">
        <f>320+7+430+600+30+280+270+280+150</f>
        <v>2367</v>
      </c>
      <c r="AI236" s="6">
        <f t="shared" si="400"/>
        <v>3.5508211273857081E-2</v>
      </c>
      <c r="AJ236" s="6">
        <f t="shared" si="401"/>
        <v>2.1748779405237461E-2</v>
      </c>
      <c r="AK236" s="6">
        <f t="shared" si="402"/>
        <v>2.3968042609853527E-2</v>
      </c>
      <c r="AL236" s="6">
        <f t="shared" si="403"/>
        <v>0.15090989791389259</v>
      </c>
      <c r="AM236" s="6">
        <f t="shared" si="404"/>
        <v>3.1957390146471372E-3</v>
      </c>
      <c r="AN236" s="6">
        <f t="shared" si="405"/>
        <v>1.0505992010652463</v>
      </c>
      <c r="AO236" s="7">
        <v>4</v>
      </c>
      <c r="AP236" s="7">
        <v>3</v>
      </c>
      <c r="AQ236" s="7">
        <v>0</v>
      </c>
      <c r="AR236" s="10">
        <v>0</v>
      </c>
      <c r="AS236" s="7">
        <v>0</v>
      </c>
      <c r="AT236" s="7">
        <v>0</v>
      </c>
      <c r="AU236" s="7">
        <v>0</v>
      </c>
      <c r="AV236" s="7">
        <v>0</v>
      </c>
      <c r="AW236" s="7">
        <v>31</v>
      </c>
      <c r="AX236" s="7">
        <v>1</v>
      </c>
      <c r="AY236" s="5">
        <v>6</v>
      </c>
      <c r="AZ236" s="7">
        <v>0</v>
      </c>
      <c r="BA236" s="7">
        <v>0</v>
      </c>
      <c r="BB236" s="7">
        <v>0</v>
      </c>
      <c r="BC236" s="7">
        <v>1</v>
      </c>
      <c r="BD236" s="7">
        <v>1</v>
      </c>
      <c r="BE236" s="7">
        <v>0</v>
      </c>
      <c r="BF236" s="7">
        <v>0</v>
      </c>
      <c r="BG236" s="7">
        <v>0</v>
      </c>
      <c r="BH236" s="7">
        <v>0</v>
      </c>
      <c r="BI236" s="7">
        <v>0</v>
      </c>
      <c r="BJ236" s="7">
        <v>1</v>
      </c>
      <c r="BK236" s="11">
        <v>3</v>
      </c>
      <c r="BL236" s="7" t="s">
        <v>1261</v>
      </c>
      <c r="BM236" s="7">
        <v>1</v>
      </c>
    </row>
    <row r="237" spans="1:65" ht="30" customHeight="1" x14ac:dyDescent="0.3">
      <c r="A237" s="3" t="s">
        <v>16</v>
      </c>
      <c r="B237" s="3">
        <v>8</v>
      </c>
      <c r="C237" s="8">
        <v>44446</v>
      </c>
      <c r="D237" s="9">
        <v>0.33402777777777781</v>
      </c>
      <c r="E237" s="4">
        <v>69</v>
      </c>
      <c r="F237" s="3">
        <v>0</v>
      </c>
      <c r="G237" s="3">
        <v>0</v>
      </c>
      <c r="H237" s="3">
        <v>0</v>
      </c>
      <c r="I237" s="3">
        <v>0</v>
      </c>
      <c r="J237" s="9">
        <v>0.3354166666666667</v>
      </c>
      <c r="K237" s="3">
        <v>144.80000000000001</v>
      </c>
      <c r="L237" s="11">
        <f t="shared" ref="L237" si="447">K237-K236</f>
        <v>0</v>
      </c>
      <c r="M237" s="5">
        <f t="shared" ref="M237" si="448">AB236</f>
        <v>2253</v>
      </c>
      <c r="N237" s="11">
        <v>30.25</v>
      </c>
      <c r="O237" s="11">
        <v>32.375</v>
      </c>
      <c r="P237" s="11">
        <v>10.875</v>
      </c>
      <c r="Q237" s="11">
        <v>11.125</v>
      </c>
      <c r="R237" s="11">
        <v>20</v>
      </c>
      <c r="S237" s="11">
        <v>20</v>
      </c>
      <c r="T237" s="11">
        <v>16</v>
      </c>
      <c r="U237" s="11">
        <v>14</v>
      </c>
      <c r="V237" s="11">
        <v>17</v>
      </c>
      <c r="W237" s="11">
        <v>15</v>
      </c>
      <c r="X237" s="11">
        <v>7</v>
      </c>
      <c r="Y237" s="11">
        <v>7</v>
      </c>
      <c r="Z237" s="3" t="s">
        <v>1252</v>
      </c>
      <c r="AA237" s="10" t="s">
        <v>1251</v>
      </c>
      <c r="AB237" s="5">
        <f>150+100+220+100+30+405+360+90</f>
        <v>1455</v>
      </c>
      <c r="AC237" s="6">
        <f>1.5+6+4+6+0+11.25+12+4.8</f>
        <v>45.55</v>
      </c>
      <c r="AD237" s="6">
        <f>0.5+4+0+4+0+6.75+1.5+2.4</f>
        <v>19.149999999999999</v>
      </c>
      <c r="AE237" s="6">
        <f>5+8+8+8+0+13.5+6+1.8</f>
        <v>50.3</v>
      </c>
      <c r="AF237" s="6">
        <f>30+2+38+2+8+63+54+9.6</f>
        <v>206.6</v>
      </c>
      <c r="AG237" s="6">
        <f>1+0+4+0+1+2.25+3+0.6</f>
        <v>11.85</v>
      </c>
      <c r="AH237" s="6">
        <f>200+280+270+280+150+810+630+15</f>
        <v>2635</v>
      </c>
      <c r="AI237" s="6">
        <f t="shared" si="400"/>
        <v>3.1305841924398621E-2</v>
      </c>
      <c r="AJ237" s="6">
        <f t="shared" si="401"/>
        <v>1.3161512027491409E-2</v>
      </c>
      <c r="AK237" s="6">
        <f t="shared" si="402"/>
        <v>3.4570446735395187E-2</v>
      </c>
      <c r="AL237" s="6">
        <f t="shared" si="403"/>
        <v>0.14199312714776632</v>
      </c>
      <c r="AM237" s="6">
        <f t="shared" si="404"/>
        <v>8.1443298969072157E-3</v>
      </c>
      <c r="AN237" s="6">
        <f t="shared" si="405"/>
        <v>1.8109965635738832</v>
      </c>
      <c r="AO237" s="7">
        <v>5</v>
      </c>
      <c r="AP237" s="7">
        <v>2</v>
      </c>
      <c r="AQ237" s="7">
        <v>0</v>
      </c>
      <c r="AR237" s="10">
        <v>0</v>
      </c>
      <c r="AS237" s="7">
        <v>0</v>
      </c>
      <c r="AT237" s="7">
        <v>0</v>
      </c>
      <c r="AU237" s="7">
        <v>0</v>
      </c>
      <c r="AV237" s="7">
        <v>0</v>
      </c>
      <c r="AW237" s="7">
        <v>31</v>
      </c>
      <c r="AX237" s="7">
        <v>0</v>
      </c>
      <c r="AY237" s="5">
        <v>7</v>
      </c>
      <c r="AZ237" s="7">
        <v>0</v>
      </c>
      <c r="BA237" s="7">
        <v>1</v>
      </c>
      <c r="BB237" s="7">
        <v>0</v>
      </c>
      <c r="BC237" s="7">
        <v>1</v>
      </c>
      <c r="BD237" s="7">
        <v>1</v>
      </c>
      <c r="BE237" s="7">
        <v>0</v>
      </c>
      <c r="BF237" s="7">
        <v>0</v>
      </c>
      <c r="BG237" s="7">
        <v>0</v>
      </c>
      <c r="BH237" s="7">
        <v>0</v>
      </c>
      <c r="BI237" s="7">
        <v>0</v>
      </c>
      <c r="BJ237" s="7">
        <v>1</v>
      </c>
      <c r="BK237" s="11">
        <v>0</v>
      </c>
      <c r="BL237" s="7">
        <v>0</v>
      </c>
      <c r="BM237" s="7">
        <v>1</v>
      </c>
    </row>
    <row r="238" spans="1:65" ht="30" customHeight="1" x14ac:dyDescent="0.3">
      <c r="A238" s="3" t="s">
        <v>17</v>
      </c>
      <c r="B238" s="3">
        <v>9</v>
      </c>
      <c r="C238" s="8">
        <v>44447</v>
      </c>
      <c r="D238" s="9">
        <v>0.25555555555555559</v>
      </c>
      <c r="E238" s="4">
        <v>68</v>
      </c>
      <c r="F238" s="3">
        <v>0</v>
      </c>
      <c r="G238" s="3">
        <v>0</v>
      </c>
      <c r="H238" s="3">
        <v>0</v>
      </c>
      <c r="I238" s="3">
        <v>0</v>
      </c>
      <c r="J238" s="9">
        <v>0.28194444444444444</v>
      </c>
      <c r="K238" s="3">
        <v>144.80000000000001</v>
      </c>
      <c r="L238" s="11">
        <f t="shared" ref="L238" si="449">K238-K237</f>
        <v>0</v>
      </c>
      <c r="M238" s="5">
        <f t="shared" ref="M238" si="450">AB237</f>
        <v>1455</v>
      </c>
      <c r="N238" s="11">
        <v>30.75</v>
      </c>
      <c r="O238" s="11">
        <v>32.25</v>
      </c>
      <c r="P238" s="11">
        <v>10.875</v>
      </c>
      <c r="Q238" s="11">
        <v>10.875</v>
      </c>
      <c r="R238" s="11">
        <v>20</v>
      </c>
      <c r="S238" s="11">
        <v>20.625</v>
      </c>
      <c r="T238" s="11">
        <v>16</v>
      </c>
      <c r="U238" s="11">
        <v>13</v>
      </c>
      <c r="V238" s="11">
        <v>16</v>
      </c>
      <c r="W238" s="11">
        <v>13</v>
      </c>
      <c r="X238" s="11">
        <v>7</v>
      </c>
      <c r="Y238" s="11">
        <v>7</v>
      </c>
      <c r="Z238" s="3" t="s">
        <v>1259</v>
      </c>
      <c r="AA238" s="10" t="s">
        <v>1258</v>
      </c>
      <c r="AB238" s="5">
        <f>600+630+150+330+240+80+0+0</f>
        <v>2030</v>
      </c>
      <c r="AC238" s="6">
        <f>20+24+8+18+2+5+0+0</f>
        <v>77</v>
      </c>
      <c r="AD238" s="6">
        <f>2.5+6+1+9+0.5+3.5+0+0</f>
        <v>22.5</v>
      </c>
      <c r="AE238" s="6">
        <f>10+15+2+26+8+6+0+0</f>
        <v>67</v>
      </c>
      <c r="AF238" s="6">
        <f>90+93+18+16+46+2+1+0</f>
        <v>266</v>
      </c>
      <c r="AG238" s="6">
        <f>5+3+1+2+2+0+0+0</f>
        <v>13</v>
      </c>
      <c r="AH238" s="6">
        <f>1050+960+190+420+630+190+260+55</f>
        <v>3755</v>
      </c>
      <c r="AI238" s="6">
        <f t="shared" si="400"/>
        <v>3.793103448275862E-2</v>
      </c>
      <c r="AJ238" s="6">
        <f t="shared" si="401"/>
        <v>1.1083743842364532E-2</v>
      </c>
      <c r="AK238" s="6">
        <f t="shared" si="402"/>
        <v>3.3004926108374383E-2</v>
      </c>
      <c r="AL238" s="6">
        <f t="shared" si="403"/>
        <v>0.1310344827586207</v>
      </c>
      <c r="AM238" s="6">
        <f t="shared" si="404"/>
        <v>6.4039408866995075E-3</v>
      </c>
      <c r="AN238" s="6">
        <f t="shared" si="405"/>
        <v>1.8497536945812807</v>
      </c>
      <c r="AO238" s="7">
        <v>4</v>
      </c>
      <c r="AP238" s="7">
        <v>1</v>
      </c>
      <c r="AQ238" s="7">
        <v>0</v>
      </c>
      <c r="AR238" s="10">
        <v>0</v>
      </c>
      <c r="AS238" s="7">
        <v>0</v>
      </c>
      <c r="AT238" s="7">
        <v>0</v>
      </c>
      <c r="AU238" s="7">
        <v>0</v>
      </c>
      <c r="AV238" s="7">
        <v>0</v>
      </c>
      <c r="AW238" s="7">
        <v>31</v>
      </c>
      <c r="AX238" s="7">
        <v>1</v>
      </c>
      <c r="AY238" s="5">
        <v>8</v>
      </c>
      <c r="AZ238" s="7">
        <v>0</v>
      </c>
      <c r="BA238" s="7">
        <v>1</v>
      </c>
      <c r="BB238" s="7">
        <v>0</v>
      </c>
      <c r="BC238" s="7">
        <v>1</v>
      </c>
      <c r="BD238" s="7">
        <v>1</v>
      </c>
      <c r="BE238" s="7">
        <v>0</v>
      </c>
      <c r="BF238" s="7">
        <v>0</v>
      </c>
      <c r="BG238" s="7">
        <v>0</v>
      </c>
      <c r="BH238" s="7">
        <v>0</v>
      </c>
      <c r="BI238" s="7">
        <v>0</v>
      </c>
      <c r="BJ238" s="7">
        <v>1</v>
      </c>
      <c r="BK238" s="11">
        <v>0</v>
      </c>
      <c r="BL238" s="7">
        <v>0</v>
      </c>
      <c r="BM238" s="7">
        <v>1</v>
      </c>
    </row>
    <row r="239" spans="1:65" ht="30" customHeight="1" x14ac:dyDescent="0.3">
      <c r="A239" s="3" t="s">
        <v>18</v>
      </c>
      <c r="B239" s="3">
        <v>10</v>
      </c>
      <c r="C239" s="8">
        <v>44448</v>
      </c>
      <c r="D239" s="9">
        <v>0.84375</v>
      </c>
      <c r="E239" s="4">
        <v>83</v>
      </c>
      <c r="F239" s="3">
        <v>0</v>
      </c>
      <c r="G239" s="3">
        <v>0</v>
      </c>
      <c r="H239" s="3">
        <v>0</v>
      </c>
      <c r="I239" s="3">
        <v>0.75</v>
      </c>
      <c r="J239" s="9">
        <v>0.2951388888888889</v>
      </c>
      <c r="K239" s="3">
        <v>144</v>
      </c>
      <c r="L239" s="11">
        <f t="shared" ref="L239" si="451">K239-K238</f>
        <v>-0.80000000000001137</v>
      </c>
      <c r="M239" s="5">
        <f t="shared" ref="M239" si="452">AB238</f>
        <v>2030</v>
      </c>
      <c r="N239" s="11">
        <v>30.75</v>
      </c>
      <c r="O239" s="11">
        <v>32.875</v>
      </c>
      <c r="P239" s="11">
        <v>11</v>
      </c>
      <c r="Q239" s="11">
        <v>10.875</v>
      </c>
      <c r="R239" s="11">
        <v>20</v>
      </c>
      <c r="S239" s="11">
        <v>20.125</v>
      </c>
      <c r="T239" s="11">
        <v>15</v>
      </c>
      <c r="U239" s="11">
        <v>16</v>
      </c>
      <c r="V239" s="11">
        <v>15</v>
      </c>
      <c r="W239" s="11">
        <v>15</v>
      </c>
      <c r="X239" s="11">
        <v>7</v>
      </c>
      <c r="Y239" s="11">
        <v>7</v>
      </c>
      <c r="Z239" s="3" t="s">
        <v>1263</v>
      </c>
      <c r="AA239" s="10" t="s">
        <v>1262</v>
      </c>
      <c r="AB239" s="5">
        <f>320+165+120+60+0+0+270+600+315</f>
        <v>1850</v>
      </c>
      <c r="AC239" s="6">
        <f>20.8+9+1+3.75+0+0+7.5+20+12</f>
        <v>74.05</v>
      </c>
      <c r="AD239" s="6">
        <f>4.5+0.25+2.6+0+0+4.5+2.5+3</f>
        <v>17.350000000000001</v>
      </c>
      <c r="AE239" s="6">
        <f>3.2+13+4+4.5+0+0+9+10+7.5</f>
        <v>51.2</v>
      </c>
      <c r="AF239" s="6">
        <f>35.2+8+23+1.5+1+0+42+90+46.5</f>
        <v>247.2</v>
      </c>
      <c r="AG239" s="6">
        <f>3.2+1+1+0+0+0+1.5+5+1.5</f>
        <v>13.2</v>
      </c>
      <c r="AH239" s="6">
        <f>32+210+315+142.5+260+55+540+1050+480</f>
        <v>3084.5</v>
      </c>
      <c r="AI239" s="6">
        <f t="shared" si="400"/>
        <v>4.0027027027027026E-2</v>
      </c>
      <c r="AJ239" s="6">
        <f t="shared" si="401"/>
        <v>9.3783783783783787E-3</v>
      </c>
      <c r="AK239" s="6">
        <f t="shared" si="402"/>
        <v>2.7675675675675679E-2</v>
      </c>
      <c r="AL239" s="6">
        <f t="shared" si="403"/>
        <v>0.13362162162162161</v>
      </c>
      <c r="AM239" s="6">
        <f t="shared" si="404"/>
        <v>7.1351351351351348E-3</v>
      </c>
      <c r="AN239" s="6">
        <f t="shared" si="405"/>
        <v>1.6672972972972973</v>
      </c>
      <c r="AO239" s="7">
        <v>6</v>
      </c>
      <c r="AP239" s="7">
        <v>1</v>
      </c>
      <c r="AQ239" s="7">
        <v>0</v>
      </c>
      <c r="AR239" s="10" t="s">
        <v>1260</v>
      </c>
      <c r="AS239" s="7">
        <v>0</v>
      </c>
      <c r="AT239" s="7">
        <v>0</v>
      </c>
      <c r="AU239" s="7">
        <v>0</v>
      </c>
      <c r="AV239" s="7">
        <v>0</v>
      </c>
      <c r="AW239" s="7">
        <v>31</v>
      </c>
      <c r="AX239" s="7">
        <v>0</v>
      </c>
      <c r="AY239" s="5">
        <v>7.5</v>
      </c>
      <c r="AZ239" s="7">
        <v>0</v>
      </c>
      <c r="BA239" s="7">
        <v>0</v>
      </c>
      <c r="BB239" s="7">
        <v>0</v>
      </c>
      <c r="BC239" s="7">
        <v>1</v>
      </c>
      <c r="BD239" s="7">
        <v>1</v>
      </c>
      <c r="BE239" s="7">
        <v>0</v>
      </c>
      <c r="BF239" s="7">
        <v>0</v>
      </c>
      <c r="BG239" s="7">
        <v>0</v>
      </c>
      <c r="BH239" s="7">
        <v>0</v>
      </c>
      <c r="BI239" s="7">
        <v>0</v>
      </c>
      <c r="BJ239" s="7">
        <v>1</v>
      </c>
      <c r="BK239" s="11">
        <v>1</v>
      </c>
      <c r="BL239" s="7" t="s">
        <v>1129</v>
      </c>
      <c r="BM239" s="7">
        <v>1</v>
      </c>
    </row>
    <row r="240" spans="1:65" ht="30" customHeight="1" x14ac:dyDescent="0.3">
      <c r="A240" s="3" t="s">
        <v>137</v>
      </c>
      <c r="B240" s="3">
        <v>11</v>
      </c>
      <c r="C240" s="8">
        <v>44449</v>
      </c>
      <c r="D240" s="9">
        <v>0.63541666666666663</v>
      </c>
      <c r="E240" s="4">
        <v>93</v>
      </c>
      <c r="F240" s="3">
        <v>0</v>
      </c>
      <c r="G240" s="3">
        <v>0</v>
      </c>
      <c r="H240" s="3">
        <v>0</v>
      </c>
      <c r="I240" s="3">
        <v>0.25</v>
      </c>
      <c r="J240" s="9">
        <v>0.30694444444444441</v>
      </c>
      <c r="K240" s="3">
        <v>145.4</v>
      </c>
      <c r="L240" s="11">
        <f t="shared" ref="L240" si="453">K240-K239</f>
        <v>1.4000000000000057</v>
      </c>
      <c r="M240" s="5">
        <f t="shared" ref="M240" si="454">AB239</f>
        <v>1850</v>
      </c>
      <c r="N240" s="11">
        <v>31.125</v>
      </c>
      <c r="O240" s="11">
        <v>32.875</v>
      </c>
      <c r="P240" s="11">
        <v>11</v>
      </c>
      <c r="Q240" s="11">
        <v>11</v>
      </c>
      <c r="R240" s="11">
        <v>20.25</v>
      </c>
      <c r="S240" s="11">
        <v>20.25</v>
      </c>
      <c r="T240" s="11">
        <v>17</v>
      </c>
      <c r="U240" s="11">
        <v>17</v>
      </c>
      <c r="V240" s="11">
        <v>16</v>
      </c>
      <c r="W240" s="11">
        <v>15</v>
      </c>
      <c r="X240" s="11">
        <v>7</v>
      </c>
      <c r="Y240" s="11">
        <v>7</v>
      </c>
      <c r="Z240" s="3" t="s">
        <v>1268</v>
      </c>
      <c r="AA240" s="10" t="s">
        <v>1267</v>
      </c>
      <c r="AB240" s="12">
        <f>630+420+200+240+80+11.5+0</f>
        <v>1581.5</v>
      </c>
      <c r="AC240" s="6">
        <f>36+16+13+2+5+0+0</f>
        <v>72</v>
      </c>
      <c r="AD240" s="6">
        <f>13.5+4+12+1+3.5+0+0</f>
        <v>34</v>
      </c>
      <c r="AE240" s="6">
        <f>18+10+2+8+6+0+0</f>
        <v>44</v>
      </c>
      <c r="AF240" s="6">
        <f>51+62+22+46+2+2.3+0</f>
        <v>185.3</v>
      </c>
      <c r="AG240" s="6">
        <f>0+2+2+2+0+0+0</f>
        <v>6</v>
      </c>
      <c r="AH240" s="6">
        <f>1050+640+20+630+190+920+55</f>
        <v>3505</v>
      </c>
      <c r="AI240" s="6">
        <f t="shared" si="400"/>
        <v>4.5526398988302241E-2</v>
      </c>
      <c r="AJ240" s="6">
        <f t="shared" si="401"/>
        <v>2.1498577300031615E-2</v>
      </c>
      <c r="AK240" s="6">
        <f t="shared" si="402"/>
        <v>2.7821688270629148E-2</v>
      </c>
      <c r="AL240" s="6">
        <f t="shared" si="403"/>
        <v>0.11716724628517231</v>
      </c>
      <c r="AM240" s="6">
        <f t="shared" si="404"/>
        <v>3.7938665823585203E-3</v>
      </c>
      <c r="AN240" s="6">
        <f t="shared" si="405"/>
        <v>2.2162503951944355</v>
      </c>
      <c r="AO240" s="7">
        <v>5</v>
      </c>
      <c r="AP240" s="7">
        <v>1</v>
      </c>
      <c r="AQ240" s="7">
        <v>0</v>
      </c>
      <c r="AR240" s="10" t="s">
        <v>1265</v>
      </c>
      <c r="AS240" s="7">
        <v>0</v>
      </c>
      <c r="AT240" s="7">
        <v>0</v>
      </c>
      <c r="AU240" s="7">
        <v>0</v>
      </c>
      <c r="AV240" s="7">
        <v>0</v>
      </c>
      <c r="AW240" s="7">
        <v>31</v>
      </c>
      <c r="AX240" s="7">
        <v>1</v>
      </c>
      <c r="AY240" s="5">
        <v>6.25</v>
      </c>
      <c r="AZ240" s="7">
        <v>0</v>
      </c>
      <c r="BA240" s="7">
        <v>0</v>
      </c>
      <c r="BB240" s="7">
        <v>0</v>
      </c>
      <c r="BC240" s="7">
        <v>1</v>
      </c>
      <c r="BD240" s="7">
        <v>1</v>
      </c>
      <c r="BE240" s="7">
        <v>0</v>
      </c>
      <c r="BF240" s="7">
        <v>1</v>
      </c>
      <c r="BG240" s="7">
        <v>15</v>
      </c>
      <c r="BH240" s="7">
        <v>0</v>
      </c>
      <c r="BI240" s="7">
        <v>0</v>
      </c>
      <c r="BJ240" s="7">
        <v>1</v>
      </c>
      <c r="BK240" s="11">
        <v>1</v>
      </c>
      <c r="BL240" s="7" t="s">
        <v>1129</v>
      </c>
      <c r="BM240" s="7">
        <v>1</v>
      </c>
    </row>
    <row r="241" spans="1:65" ht="30" customHeight="1" x14ac:dyDescent="0.3">
      <c r="A241" s="3" t="s">
        <v>19</v>
      </c>
      <c r="B241" s="3">
        <v>12</v>
      </c>
      <c r="C241" s="8">
        <v>44450</v>
      </c>
      <c r="D241" s="9">
        <v>0.76041666666666663</v>
      </c>
      <c r="E241" s="4">
        <v>92</v>
      </c>
      <c r="F241" s="3">
        <v>5</v>
      </c>
      <c r="G241" s="3">
        <v>3</v>
      </c>
      <c r="H241" s="3">
        <v>15</v>
      </c>
      <c r="I241" s="3">
        <v>0.25</v>
      </c>
      <c r="J241" s="9">
        <v>0.26597222222222222</v>
      </c>
      <c r="K241" s="3">
        <v>145.6</v>
      </c>
      <c r="L241" s="11">
        <f t="shared" ref="L241" si="455">K241-K240</f>
        <v>0.19999999999998863</v>
      </c>
      <c r="M241" s="5">
        <f t="shared" ref="M241" si="456">AB240</f>
        <v>1581.5</v>
      </c>
      <c r="N241" s="11">
        <v>30.5</v>
      </c>
      <c r="O241" s="11">
        <v>32.25</v>
      </c>
      <c r="P241" s="11">
        <v>10.875</v>
      </c>
      <c r="Q241" s="11">
        <v>11.125</v>
      </c>
      <c r="R241" s="11">
        <v>20.125</v>
      </c>
      <c r="S241" s="11">
        <v>20.375</v>
      </c>
      <c r="T241" s="11">
        <v>15</v>
      </c>
      <c r="U241" s="11">
        <v>16</v>
      </c>
      <c r="V241" s="11">
        <v>15</v>
      </c>
      <c r="W241" s="11">
        <v>15</v>
      </c>
      <c r="X241" s="11">
        <v>7</v>
      </c>
      <c r="Y241" s="11">
        <v>7</v>
      </c>
      <c r="Z241" s="3" t="s">
        <v>1274</v>
      </c>
      <c r="AA241" s="10" t="s">
        <v>1273</v>
      </c>
      <c r="AB241" s="5">
        <f>240+80+5.75+0+240+640+187+380+75+242</f>
        <v>2089.75</v>
      </c>
      <c r="AC241" s="6">
        <f>2+5+0+2+0+9+17+5+22</f>
        <v>62</v>
      </c>
      <c r="AD241" s="6">
        <f>1+3.5+0+0+1+0+1+9+5+3</f>
        <v>23.5</v>
      </c>
      <c r="AE241" s="6">
        <f>8+6+0+0+8+8+0+9+1+3</f>
        <v>43</v>
      </c>
      <c r="AF241" s="6">
        <f>46+2+1.15+0+46+152+27+48+8+13</f>
        <v>343.15</v>
      </c>
      <c r="AG241" s="6">
        <f>2+0+0+0+2+0+3+3+1+14</f>
        <v>25</v>
      </c>
      <c r="AH241" s="6">
        <f>630+190+460+55+630+160+20+880+8+11</f>
        <v>3044</v>
      </c>
      <c r="AI241" s="6">
        <f t="shared" si="400"/>
        <v>2.9668620648402918E-2</v>
      </c>
      <c r="AJ241" s="6">
        <f t="shared" si="401"/>
        <v>1.1245364278023686E-2</v>
      </c>
      <c r="AK241" s="6">
        <f t="shared" si="402"/>
        <v>2.0576623998085894E-2</v>
      </c>
      <c r="AL241" s="6">
        <f t="shared" si="403"/>
        <v>0.16420624476612034</v>
      </c>
      <c r="AM241" s="6">
        <f t="shared" si="404"/>
        <v>1.1963153487259242E-2</v>
      </c>
      <c r="AN241" s="6">
        <f t="shared" si="405"/>
        <v>1.4566335686086853</v>
      </c>
      <c r="AO241" s="7">
        <v>5</v>
      </c>
      <c r="AP241" s="7">
        <v>1</v>
      </c>
      <c r="AQ241" s="7">
        <v>0</v>
      </c>
      <c r="AR241" s="10" t="s">
        <v>1271</v>
      </c>
      <c r="AS241" s="7">
        <v>0</v>
      </c>
      <c r="AT241" s="7">
        <v>0</v>
      </c>
      <c r="AU241" s="7">
        <v>0</v>
      </c>
      <c r="AV241" s="7">
        <v>0</v>
      </c>
      <c r="AW241" s="7">
        <v>31</v>
      </c>
      <c r="AX241" s="7">
        <v>1</v>
      </c>
      <c r="AY241" s="5">
        <v>5.75</v>
      </c>
      <c r="AZ241" s="7">
        <v>0</v>
      </c>
      <c r="BA241" s="7">
        <v>0</v>
      </c>
      <c r="BB241" s="7">
        <v>0</v>
      </c>
      <c r="BC241" s="7">
        <v>1</v>
      </c>
      <c r="BD241" s="7">
        <v>1</v>
      </c>
      <c r="BE241" s="7">
        <v>0</v>
      </c>
      <c r="BF241" s="7">
        <v>0</v>
      </c>
      <c r="BG241" s="7">
        <v>0</v>
      </c>
      <c r="BH241" s="7">
        <v>0</v>
      </c>
      <c r="BI241" s="7">
        <v>0</v>
      </c>
      <c r="BJ241" s="7">
        <v>1</v>
      </c>
      <c r="BK241" s="11">
        <v>2</v>
      </c>
      <c r="BL241" s="7" t="s">
        <v>1129</v>
      </c>
      <c r="BM241" s="7">
        <v>1</v>
      </c>
    </row>
    <row r="242" spans="1:65" ht="30" customHeight="1" x14ac:dyDescent="0.3">
      <c r="A242" s="3" t="s">
        <v>23</v>
      </c>
      <c r="B242" s="3">
        <v>13</v>
      </c>
      <c r="C242" s="8">
        <v>44451</v>
      </c>
      <c r="D242" s="9">
        <v>0.2986111111111111</v>
      </c>
      <c r="E242" s="4">
        <v>72</v>
      </c>
      <c r="F242" s="3">
        <v>0</v>
      </c>
      <c r="G242" s="3">
        <v>0</v>
      </c>
      <c r="H242" s="3">
        <v>0</v>
      </c>
      <c r="I242" s="3">
        <v>0</v>
      </c>
      <c r="J242" s="9">
        <v>0.30902777777777779</v>
      </c>
      <c r="K242" s="3">
        <v>145.4</v>
      </c>
      <c r="L242" s="11">
        <f t="shared" ref="L242" si="457">K242-K241</f>
        <v>-0.19999999999998863</v>
      </c>
      <c r="M242" s="5">
        <f t="shared" ref="M242" si="458">AB241</f>
        <v>2089.75</v>
      </c>
      <c r="N242" s="11">
        <v>30.625</v>
      </c>
      <c r="O242" s="11">
        <v>32.625</v>
      </c>
      <c r="P242" s="11">
        <v>11</v>
      </c>
      <c r="Q242" s="11">
        <v>11</v>
      </c>
      <c r="R242" s="11">
        <v>20.25</v>
      </c>
      <c r="S242" s="11">
        <v>20.125</v>
      </c>
      <c r="T242" s="11">
        <v>15</v>
      </c>
      <c r="U242" s="11">
        <v>16</v>
      </c>
      <c r="V242" s="11">
        <v>17</v>
      </c>
      <c r="W242" s="11">
        <v>17</v>
      </c>
      <c r="X242" s="11">
        <v>7</v>
      </c>
      <c r="Y242" s="11">
        <v>7</v>
      </c>
      <c r="Z242" s="3" t="s">
        <v>1275</v>
      </c>
      <c r="AA242" s="10" t="s">
        <v>1277</v>
      </c>
      <c r="AB242" s="5">
        <f>420+480+280+579+51</f>
        <v>1810</v>
      </c>
      <c r="AC242" s="6">
        <f>16+0+14+11+5</f>
        <v>46</v>
      </c>
      <c r="AD242" s="6">
        <f>4+0+2+2+3</f>
        <v>11</v>
      </c>
      <c r="AE242" s="6">
        <f>10+6+0+18+1</f>
        <v>35</v>
      </c>
      <c r="AF242" s="6">
        <f>62+114+40+102+0.4</f>
        <v>318.39999999999998</v>
      </c>
      <c r="AG242" s="6">
        <f>2+0+4+8+0</f>
        <v>14</v>
      </c>
      <c r="AH242" s="6">
        <f>640+120+30+1731+43</f>
        <v>2564</v>
      </c>
      <c r="AI242" s="6">
        <f t="shared" si="400"/>
        <v>2.541436464088398E-2</v>
      </c>
      <c r="AJ242" s="6">
        <f t="shared" si="401"/>
        <v>6.0773480662983425E-3</v>
      </c>
      <c r="AK242" s="6">
        <f t="shared" si="402"/>
        <v>1.9337016574585635E-2</v>
      </c>
      <c r="AL242" s="6">
        <f t="shared" si="403"/>
        <v>0.17591160220994473</v>
      </c>
      <c r="AM242" s="6">
        <f t="shared" si="404"/>
        <v>7.7348066298342545E-3</v>
      </c>
      <c r="AN242" s="6">
        <f t="shared" si="405"/>
        <v>1.4165745856353591</v>
      </c>
      <c r="AO242" s="7">
        <v>4</v>
      </c>
      <c r="AP242" s="7">
        <v>1</v>
      </c>
      <c r="AQ242" s="7">
        <v>0</v>
      </c>
      <c r="AR242" s="7">
        <v>0</v>
      </c>
      <c r="AS242" s="7">
        <v>0</v>
      </c>
      <c r="AT242" s="7">
        <v>0</v>
      </c>
      <c r="AU242" s="7">
        <v>0</v>
      </c>
      <c r="AV242" s="7">
        <v>0</v>
      </c>
      <c r="AW242" s="7">
        <v>31</v>
      </c>
      <c r="AX242" s="7">
        <v>1</v>
      </c>
      <c r="AY242" s="5">
        <v>6.5</v>
      </c>
      <c r="AZ242" s="7">
        <v>0</v>
      </c>
      <c r="BA242" s="7">
        <v>0</v>
      </c>
      <c r="BB242" s="7">
        <v>0</v>
      </c>
      <c r="BC242" s="7">
        <v>1</v>
      </c>
      <c r="BD242" s="7">
        <v>1</v>
      </c>
      <c r="BE242" s="7">
        <v>0</v>
      </c>
      <c r="BF242" s="7">
        <v>0</v>
      </c>
      <c r="BG242" s="7">
        <v>0</v>
      </c>
      <c r="BH242" s="7">
        <v>0</v>
      </c>
      <c r="BI242" s="7">
        <v>0</v>
      </c>
      <c r="BJ242" s="7">
        <v>1</v>
      </c>
      <c r="BK242" s="11">
        <v>2</v>
      </c>
      <c r="BL242" s="7" t="s">
        <v>1129</v>
      </c>
      <c r="BM242" s="7">
        <v>1</v>
      </c>
    </row>
    <row r="243" spans="1:65" ht="30" customHeight="1" x14ac:dyDescent="0.3">
      <c r="A243" s="3" t="s">
        <v>15</v>
      </c>
      <c r="B243" s="3">
        <v>14</v>
      </c>
      <c r="C243" s="8">
        <v>44452</v>
      </c>
      <c r="D243" s="9">
        <v>0.63541666666666663</v>
      </c>
      <c r="E243" s="4">
        <v>100</v>
      </c>
      <c r="F243" s="3">
        <v>0</v>
      </c>
      <c r="G243" s="3">
        <v>0</v>
      </c>
      <c r="H243" s="3">
        <v>0</v>
      </c>
      <c r="I243" s="3">
        <v>0.5</v>
      </c>
      <c r="J243" s="9">
        <v>0.34236111111111112</v>
      </c>
      <c r="K243" s="3">
        <v>147.19999999999999</v>
      </c>
      <c r="L243" s="11">
        <f t="shared" ref="L243" si="459">K243-K242</f>
        <v>1.7999999999999829</v>
      </c>
      <c r="M243" s="5">
        <f t="shared" ref="M243" si="460">AB242</f>
        <v>1810</v>
      </c>
      <c r="N243" s="11">
        <v>31</v>
      </c>
      <c r="O243" s="11">
        <v>32.5</v>
      </c>
      <c r="P243" s="11">
        <v>10.75</v>
      </c>
      <c r="Q243" s="11">
        <v>11</v>
      </c>
      <c r="R243" s="11">
        <v>20.375</v>
      </c>
      <c r="S243" s="11">
        <v>20.375</v>
      </c>
      <c r="T243" s="11">
        <v>17</v>
      </c>
      <c r="U243" s="11">
        <v>16</v>
      </c>
      <c r="V243" s="11">
        <v>17</v>
      </c>
      <c r="W243" s="11">
        <v>15</v>
      </c>
      <c r="X243" s="11">
        <v>7</v>
      </c>
      <c r="Y243" s="11">
        <v>7</v>
      </c>
      <c r="Z243" s="3" t="s">
        <v>1281</v>
      </c>
      <c r="AA243" s="10" t="s">
        <v>1283</v>
      </c>
      <c r="AB243" s="5">
        <f>315+230+60+240+300+80+6+0+220</f>
        <v>1451</v>
      </c>
      <c r="AC243" s="6">
        <f>12+1+4+0+12+5+0+0+4.5</f>
        <v>38.5</v>
      </c>
      <c r="AD243" s="6">
        <f>3+1+3+0+2+3.5+0+0+2.5</f>
        <v>15</v>
      </c>
      <c r="AE243" s="6">
        <f>8+8+5+3+4+6+0+0+7</f>
        <v>41</v>
      </c>
      <c r="AF243" s="6">
        <f>47+46+2+57+40+2+1+0+39</f>
        <v>234</v>
      </c>
      <c r="AG243" s="6">
        <f>1.5+2+0+0+2+0+0+0+1</f>
        <v>6.5</v>
      </c>
      <c r="AH243" s="6">
        <f>480+400+143+60+720+190+460+55+280</f>
        <v>2788</v>
      </c>
      <c r="AI243" s="6">
        <f t="shared" si="400"/>
        <v>2.653342522398346E-2</v>
      </c>
      <c r="AJ243" s="6">
        <f t="shared" si="401"/>
        <v>1.0337698139214336E-2</v>
      </c>
      <c r="AK243" s="6">
        <f t="shared" si="402"/>
        <v>2.8256374913852515E-2</v>
      </c>
      <c r="AL243" s="6">
        <f t="shared" si="403"/>
        <v>0.16126809097174363</v>
      </c>
      <c r="AM243" s="6">
        <f t="shared" si="404"/>
        <v>4.4796691936595454E-3</v>
      </c>
      <c r="AN243" s="6">
        <f t="shared" si="405"/>
        <v>1.9214334941419711</v>
      </c>
      <c r="AO243" s="7">
        <v>5</v>
      </c>
      <c r="AP243" s="7">
        <v>1</v>
      </c>
      <c r="AQ243" s="7">
        <v>0</v>
      </c>
      <c r="AR243" s="10" t="s">
        <v>1280</v>
      </c>
      <c r="AS243" s="7" t="s">
        <v>1279</v>
      </c>
      <c r="AT243" s="7">
        <v>0</v>
      </c>
      <c r="AU243" s="7">
        <f>20+10+3+5+10</f>
        <v>48</v>
      </c>
      <c r="AV243" s="7">
        <v>0</v>
      </c>
      <c r="AW243" s="7">
        <v>31</v>
      </c>
      <c r="AX243" s="7">
        <v>1</v>
      </c>
      <c r="AY243" s="5">
        <v>5</v>
      </c>
      <c r="AZ243" s="7">
        <v>0</v>
      </c>
      <c r="BA243" s="7">
        <v>0</v>
      </c>
      <c r="BB243" s="7">
        <v>0</v>
      </c>
      <c r="BC243" s="7">
        <v>1</v>
      </c>
      <c r="BD243" s="7">
        <v>1</v>
      </c>
      <c r="BE243" s="7">
        <v>0</v>
      </c>
      <c r="BF243" s="7">
        <v>0</v>
      </c>
      <c r="BG243" s="7">
        <v>0</v>
      </c>
      <c r="BH243" s="7">
        <v>0</v>
      </c>
      <c r="BI243" s="7">
        <v>0</v>
      </c>
      <c r="BJ243" s="7">
        <v>1</v>
      </c>
      <c r="BK243" s="11">
        <v>1</v>
      </c>
      <c r="BL243" s="7" t="s">
        <v>1129</v>
      </c>
      <c r="BM243" s="7">
        <v>1</v>
      </c>
    </row>
    <row r="244" spans="1:65" ht="30" customHeight="1" x14ac:dyDescent="0.3">
      <c r="A244" s="3" t="s">
        <v>16</v>
      </c>
      <c r="B244" s="3">
        <v>15</v>
      </c>
      <c r="C244" s="8">
        <v>44453</v>
      </c>
      <c r="D244" s="9">
        <v>0.5625</v>
      </c>
      <c r="E244" s="4">
        <v>90</v>
      </c>
      <c r="F244" s="3">
        <v>7</v>
      </c>
      <c r="G244" s="3">
        <v>3</v>
      </c>
      <c r="H244" s="3">
        <v>21</v>
      </c>
      <c r="I244" s="3">
        <v>0.5</v>
      </c>
      <c r="J244" s="9">
        <v>0.3347222222222222</v>
      </c>
      <c r="K244" s="3">
        <v>145.80000000000001</v>
      </c>
      <c r="L244" s="11">
        <f t="shared" ref="L244" si="461">K244-K243</f>
        <v>-1.3999999999999773</v>
      </c>
      <c r="M244" s="5">
        <f t="shared" ref="M244" si="462">AB243</f>
        <v>1451</v>
      </c>
      <c r="N244" s="11">
        <v>30.5</v>
      </c>
      <c r="O244" s="11">
        <v>32.75</v>
      </c>
      <c r="P244" s="11">
        <v>10.875</v>
      </c>
      <c r="Q244" s="11">
        <v>10.875</v>
      </c>
      <c r="R244" s="11">
        <v>19.625</v>
      </c>
      <c r="S244" s="11">
        <v>20.125</v>
      </c>
      <c r="T244" s="11">
        <v>17</v>
      </c>
      <c r="U244" s="11">
        <v>17</v>
      </c>
      <c r="V244" s="11">
        <v>17</v>
      </c>
      <c r="W244" s="11">
        <v>17</v>
      </c>
      <c r="X244" s="11">
        <v>7</v>
      </c>
      <c r="Y244" s="11">
        <v>7</v>
      </c>
      <c r="Z244" s="3" t="s">
        <v>1286</v>
      </c>
      <c r="AA244" s="10" t="s">
        <v>1285</v>
      </c>
      <c r="AB244" s="5">
        <f>520+120+0+10+13+400+240+230+220+230</f>
        <v>1983</v>
      </c>
      <c r="AC244" s="6">
        <f>36+8+0+0+1+24+0+1+5+1</f>
        <v>76</v>
      </c>
      <c r="AD244" s="6">
        <f>10+5+0+0+1+13+0+1+3+1</f>
        <v>34</v>
      </c>
      <c r="AE244" s="6">
        <f>40+9+0+0+0+8+3+8+7+8</f>
        <v>83</v>
      </c>
      <c r="AF244" s="6">
        <f>10+3+0+2+1+45+57+46+39+46</f>
        <v>249</v>
      </c>
      <c r="AG244" s="6">
        <f>4+0+0+0+0+3+0+2+1+2</f>
        <v>12</v>
      </c>
      <c r="AH244" s="6">
        <f>700+285+110+800+1+133+60+400+280+400</f>
        <v>3169</v>
      </c>
      <c r="AI244" s="6">
        <f t="shared" si="400"/>
        <v>3.8325769036812909E-2</v>
      </c>
      <c r="AJ244" s="6">
        <f t="shared" si="401"/>
        <v>1.7145738779626829E-2</v>
      </c>
      <c r="AK244" s="6">
        <f t="shared" si="402"/>
        <v>4.1855774079677256E-2</v>
      </c>
      <c r="AL244" s="6">
        <f t="shared" si="403"/>
        <v>0.12556732223903178</v>
      </c>
      <c r="AM244" s="6">
        <f t="shared" si="404"/>
        <v>6.0514372163388806E-3</v>
      </c>
      <c r="AN244" s="6">
        <f t="shared" si="405"/>
        <v>1.5980837115481594</v>
      </c>
      <c r="AO244" s="7">
        <v>5</v>
      </c>
      <c r="AP244" s="7">
        <v>1</v>
      </c>
      <c r="AQ244" s="7">
        <v>0</v>
      </c>
      <c r="AR244" s="10" t="s">
        <v>1284</v>
      </c>
      <c r="AS244" s="7">
        <v>0</v>
      </c>
      <c r="AT244" s="7">
        <v>0</v>
      </c>
      <c r="AU244" s="7">
        <v>0</v>
      </c>
      <c r="AV244" s="7">
        <v>0</v>
      </c>
      <c r="AW244" s="7">
        <v>31</v>
      </c>
      <c r="AX244" s="7">
        <v>1</v>
      </c>
      <c r="AY244" s="5">
        <v>6.5</v>
      </c>
      <c r="AZ244" s="7">
        <v>0</v>
      </c>
      <c r="BA244" s="7">
        <v>0</v>
      </c>
      <c r="BB244" s="7">
        <v>0</v>
      </c>
      <c r="BC244" s="7">
        <v>1</v>
      </c>
      <c r="BD244" s="7">
        <v>1</v>
      </c>
      <c r="BE244" s="7">
        <v>0</v>
      </c>
      <c r="BF244" s="7">
        <v>0</v>
      </c>
      <c r="BG244" s="7">
        <v>0</v>
      </c>
      <c r="BH244" s="7">
        <v>0</v>
      </c>
      <c r="BI244" s="7">
        <v>0</v>
      </c>
      <c r="BJ244" s="7">
        <v>1</v>
      </c>
      <c r="BK244" s="11">
        <v>1</v>
      </c>
      <c r="BL244" s="7" t="s">
        <v>1129</v>
      </c>
      <c r="BM244" s="7">
        <v>1</v>
      </c>
    </row>
    <row r="245" spans="1:65" ht="30" customHeight="1" x14ac:dyDescent="0.3">
      <c r="A245" s="3" t="s">
        <v>17</v>
      </c>
      <c r="B245" s="3">
        <v>16</v>
      </c>
      <c r="C245" s="8">
        <v>44454</v>
      </c>
      <c r="D245" s="9">
        <v>0.27083333333333331</v>
      </c>
      <c r="E245" s="4">
        <v>61</v>
      </c>
      <c r="F245" s="3">
        <v>0</v>
      </c>
      <c r="G245" s="3">
        <v>0</v>
      </c>
      <c r="H245" s="3">
        <v>0</v>
      </c>
      <c r="I245" s="3">
        <v>0</v>
      </c>
      <c r="J245" s="9">
        <v>0.30694444444444441</v>
      </c>
      <c r="K245" s="3">
        <v>142.80000000000001</v>
      </c>
      <c r="L245" s="11">
        <f t="shared" ref="L245" si="463">K245-K244</f>
        <v>-3</v>
      </c>
      <c r="M245" s="5">
        <f t="shared" ref="M245" si="464">AB244</f>
        <v>1983</v>
      </c>
      <c r="N245" s="11">
        <v>30.5</v>
      </c>
      <c r="O245" s="11">
        <v>32.75</v>
      </c>
      <c r="P245" s="11">
        <v>10.875</v>
      </c>
      <c r="Q245" s="11">
        <v>10.875</v>
      </c>
      <c r="R245" s="11">
        <v>19.75</v>
      </c>
      <c r="S245" s="11">
        <v>20.25</v>
      </c>
      <c r="T245" s="11">
        <v>15</v>
      </c>
      <c r="U245" s="11">
        <v>15</v>
      </c>
      <c r="V245" s="11">
        <v>16</v>
      </c>
      <c r="W245" s="11">
        <v>15</v>
      </c>
      <c r="X245" s="11">
        <v>7</v>
      </c>
      <c r="Y245" s="11">
        <v>7</v>
      </c>
      <c r="Z245" s="3" t="s">
        <v>1287</v>
      </c>
      <c r="AA245" s="10" t="s">
        <v>1288</v>
      </c>
      <c r="AB245" s="5">
        <f>460+120+760+240+720+630+360</f>
        <v>3290</v>
      </c>
      <c r="AC245" s="6">
        <f>2+7.5+34+2+0+31.5+14.4</f>
        <v>91.4</v>
      </c>
      <c r="AD245" s="6">
        <f>1+5.25+18+0.5+0+4.5+2.4</f>
        <v>31.65</v>
      </c>
      <c r="AE245" s="6">
        <f>1+5.25+18+0.5+0+4.5+2.4</f>
        <v>31.65</v>
      </c>
      <c r="AF245" s="6">
        <f>92+3+96+46+171+90+48</f>
        <v>546</v>
      </c>
      <c r="AG245" s="6">
        <f>4+0+6+2+0+9+2.4</f>
        <v>23.4</v>
      </c>
      <c r="AH245" s="6">
        <f>800+285+1760+630+180+67.5+864</f>
        <v>4586.5</v>
      </c>
      <c r="AI245" s="6">
        <f t="shared" si="400"/>
        <v>2.7781155015197571E-2</v>
      </c>
      <c r="AJ245" s="6">
        <f t="shared" si="401"/>
        <v>9.6200607902735564E-3</v>
      </c>
      <c r="AK245" s="6">
        <f t="shared" si="402"/>
        <v>9.6200607902735564E-3</v>
      </c>
      <c r="AL245" s="6">
        <f t="shared" si="403"/>
        <v>0.16595744680851063</v>
      </c>
      <c r="AM245" s="6">
        <f t="shared" si="404"/>
        <v>7.112462006079027E-3</v>
      </c>
      <c r="AN245" s="6">
        <f t="shared" si="405"/>
        <v>1.3940729483282674</v>
      </c>
      <c r="AO245" s="7">
        <v>5</v>
      </c>
      <c r="AP245" s="7">
        <v>1</v>
      </c>
      <c r="AQ245" s="7">
        <v>0</v>
      </c>
      <c r="AR245" s="7">
        <v>0</v>
      </c>
      <c r="AS245" s="7">
        <v>0</v>
      </c>
      <c r="AT245" s="7">
        <v>0</v>
      </c>
      <c r="AU245" s="7">
        <v>0</v>
      </c>
      <c r="AV245" s="7">
        <v>0</v>
      </c>
      <c r="AW245" s="7">
        <v>31</v>
      </c>
      <c r="AX245" s="7">
        <v>1</v>
      </c>
      <c r="AY245" s="5">
        <v>6</v>
      </c>
      <c r="AZ245" s="7">
        <v>0</v>
      </c>
      <c r="BA245" s="7">
        <v>0</v>
      </c>
      <c r="BB245" s="7">
        <v>0</v>
      </c>
      <c r="BC245" s="7">
        <v>1</v>
      </c>
      <c r="BD245" s="7">
        <v>1</v>
      </c>
      <c r="BE245" s="7">
        <v>0</v>
      </c>
      <c r="BF245" s="7">
        <v>0</v>
      </c>
      <c r="BG245" s="7">
        <v>0</v>
      </c>
      <c r="BH245" s="7">
        <v>0</v>
      </c>
      <c r="BI245" s="7">
        <v>0</v>
      </c>
      <c r="BJ245" s="7">
        <v>1</v>
      </c>
      <c r="BK245" s="11">
        <v>1</v>
      </c>
      <c r="BL245" s="7" t="s">
        <v>1129</v>
      </c>
      <c r="BM245" s="7">
        <v>1</v>
      </c>
    </row>
    <row r="246" spans="1:65" ht="30" customHeight="1" x14ac:dyDescent="0.3">
      <c r="A246" s="3" t="s">
        <v>18</v>
      </c>
      <c r="B246" s="3">
        <v>17</v>
      </c>
      <c r="C246" s="8">
        <v>44455</v>
      </c>
      <c r="D246" s="9">
        <v>0.25</v>
      </c>
      <c r="E246" s="4">
        <v>61</v>
      </c>
      <c r="F246" s="3">
        <v>0</v>
      </c>
      <c r="G246" s="3">
        <v>0</v>
      </c>
      <c r="H246" s="3">
        <v>0</v>
      </c>
      <c r="I246" s="3">
        <v>0</v>
      </c>
      <c r="J246" s="9">
        <v>0.40625</v>
      </c>
      <c r="K246" s="3">
        <v>149.80000000000001</v>
      </c>
      <c r="L246" s="11">
        <f t="shared" ref="L246" si="465">K246-K245</f>
        <v>7</v>
      </c>
      <c r="M246" s="5">
        <f t="shared" ref="M246" si="466">AB245</f>
        <v>3290</v>
      </c>
      <c r="N246" s="11">
        <v>30.625</v>
      </c>
      <c r="O246" s="11">
        <v>32.5</v>
      </c>
      <c r="P246" s="11">
        <v>11</v>
      </c>
      <c r="Q246" s="11">
        <v>10.875</v>
      </c>
      <c r="R246" s="11">
        <v>20.125</v>
      </c>
      <c r="S246" s="11">
        <v>20.375</v>
      </c>
      <c r="T246" s="11">
        <v>15</v>
      </c>
      <c r="U246" s="11">
        <v>14</v>
      </c>
      <c r="V246" s="11">
        <v>15</v>
      </c>
      <c r="W246" s="11">
        <v>15</v>
      </c>
      <c r="X246" s="11">
        <v>7</v>
      </c>
      <c r="Y246" s="11">
        <v>7</v>
      </c>
      <c r="Z246" s="3" t="s">
        <v>1290</v>
      </c>
      <c r="AA246" s="10" t="s">
        <v>1289</v>
      </c>
      <c r="AB246" s="5">
        <f>460+120+480+640+220+150+220+80+270</f>
        <v>2640</v>
      </c>
      <c r="AC246" s="6">
        <f>2+7.5+19.2+0+4.5+9+4.5+5+10.8</f>
        <v>62.5</v>
      </c>
      <c r="AD246" s="6">
        <f>1+5.25+3.2+0+2.5+5+2.5+3.5+1.8</f>
        <v>24.75</v>
      </c>
      <c r="AE246" s="6">
        <f>16+9+6.4+8+7+2+7+6+3.6</f>
        <v>65</v>
      </c>
      <c r="AF246" s="6">
        <f>92+3+64+152+39+17+39+2+36</f>
        <v>444</v>
      </c>
      <c r="AG246" s="6">
        <f>4+0+3.2+0+1+1+1+0+1.8</f>
        <v>12</v>
      </c>
      <c r="AH246" s="6">
        <f>800+285+1152+160+280+50+280+190+684</f>
        <v>3881</v>
      </c>
      <c r="AI246" s="6">
        <f t="shared" si="400"/>
        <v>2.3674242424242424E-2</v>
      </c>
      <c r="AJ246" s="6">
        <f t="shared" si="401"/>
        <v>9.3749999999999997E-3</v>
      </c>
      <c r="AK246" s="6">
        <f t="shared" si="402"/>
        <v>2.462121212121212E-2</v>
      </c>
      <c r="AL246" s="6">
        <f t="shared" si="403"/>
        <v>0.16818181818181818</v>
      </c>
      <c r="AM246" s="6">
        <f t="shared" si="404"/>
        <v>4.5454545454545452E-3</v>
      </c>
      <c r="AN246" s="6">
        <f t="shared" si="405"/>
        <v>1.4700757575757575</v>
      </c>
      <c r="AO246" s="7">
        <v>5</v>
      </c>
      <c r="AP246" s="7">
        <v>2</v>
      </c>
      <c r="AQ246" s="7">
        <v>0</v>
      </c>
      <c r="AR246" s="7">
        <v>0</v>
      </c>
      <c r="AS246" s="7">
        <v>0</v>
      </c>
      <c r="AT246" s="7">
        <v>0</v>
      </c>
      <c r="AU246" s="7">
        <v>0</v>
      </c>
      <c r="AV246" s="7">
        <v>0</v>
      </c>
      <c r="AW246" s="7">
        <v>31</v>
      </c>
      <c r="AX246" s="7">
        <v>1</v>
      </c>
      <c r="AY246" s="5">
        <v>5.5</v>
      </c>
      <c r="AZ246" s="7">
        <v>0</v>
      </c>
      <c r="BA246" s="7">
        <v>0</v>
      </c>
      <c r="BB246" s="7">
        <v>0</v>
      </c>
      <c r="BC246" s="7">
        <v>1</v>
      </c>
      <c r="BD246" s="7">
        <v>1</v>
      </c>
      <c r="BE246" s="7">
        <v>0</v>
      </c>
      <c r="BF246" s="7">
        <v>0</v>
      </c>
      <c r="BG246" s="7">
        <v>0</v>
      </c>
      <c r="BH246" s="7">
        <v>0</v>
      </c>
      <c r="BI246" s="7">
        <v>0</v>
      </c>
      <c r="BJ246" s="7">
        <v>1</v>
      </c>
      <c r="BK246" s="11">
        <v>3.5</v>
      </c>
      <c r="BL246" s="7" t="s">
        <v>1129</v>
      </c>
      <c r="BM246" s="7">
        <v>1</v>
      </c>
    </row>
    <row r="247" spans="1:65" ht="30" customHeight="1" x14ac:dyDescent="0.3">
      <c r="A247" s="3" t="s">
        <v>137</v>
      </c>
      <c r="B247" s="3">
        <v>18</v>
      </c>
      <c r="C247" s="8">
        <v>44456</v>
      </c>
      <c r="D247" s="9">
        <v>0.40625</v>
      </c>
      <c r="E247" s="4">
        <v>68</v>
      </c>
      <c r="F247" s="3">
        <v>0</v>
      </c>
      <c r="G247" s="3">
        <v>0</v>
      </c>
      <c r="H247" s="3">
        <v>0</v>
      </c>
      <c r="I247" s="3">
        <v>0.75</v>
      </c>
      <c r="J247" s="9">
        <v>0.3</v>
      </c>
      <c r="K247" s="3">
        <v>145.6</v>
      </c>
      <c r="L247" s="11">
        <f t="shared" ref="L247" si="467">K247-K246</f>
        <v>-4.2000000000000171</v>
      </c>
      <c r="M247" s="5">
        <f t="shared" ref="M247" si="468">AB246</f>
        <v>2640</v>
      </c>
      <c r="N247" s="11">
        <v>31.25</v>
      </c>
      <c r="O247" s="11">
        <v>33</v>
      </c>
      <c r="P247" s="11">
        <v>11</v>
      </c>
      <c r="Q247" s="11">
        <v>11.125</v>
      </c>
      <c r="R247" s="11">
        <v>19.5</v>
      </c>
      <c r="S247" s="11">
        <v>20</v>
      </c>
      <c r="T247" s="11">
        <v>14</v>
      </c>
      <c r="U247" s="11">
        <v>14</v>
      </c>
      <c r="V247" s="11">
        <v>17</v>
      </c>
      <c r="W247" s="11">
        <v>16</v>
      </c>
      <c r="X247" s="11">
        <v>7</v>
      </c>
      <c r="Y247" s="11">
        <v>7</v>
      </c>
      <c r="Z247" s="3" t="s">
        <v>1292</v>
      </c>
      <c r="AA247" s="10" t="s">
        <v>1298</v>
      </c>
      <c r="AB247" s="5">
        <f>440+180+7+0+240+19+400+110+240+380+200</f>
        <v>2216</v>
      </c>
      <c r="AC247" s="6">
        <f>9+11+0+0+17+0+0+0+17+17+9</f>
        <v>80</v>
      </c>
      <c r="AD247" s="6">
        <f>5+8+0+0+3+0+0+0+3+9+4</f>
        <v>32</v>
      </c>
      <c r="AE247" s="6">
        <f>14+14+0+0+4.5+2+5+12+5+9+9</f>
        <v>74.5</v>
      </c>
      <c r="AF247" s="6">
        <f>78+5+1+0+20+3+95+15+20+48+20</f>
        <v>305</v>
      </c>
      <c r="AG247" s="6">
        <f>2+0+0+0+3+1+0+0+3+3+2</f>
        <v>14</v>
      </c>
      <c r="AH247" s="6">
        <f>560+428+533+55+390+8+100+60+390+880+80</f>
        <v>3484</v>
      </c>
      <c r="AI247" s="6">
        <f t="shared" si="400"/>
        <v>3.6101083032490974E-2</v>
      </c>
      <c r="AJ247" s="6">
        <f t="shared" si="401"/>
        <v>1.444043321299639E-2</v>
      </c>
      <c r="AK247" s="6">
        <f t="shared" si="402"/>
        <v>3.3619133574007219E-2</v>
      </c>
      <c r="AL247" s="6">
        <f t="shared" si="403"/>
        <v>0.13763537906137185</v>
      </c>
      <c r="AM247" s="6">
        <f t="shared" si="404"/>
        <v>6.3176895306859202E-3</v>
      </c>
      <c r="AN247" s="6">
        <f t="shared" si="405"/>
        <v>1.5722021660649819</v>
      </c>
      <c r="AO247" s="7">
        <v>5</v>
      </c>
      <c r="AP247" s="7">
        <v>1</v>
      </c>
      <c r="AQ247" s="7">
        <v>0</v>
      </c>
      <c r="AR247" s="20" t="s">
        <v>1295</v>
      </c>
      <c r="AS247" s="7" t="s">
        <v>1294</v>
      </c>
      <c r="AT247" s="7">
        <v>0</v>
      </c>
      <c r="AU247" s="7">
        <f>10-10</f>
        <v>0</v>
      </c>
      <c r="AV247" s="7">
        <v>0</v>
      </c>
      <c r="AW247" s="7">
        <v>31</v>
      </c>
      <c r="AX247" s="7">
        <v>1</v>
      </c>
      <c r="AY247" s="5">
        <v>8.25</v>
      </c>
      <c r="AZ247" s="7">
        <v>0</v>
      </c>
      <c r="BA247" s="7">
        <v>1</v>
      </c>
      <c r="BB247" s="7">
        <v>0</v>
      </c>
      <c r="BC247" s="7">
        <v>1</v>
      </c>
      <c r="BD247" s="7">
        <v>1</v>
      </c>
      <c r="BE247" s="7">
        <v>0</v>
      </c>
      <c r="BF247" s="7">
        <v>0</v>
      </c>
      <c r="BG247" s="7">
        <v>0</v>
      </c>
      <c r="BH247" s="7">
        <v>0</v>
      </c>
      <c r="BI247" s="7">
        <v>0</v>
      </c>
      <c r="BJ247" s="7">
        <v>1</v>
      </c>
      <c r="BK247" s="11">
        <v>0</v>
      </c>
      <c r="BL247" s="3">
        <v>0</v>
      </c>
      <c r="BM247" s="7">
        <v>1</v>
      </c>
    </row>
    <row r="248" spans="1:65" ht="30" customHeight="1" x14ac:dyDescent="0.3">
      <c r="A248" s="3" t="s">
        <v>19</v>
      </c>
      <c r="B248" s="3">
        <v>19</v>
      </c>
      <c r="C248" s="8">
        <v>44457</v>
      </c>
      <c r="D248" s="9">
        <v>0.75</v>
      </c>
      <c r="E248" s="4">
        <v>79</v>
      </c>
      <c r="F248" s="3">
        <v>5</v>
      </c>
      <c r="G248" s="3">
        <v>3</v>
      </c>
      <c r="H248" s="3">
        <v>15</v>
      </c>
      <c r="I248" s="3">
        <v>0.4</v>
      </c>
      <c r="J248" s="9">
        <v>0.2638888888888889</v>
      </c>
      <c r="K248" s="3">
        <v>144.6</v>
      </c>
      <c r="L248" s="11">
        <f t="shared" ref="L248" si="469">K248-K247</f>
        <v>-1</v>
      </c>
      <c r="M248" s="5">
        <f t="shared" ref="M248" si="470">AB247</f>
        <v>2216</v>
      </c>
      <c r="N248" s="11">
        <v>30.5</v>
      </c>
      <c r="O248" s="11">
        <v>32.25</v>
      </c>
      <c r="P248" s="11">
        <v>10.875</v>
      </c>
      <c r="Q248" s="11">
        <v>10.875</v>
      </c>
      <c r="R248" s="11">
        <v>20.125</v>
      </c>
      <c r="S248" s="11">
        <v>20.125</v>
      </c>
      <c r="T248" s="11">
        <v>15</v>
      </c>
      <c r="U248" s="11">
        <v>15</v>
      </c>
      <c r="V248" s="11">
        <v>16</v>
      </c>
      <c r="W248" s="11">
        <v>15</v>
      </c>
      <c r="X248" s="11">
        <v>7</v>
      </c>
      <c r="Y248" s="11">
        <v>7</v>
      </c>
      <c r="Z248" s="3" t="s">
        <v>1301</v>
      </c>
      <c r="AA248" s="10" t="s">
        <v>1302</v>
      </c>
      <c r="AB248" s="5">
        <f>110+520+320+200+320+240+220+8+0+80</f>
        <v>2018</v>
      </c>
      <c r="AC248" s="6">
        <f>0+5+22+9+0+10+5+0+0+5</f>
        <v>56</v>
      </c>
      <c r="AD248" s="6">
        <f>0+0+4+4+0+2+3+0+0+3.5</f>
        <v>16.5</v>
      </c>
      <c r="AE248" s="6">
        <f>12+22+6+9+4+3+7+0+0+6</f>
        <v>69</v>
      </c>
      <c r="AF248" s="6">
        <f>15+96+26+20+76+32+39+2+0+2</f>
        <v>308</v>
      </c>
      <c r="AG248" s="6">
        <f>0+6+4+2+0+1.6+1+0+0+0</f>
        <v>14.6</v>
      </c>
      <c r="AH248" s="6">
        <f>60+760+520+80+80+576+280+640+55+190</f>
        <v>3241</v>
      </c>
      <c r="AI248" s="6">
        <f t="shared" si="400"/>
        <v>2.7750247770069375E-2</v>
      </c>
      <c r="AJ248" s="6">
        <f t="shared" si="401"/>
        <v>8.1764122893954409E-3</v>
      </c>
      <c r="AK248" s="6">
        <f t="shared" si="402"/>
        <v>3.4192269573835483E-2</v>
      </c>
      <c r="AL248" s="6">
        <f t="shared" si="403"/>
        <v>0.15262636273538158</v>
      </c>
      <c r="AM248" s="6">
        <f t="shared" si="404"/>
        <v>7.2348860257680867E-3</v>
      </c>
      <c r="AN248" s="6">
        <f t="shared" si="405"/>
        <v>1.606045589692765</v>
      </c>
      <c r="AO248" s="7">
        <v>5</v>
      </c>
      <c r="AP248" s="7">
        <v>1</v>
      </c>
      <c r="AQ248" s="7">
        <v>0</v>
      </c>
      <c r="AR248" s="10" t="s">
        <v>1300</v>
      </c>
      <c r="AS248" s="7">
        <v>0</v>
      </c>
      <c r="AT248" s="7">
        <v>0</v>
      </c>
      <c r="AU248" s="7">
        <v>0</v>
      </c>
      <c r="AV248" s="7">
        <v>0</v>
      </c>
      <c r="AW248" s="7">
        <v>31</v>
      </c>
      <c r="AX248" s="7">
        <v>1</v>
      </c>
      <c r="AY248" s="5">
        <v>6</v>
      </c>
      <c r="AZ248" s="7">
        <v>0</v>
      </c>
      <c r="BA248" s="7">
        <v>1</v>
      </c>
      <c r="BB248" s="7">
        <v>0</v>
      </c>
      <c r="BC248" s="7">
        <v>1</v>
      </c>
      <c r="BD248" s="7">
        <v>1</v>
      </c>
      <c r="BE248" s="7">
        <v>0</v>
      </c>
      <c r="BF248" s="7">
        <v>0</v>
      </c>
      <c r="BG248" s="7">
        <v>0</v>
      </c>
      <c r="BH248" s="7">
        <v>0</v>
      </c>
      <c r="BI248" s="7">
        <v>0</v>
      </c>
      <c r="BJ248" s="7">
        <v>1</v>
      </c>
      <c r="BK248" s="11">
        <v>0</v>
      </c>
      <c r="BL248" s="7">
        <v>0</v>
      </c>
      <c r="BM248" s="7">
        <v>1</v>
      </c>
    </row>
    <row r="249" spans="1:65" ht="30" customHeight="1" x14ac:dyDescent="0.3">
      <c r="A249" s="3" t="s">
        <v>23</v>
      </c>
      <c r="B249" s="3">
        <v>20</v>
      </c>
      <c r="C249" s="8">
        <v>44458</v>
      </c>
      <c r="D249" s="9">
        <v>0.29166666666666669</v>
      </c>
      <c r="E249" s="4">
        <v>56</v>
      </c>
      <c r="F249" s="3">
        <v>0</v>
      </c>
      <c r="G249" s="3">
        <v>0</v>
      </c>
      <c r="H249" s="3">
        <v>0</v>
      </c>
      <c r="I249" s="3">
        <v>0</v>
      </c>
      <c r="J249" s="9">
        <v>0.27916666666666667</v>
      </c>
      <c r="K249" s="3">
        <v>144.19999999999999</v>
      </c>
      <c r="L249" s="11">
        <f t="shared" ref="L249" si="471">K249-K248</f>
        <v>-0.40000000000000568</v>
      </c>
      <c r="M249" s="5">
        <f t="shared" ref="M249" si="472">AB248</f>
        <v>2018</v>
      </c>
      <c r="N249" s="11">
        <v>30.875</v>
      </c>
      <c r="O249" s="11">
        <v>32.625</v>
      </c>
      <c r="P249" s="11">
        <v>10.75</v>
      </c>
      <c r="Q249" s="11">
        <v>10.875</v>
      </c>
      <c r="R249" s="11">
        <v>20.125</v>
      </c>
      <c r="S249" s="11">
        <v>20.375</v>
      </c>
      <c r="T249" s="11">
        <v>15</v>
      </c>
      <c r="U249" s="11">
        <v>15</v>
      </c>
      <c r="V249" s="11">
        <v>17</v>
      </c>
      <c r="W249" s="11">
        <v>15</v>
      </c>
      <c r="X249" s="11">
        <v>7</v>
      </c>
      <c r="Y249" s="11">
        <v>7</v>
      </c>
      <c r="Z249" s="3" t="s">
        <v>1303</v>
      </c>
      <c r="AA249" s="10" t="s">
        <v>1307</v>
      </c>
      <c r="AB249" s="5">
        <f>200+38+440+120+0+16+110+240+98+110+260+70</f>
        <v>1702</v>
      </c>
      <c r="AC249" s="6">
        <f>9+1+9+8+0+0+0+0+4+1+3+5</f>
        <v>40</v>
      </c>
      <c r="AD249" s="6">
        <f>4+0+5+5+0+0+0+0+0+1+0+3</f>
        <v>18</v>
      </c>
      <c r="AE249" s="6">
        <f>9+4+14+9+0+0+12+3+2+1+11+4</f>
        <v>69</v>
      </c>
      <c r="AF249" s="6">
        <f>20+7+78+3+0+3+15+57+15+24+48+1</f>
        <v>271</v>
      </c>
      <c r="AG249" s="6">
        <f>2+2+2+0+0+0+0+0+2+0+3+0</f>
        <v>11</v>
      </c>
      <c r="AH249" s="6">
        <f>80+16+560+285+110+1280+60+60+248+150+380+250</f>
        <v>3479</v>
      </c>
      <c r="AI249" s="6">
        <f t="shared" si="400"/>
        <v>2.3501762632197415E-2</v>
      </c>
      <c r="AJ249" s="6">
        <f t="shared" si="401"/>
        <v>1.0575793184488837E-2</v>
      </c>
      <c r="AK249" s="6">
        <f t="shared" si="402"/>
        <v>4.0540540540540543E-2</v>
      </c>
      <c r="AL249" s="6">
        <f t="shared" si="403"/>
        <v>0.1592244418331375</v>
      </c>
      <c r="AM249" s="6">
        <f t="shared" si="404"/>
        <v>6.4629847238542888E-3</v>
      </c>
      <c r="AN249" s="6">
        <f t="shared" si="405"/>
        <v>2.0440658049353702</v>
      </c>
      <c r="AO249" s="7">
        <v>5</v>
      </c>
      <c r="AP249" s="7">
        <v>2</v>
      </c>
      <c r="AQ249" s="7">
        <v>0</v>
      </c>
      <c r="AR249" s="3">
        <v>0</v>
      </c>
      <c r="AS249" s="7">
        <v>0</v>
      </c>
      <c r="AT249" s="7">
        <v>0</v>
      </c>
      <c r="AU249" s="7">
        <v>0</v>
      </c>
      <c r="AV249" s="7">
        <v>0</v>
      </c>
      <c r="AW249" s="7">
        <v>31</v>
      </c>
      <c r="AX249" s="7">
        <v>1</v>
      </c>
      <c r="AY249" s="5">
        <v>7.75</v>
      </c>
      <c r="AZ249" s="7">
        <v>0</v>
      </c>
      <c r="BA249" s="7">
        <v>1</v>
      </c>
      <c r="BB249" s="7">
        <v>0</v>
      </c>
      <c r="BC249" s="7">
        <v>1</v>
      </c>
      <c r="BD249" s="7">
        <v>1</v>
      </c>
      <c r="BE249" s="7">
        <v>0</v>
      </c>
      <c r="BF249" s="7">
        <v>0</v>
      </c>
      <c r="BG249" s="7">
        <v>0</v>
      </c>
      <c r="BH249" s="7">
        <v>0</v>
      </c>
      <c r="BI249" s="7">
        <v>0</v>
      </c>
      <c r="BJ249" s="7">
        <v>1</v>
      </c>
      <c r="BK249" s="11">
        <v>0</v>
      </c>
      <c r="BL249" s="7">
        <v>0</v>
      </c>
      <c r="BM249" s="7">
        <v>1</v>
      </c>
    </row>
    <row r="250" spans="1:65" ht="30" customHeight="1" x14ac:dyDescent="0.3">
      <c r="A250" s="3" t="s">
        <v>15</v>
      </c>
      <c r="B250" s="3">
        <v>21</v>
      </c>
      <c r="C250" s="8">
        <v>44459</v>
      </c>
      <c r="D250" s="9">
        <v>0.65972222222222221</v>
      </c>
      <c r="E250" s="4">
        <v>93</v>
      </c>
      <c r="F250" s="3">
        <v>0</v>
      </c>
      <c r="G250" s="3">
        <v>0</v>
      </c>
      <c r="H250" s="3">
        <v>0</v>
      </c>
      <c r="I250" s="3">
        <v>0.4</v>
      </c>
      <c r="J250" s="9">
        <v>0.27013888888888887</v>
      </c>
      <c r="K250" s="3">
        <v>143.19999999999999</v>
      </c>
      <c r="L250" s="11">
        <f t="shared" ref="L250" si="473">K250-K249</f>
        <v>-1</v>
      </c>
      <c r="M250" s="5">
        <f t="shared" ref="M250" si="474">AB249</f>
        <v>1702</v>
      </c>
      <c r="N250" s="11">
        <v>30.5</v>
      </c>
      <c r="O250" s="11">
        <v>32.375</v>
      </c>
      <c r="P250" s="11">
        <v>10.875</v>
      </c>
      <c r="Q250" s="11">
        <v>10.875</v>
      </c>
      <c r="R250" s="11">
        <v>20.375</v>
      </c>
      <c r="S250" s="11">
        <v>20</v>
      </c>
      <c r="T250" s="11">
        <v>16</v>
      </c>
      <c r="U250" s="11">
        <v>17</v>
      </c>
      <c r="V250" s="11">
        <v>17</v>
      </c>
      <c r="W250" s="11">
        <v>15</v>
      </c>
      <c r="X250" s="11">
        <v>7</v>
      </c>
      <c r="Y250" s="11">
        <v>7</v>
      </c>
      <c r="Z250" s="3" t="s">
        <v>1311</v>
      </c>
      <c r="AA250" s="10" t="s">
        <v>1310</v>
      </c>
      <c r="AB250" s="12">
        <f>220+120+220+520+16+0+400+520+240+210+6</f>
        <v>2472</v>
      </c>
      <c r="AC250" s="6">
        <f>4.5+7.5+2+36+0+0+0+10+0+15+0</f>
        <v>75</v>
      </c>
      <c r="AD250" s="6">
        <f>2.5+5+1+10+0+0+0+1+0+4.5+0</f>
        <v>24</v>
      </c>
      <c r="AE250" s="6">
        <f>7+9+2+40+0+0+5+26+3+18+0</f>
        <v>110</v>
      </c>
      <c r="AF250" s="6">
        <f>39+3+48+10+3+0+95+88+57+0+1.2</f>
        <v>344.2</v>
      </c>
      <c r="AG250" s="6">
        <f>1+0+0+4+0+0+0+10+0+0+0</f>
        <v>15</v>
      </c>
      <c r="AH250" s="6">
        <f>280+285+300+700+1280+110+100+700+60+210+480</f>
        <v>4505</v>
      </c>
      <c r="AI250" s="6">
        <f t="shared" si="400"/>
        <v>3.0339805825242719E-2</v>
      </c>
      <c r="AJ250" s="6">
        <f t="shared" si="401"/>
        <v>9.7087378640776691E-3</v>
      </c>
      <c r="AK250" s="6">
        <f t="shared" si="402"/>
        <v>4.4498381877022652E-2</v>
      </c>
      <c r="AL250" s="6">
        <f t="shared" si="403"/>
        <v>0.13923948220064725</v>
      </c>
      <c r="AM250" s="6">
        <f t="shared" si="404"/>
        <v>6.0679611650485436E-3</v>
      </c>
      <c r="AN250" s="6">
        <f t="shared" si="405"/>
        <v>1.8224110032362459</v>
      </c>
      <c r="AO250" s="7">
        <v>5</v>
      </c>
      <c r="AP250" s="7">
        <v>3</v>
      </c>
      <c r="AQ250" s="7">
        <v>0</v>
      </c>
      <c r="AR250" s="10" t="s">
        <v>1309</v>
      </c>
      <c r="AS250" s="3">
        <f>10+10</f>
        <v>20</v>
      </c>
      <c r="AT250" s="7">
        <v>0</v>
      </c>
      <c r="AU250" s="7">
        <v>0</v>
      </c>
      <c r="AV250" s="7">
        <v>0</v>
      </c>
      <c r="AW250" s="7">
        <v>31</v>
      </c>
      <c r="AX250" s="7">
        <v>1</v>
      </c>
      <c r="AY250" s="5">
        <v>5</v>
      </c>
      <c r="AZ250" s="7">
        <v>0</v>
      </c>
      <c r="BA250" s="7">
        <v>0</v>
      </c>
      <c r="BB250" s="7">
        <v>0</v>
      </c>
      <c r="BC250" s="7">
        <v>1</v>
      </c>
      <c r="BD250" s="7">
        <v>1</v>
      </c>
      <c r="BE250" s="7">
        <v>0</v>
      </c>
      <c r="BF250" s="7">
        <v>0</v>
      </c>
      <c r="BG250" s="7">
        <v>0</v>
      </c>
      <c r="BH250" s="7">
        <v>0</v>
      </c>
      <c r="BI250" s="7">
        <v>0</v>
      </c>
      <c r="BJ250" s="7">
        <v>1</v>
      </c>
      <c r="BK250" s="11">
        <v>3</v>
      </c>
      <c r="BL250" s="7" t="s">
        <v>1306</v>
      </c>
      <c r="BM250" s="7">
        <v>1</v>
      </c>
    </row>
    <row r="251" spans="1:65" ht="30" customHeight="1" x14ac:dyDescent="0.3">
      <c r="A251" s="3" t="s">
        <v>16</v>
      </c>
      <c r="B251" s="3">
        <v>22</v>
      </c>
      <c r="C251" s="8">
        <v>44460</v>
      </c>
      <c r="D251" s="9">
        <v>0.66666666666666663</v>
      </c>
      <c r="E251" s="4">
        <v>100</v>
      </c>
      <c r="F251" s="3">
        <v>5</v>
      </c>
      <c r="G251" s="3">
        <v>3</v>
      </c>
      <c r="H251" s="3">
        <v>15</v>
      </c>
      <c r="I251" s="3">
        <v>0.5</v>
      </c>
      <c r="J251" s="9">
        <v>0.25208333333333333</v>
      </c>
      <c r="K251" s="3">
        <v>143.80000000000001</v>
      </c>
      <c r="L251" s="11">
        <f t="shared" ref="L251" si="475">K251-K250</f>
        <v>0.60000000000002274</v>
      </c>
      <c r="M251" s="5">
        <f t="shared" ref="M251" si="476">AB250</f>
        <v>2472</v>
      </c>
      <c r="N251" s="11">
        <v>31.5</v>
      </c>
      <c r="O251" s="11">
        <v>32.5</v>
      </c>
      <c r="P251" s="11">
        <v>10.875</v>
      </c>
      <c r="Q251" s="11">
        <v>11</v>
      </c>
      <c r="R251" s="11">
        <v>20</v>
      </c>
      <c r="S251" s="11">
        <v>20.375</v>
      </c>
      <c r="T251" s="11">
        <v>15</v>
      </c>
      <c r="U251" s="11">
        <v>15</v>
      </c>
      <c r="V251" s="11">
        <v>17</v>
      </c>
      <c r="W251" s="11">
        <v>17</v>
      </c>
      <c r="X251" s="11">
        <v>7</v>
      </c>
      <c r="Y251" s="11">
        <v>7</v>
      </c>
      <c r="Z251" s="3" t="s">
        <v>1312</v>
      </c>
      <c r="AA251" s="10" t="s">
        <v>1313</v>
      </c>
      <c r="AB251" s="5">
        <f>780+280+180+0+20+160</f>
        <v>1420</v>
      </c>
      <c r="AC251" s="6">
        <f>15+20+11+0+0+0</f>
        <v>46</v>
      </c>
      <c r="AD251" s="6">
        <f>2+6+8+0+0+0</f>
        <v>16</v>
      </c>
      <c r="AE251" s="6">
        <f>39+24+14+0+0+2</f>
        <v>79</v>
      </c>
      <c r="AF251" s="6">
        <f>132+0+5+0+4+38</f>
        <v>179</v>
      </c>
      <c r="AG251" s="6">
        <f>15+0+0+0+0+0</f>
        <v>15</v>
      </c>
      <c r="AH251" s="6">
        <f>1050+280+428+110+1600+40</f>
        <v>3508</v>
      </c>
      <c r="AI251" s="6">
        <f t="shared" si="400"/>
        <v>3.2394366197183097E-2</v>
      </c>
      <c r="AJ251" s="6">
        <f t="shared" si="401"/>
        <v>1.1267605633802818E-2</v>
      </c>
      <c r="AK251" s="6">
        <f t="shared" si="402"/>
        <v>5.5633802816901411E-2</v>
      </c>
      <c r="AL251" s="6">
        <f t="shared" si="403"/>
        <v>0.12605633802816901</v>
      </c>
      <c r="AM251" s="6">
        <f t="shared" si="404"/>
        <v>1.0563380281690141E-2</v>
      </c>
      <c r="AN251" s="6">
        <f t="shared" si="405"/>
        <v>2.4704225352112674</v>
      </c>
      <c r="AO251" s="7">
        <v>5</v>
      </c>
      <c r="AP251" s="7">
        <v>1</v>
      </c>
      <c r="AQ251" s="7">
        <v>0</v>
      </c>
      <c r="AR251" s="10" t="s">
        <v>1314</v>
      </c>
      <c r="AS251" s="3">
        <f>15+10-9</f>
        <v>16</v>
      </c>
      <c r="AT251" s="7">
        <v>0</v>
      </c>
      <c r="AU251" s="7">
        <v>0</v>
      </c>
      <c r="AV251" s="7">
        <v>0</v>
      </c>
      <c r="AW251" s="7">
        <v>31</v>
      </c>
      <c r="AX251" s="7">
        <v>1</v>
      </c>
      <c r="AY251" s="5">
        <v>7.25</v>
      </c>
      <c r="AZ251" s="7">
        <v>0</v>
      </c>
      <c r="BA251" s="7">
        <v>0</v>
      </c>
      <c r="BB251" s="7">
        <v>0</v>
      </c>
      <c r="BC251" s="7">
        <v>1</v>
      </c>
      <c r="BD251" s="7">
        <v>1</v>
      </c>
      <c r="BE251" s="7">
        <v>0</v>
      </c>
      <c r="BF251" s="7">
        <v>0</v>
      </c>
      <c r="BG251" s="7">
        <v>0</v>
      </c>
      <c r="BH251" s="7">
        <v>0</v>
      </c>
      <c r="BI251" s="7">
        <v>0</v>
      </c>
      <c r="BJ251" s="7">
        <v>1</v>
      </c>
      <c r="BK251" s="11">
        <v>1</v>
      </c>
      <c r="BL251" s="7" t="s">
        <v>1306</v>
      </c>
      <c r="BM251" s="7">
        <v>1</v>
      </c>
    </row>
    <row r="252" spans="1:65" ht="30" customHeight="1" x14ac:dyDescent="0.3">
      <c r="A252" s="3" t="s">
        <v>17</v>
      </c>
      <c r="B252" s="3">
        <v>23</v>
      </c>
      <c r="C252" s="8">
        <v>44461</v>
      </c>
      <c r="D252" s="9">
        <v>0.27430555555555552</v>
      </c>
      <c r="E252" s="4">
        <v>73</v>
      </c>
      <c r="F252" s="3">
        <v>0</v>
      </c>
      <c r="G252" s="3">
        <v>0</v>
      </c>
      <c r="H252" s="3">
        <v>0</v>
      </c>
      <c r="I252" s="3">
        <v>0</v>
      </c>
      <c r="J252" s="9">
        <v>0.27777777777777779</v>
      </c>
      <c r="K252" s="3">
        <v>142.80000000000001</v>
      </c>
      <c r="L252" s="11">
        <f t="shared" ref="L252" si="477">K252-K251</f>
        <v>-1</v>
      </c>
      <c r="M252" s="5">
        <f t="shared" ref="M252" si="478">AB251</f>
        <v>1420</v>
      </c>
      <c r="N252" s="11">
        <v>30.5</v>
      </c>
      <c r="O252" s="11">
        <v>32.25</v>
      </c>
      <c r="P252" s="11">
        <v>10.75</v>
      </c>
      <c r="Q252" s="11">
        <v>10.875</v>
      </c>
      <c r="R252" s="11">
        <v>19.75</v>
      </c>
      <c r="S252" s="11">
        <v>20</v>
      </c>
      <c r="T252" s="11">
        <v>15</v>
      </c>
      <c r="U252" s="11">
        <v>15</v>
      </c>
      <c r="V252" s="11">
        <v>16</v>
      </c>
      <c r="W252" s="11">
        <v>15</v>
      </c>
      <c r="X252" s="11">
        <v>7</v>
      </c>
      <c r="Y252" s="11">
        <v>7</v>
      </c>
      <c r="Z252" s="3" t="s">
        <v>1325</v>
      </c>
      <c r="AA252" s="10" t="s">
        <v>1324</v>
      </c>
      <c r="AB252" s="5">
        <f>500+810+220+400+113+260+87+200+520+15+0</f>
        <v>3125</v>
      </c>
      <c r="AC252" s="6">
        <f>38+9+14+0+5+10+10+9+5+0+0</f>
        <v>100</v>
      </c>
      <c r="AD252" s="6">
        <f>9+0+9+0+3+6+6+5+0+0+0</f>
        <v>38</v>
      </c>
      <c r="AE252" s="6">
        <f>31+36+20+5+1+2+2+1+22+0+0</f>
        <v>120</v>
      </c>
      <c r="AF252" s="6">
        <f>12+153+4+95+18+38+38+27+96+3+0</f>
        <v>484</v>
      </c>
      <c r="AG252" s="6">
        <f>4+9+0+0+0+2+2+0+6+0+0</f>
        <v>23</v>
      </c>
      <c r="AH252" s="6">
        <f>527+1200+740+100+38+40+40+80+760+1200+110</f>
        <v>4835</v>
      </c>
      <c r="AI252" s="6">
        <f t="shared" si="400"/>
        <v>3.2000000000000001E-2</v>
      </c>
      <c r="AJ252" s="6">
        <f t="shared" si="401"/>
        <v>1.2160000000000001E-2</v>
      </c>
      <c r="AK252" s="6">
        <f t="shared" si="402"/>
        <v>3.8399999999999997E-2</v>
      </c>
      <c r="AL252" s="6">
        <f t="shared" si="403"/>
        <v>0.15487999999999999</v>
      </c>
      <c r="AM252" s="6">
        <f t="shared" si="404"/>
        <v>7.3600000000000002E-3</v>
      </c>
      <c r="AN252" s="6">
        <f t="shared" si="405"/>
        <v>1.5471999999999999</v>
      </c>
      <c r="AO252" s="7">
        <v>6</v>
      </c>
      <c r="AP252" s="7">
        <v>1</v>
      </c>
      <c r="AQ252" s="7">
        <v>0</v>
      </c>
      <c r="AR252" s="7">
        <v>0</v>
      </c>
      <c r="AS252" s="7">
        <v>0</v>
      </c>
      <c r="AT252" s="7">
        <v>0</v>
      </c>
      <c r="AU252" s="7">
        <v>0</v>
      </c>
      <c r="AV252" s="7">
        <v>0</v>
      </c>
      <c r="AW252" s="7">
        <v>31</v>
      </c>
      <c r="AX252" s="7">
        <v>1</v>
      </c>
      <c r="AY252" s="5">
        <v>6.5</v>
      </c>
      <c r="AZ252" s="7">
        <v>0</v>
      </c>
      <c r="BA252" s="7">
        <v>1</v>
      </c>
      <c r="BB252" s="7">
        <v>0</v>
      </c>
      <c r="BC252" s="7">
        <v>1</v>
      </c>
      <c r="BD252" s="7">
        <v>1</v>
      </c>
      <c r="BE252" s="7">
        <v>0</v>
      </c>
      <c r="BF252" s="7">
        <v>0</v>
      </c>
      <c r="BG252" s="7">
        <v>0</v>
      </c>
      <c r="BH252" s="7">
        <v>0</v>
      </c>
      <c r="BI252" s="7">
        <v>0</v>
      </c>
      <c r="BJ252" s="7">
        <v>1</v>
      </c>
      <c r="BK252" s="11">
        <v>0</v>
      </c>
      <c r="BL252" s="7">
        <v>0</v>
      </c>
      <c r="BM252" s="7">
        <v>1</v>
      </c>
    </row>
    <row r="253" spans="1:65" ht="30" customHeight="1" x14ac:dyDescent="0.3">
      <c r="A253" s="3" t="s">
        <v>18</v>
      </c>
      <c r="B253" s="3">
        <v>24</v>
      </c>
      <c r="C253" s="8">
        <v>44462</v>
      </c>
      <c r="D253" s="9">
        <v>0.72430555555555554</v>
      </c>
      <c r="E253" s="4">
        <v>84</v>
      </c>
      <c r="F253" s="3">
        <v>0</v>
      </c>
      <c r="G253" s="3">
        <v>0</v>
      </c>
      <c r="H253" s="3">
        <v>0</v>
      </c>
      <c r="I253" s="3">
        <v>0</v>
      </c>
      <c r="J253" s="9">
        <v>0.30555555555555552</v>
      </c>
      <c r="K253" s="3">
        <v>143.80000000000001</v>
      </c>
      <c r="L253" s="11">
        <f t="shared" ref="L253" si="479">K253-K252</f>
        <v>1</v>
      </c>
      <c r="M253" s="5">
        <f t="shared" ref="M253" si="480">AB252</f>
        <v>3125</v>
      </c>
      <c r="N253" s="11">
        <v>30.375</v>
      </c>
      <c r="O253" s="11">
        <v>32.125</v>
      </c>
      <c r="P253" s="11">
        <v>10.875</v>
      </c>
      <c r="Q253" s="11">
        <v>11</v>
      </c>
      <c r="R253" s="11">
        <v>20</v>
      </c>
      <c r="S253" s="11">
        <v>20</v>
      </c>
      <c r="T253" s="11">
        <v>15</v>
      </c>
      <c r="U253" s="11">
        <v>15</v>
      </c>
      <c r="V253" s="11">
        <v>15</v>
      </c>
      <c r="W253" s="11">
        <v>15</v>
      </c>
      <c r="X253" s="11">
        <v>7</v>
      </c>
      <c r="Y253" s="11">
        <v>7</v>
      </c>
      <c r="Z253" s="3" t="s">
        <v>1327</v>
      </c>
      <c r="AA253" s="10" t="s">
        <v>1326</v>
      </c>
      <c r="AB253" s="5">
        <f>360+334+270+260+220+160+113+100+130+100+10+0+140+260+17+0+86+87+101+75+130</f>
        <v>2953</v>
      </c>
      <c r="AC253" s="6">
        <f>21+25+3+3+14+0+5+5+5+5+0+0+7+3+0+0+4+2+5+3+5</f>
        <v>115</v>
      </c>
      <c r="AD253" s="6">
        <f>12+6+0+0+9+0+3+3+3+3+0+0+3+0+0+0+2+1+3+2+3</f>
        <v>53</v>
      </c>
      <c r="AE253" s="6">
        <f>29+21+12+11+20+2+1+1+1+1+0+0+2+11+0+0+1+1+1+1+1</f>
        <v>117</v>
      </c>
      <c r="AF253" s="6">
        <f>14+8+51+48+4+38+18+13+19+13+2+0+20+48+3+0+11+15+13+12+19</f>
        <v>369</v>
      </c>
      <c r="AG253" s="6">
        <f>5+3+3+3+0+0+0+0+1+0+0+0+3+3+0+0+1+0+0+0+1</f>
        <v>23</v>
      </c>
      <c r="AH253" s="6">
        <f>555+351+400+380+740+40+38+40+20+40+800+110+310+380+1320+55+43+37+40+25+20</f>
        <v>5744</v>
      </c>
      <c r="AI253" s="6">
        <f t="shared" si="400"/>
        <v>3.8943447341686421E-2</v>
      </c>
      <c r="AJ253" s="6">
        <f t="shared" si="401"/>
        <v>1.7947849644429394E-2</v>
      </c>
      <c r="AK253" s="6">
        <f t="shared" si="402"/>
        <v>3.9620724686759229E-2</v>
      </c>
      <c r="AL253" s="6">
        <f t="shared" si="403"/>
        <v>0.12495767016593295</v>
      </c>
      <c r="AM253" s="6">
        <f t="shared" si="404"/>
        <v>7.7886894683372844E-3</v>
      </c>
      <c r="AN253" s="6">
        <f t="shared" si="405"/>
        <v>1.9451405350491027</v>
      </c>
      <c r="AO253" s="7">
        <v>6</v>
      </c>
      <c r="AP253" s="7">
        <v>3</v>
      </c>
      <c r="AQ253" s="7">
        <v>0</v>
      </c>
      <c r="AR253" s="7">
        <v>0</v>
      </c>
      <c r="AS253" s="7">
        <v>0</v>
      </c>
      <c r="AT253" s="7">
        <v>0</v>
      </c>
      <c r="AU253" s="7">
        <v>0</v>
      </c>
      <c r="AV253" s="7">
        <v>0</v>
      </c>
      <c r="AW253" s="7">
        <v>31</v>
      </c>
      <c r="AX253" s="7">
        <v>1</v>
      </c>
      <c r="AY253" s="5">
        <v>6.5</v>
      </c>
      <c r="AZ253" s="7">
        <v>0</v>
      </c>
      <c r="BA253" s="7">
        <v>0</v>
      </c>
      <c r="BB253" s="7">
        <v>0</v>
      </c>
      <c r="BC253" s="7">
        <v>1</v>
      </c>
      <c r="BD253" s="7">
        <v>1</v>
      </c>
      <c r="BE253" s="7">
        <v>0</v>
      </c>
      <c r="BF253" s="7">
        <v>0</v>
      </c>
      <c r="BG253" s="7">
        <v>0</v>
      </c>
      <c r="BH253" s="7">
        <v>0</v>
      </c>
      <c r="BI253" s="7">
        <v>0</v>
      </c>
      <c r="BJ253" s="7">
        <v>1</v>
      </c>
      <c r="BK253" s="11">
        <v>3</v>
      </c>
      <c r="BL253" s="3" t="s">
        <v>1306</v>
      </c>
      <c r="BM253" s="7">
        <v>1</v>
      </c>
    </row>
    <row r="254" spans="1:65" ht="30" customHeight="1" x14ac:dyDescent="0.3">
      <c r="A254" s="3" t="s">
        <v>137</v>
      </c>
      <c r="B254" s="3">
        <v>25</v>
      </c>
      <c r="C254" s="8">
        <v>44463</v>
      </c>
      <c r="D254" s="9">
        <v>0.28888888888888892</v>
      </c>
      <c r="E254" s="4">
        <v>64</v>
      </c>
      <c r="F254" s="3">
        <v>0</v>
      </c>
      <c r="G254" s="3">
        <v>0</v>
      </c>
      <c r="H254" s="3">
        <v>0</v>
      </c>
      <c r="I254" s="3">
        <v>0</v>
      </c>
      <c r="J254" s="9">
        <v>0.29166666666666669</v>
      </c>
      <c r="K254" s="3">
        <v>144.4</v>
      </c>
      <c r="L254" s="11">
        <f t="shared" ref="L254" si="481">K254-K253</f>
        <v>0.59999999999999432</v>
      </c>
      <c r="M254" s="5">
        <f t="shared" ref="M254" si="482">AB253</f>
        <v>2953</v>
      </c>
      <c r="N254" s="11">
        <v>30.75</v>
      </c>
      <c r="O254" s="11">
        <v>32.125</v>
      </c>
      <c r="P254" s="11">
        <v>11</v>
      </c>
      <c r="Q254" s="11">
        <v>11</v>
      </c>
      <c r="R254" s="11">
        <v>20.25</v>
      </c>
      <c r="S254" s="11">
        <v>20.375</v>
      </c>
      <c r="T254" s="11">
        <v>15</v>
      </c>
      <c r="U254" s="11">
        <v>15</v>
      </c>
      <c r="V254" s="11">
        <v>17</v>
      </c>
      <c r="W254" s="11">
        <v>16</v>
      </c>
      <c r="X254" s="11">
        <v>7</v>
      </c>
      <c r="Y254" s="11">
        <v>7</v>
      </c>
      <c r="Z254" s="3" t="s">
        <v>1329</v>
      </c>
      <c r="AA254" s="10" t="s">
        <v>1328</v>
      </c>
      <c r="AB254" s="5">
        <f>260+110+17+0+260+78+50+130</f>
        <v>905</v>
      </c>
      <c r="AC254" s="6">
        <f>3+7+0+0+18+2+2+5</f>
        <v>37</v>
      </c>
      <c r="AD254" s="6">
        <f>0+5+0+0+5+1+1+3</f>
        <v>15</v>
      </c>
      <c r="AE254" s="6">
        <f>11+10+0+0+20+1+0+1</f>
        <v>43</v>
      </c>
      <c r="AF254" s="6">
        <f>48+2+3+0+5+14+7+19</f>
        <v>98</v>
      </c>
      <c r="AG254" s="6">
        <f>3+0+0+0+2+0+0+1</f>
        <v>6</v>
      </c>
      <c r="AH254" s="6">
        <f>380+370+1320+55+350+33+20+20</f>
        <v>2548</v>
      </c>
      <c r="AI254" s="6">
        <f t="shared" si="400"/>
        <v>4.0883977900552489E-2</v>
      </c>
      <c r="AJ254" s="6">
        <f t="shared" si="401"/>
        <v>1.6574585635359115E-2</v>
      </c>
      <c r="AK254" s="6">
        <f t="shared" si="402"/>
        <v>4.7513812154696133E-2</v>
      </c>
      <c r="AL254" s="6">
        <f t="shared" si="403"/>
        <v>0.10828729281767956</v>
      </c>
      <c r="AM254" s="6">
        <f t="shared" si="404"/>
        <v>6.6298342541436465E-3</v>
      </c>
      <c r="AN254" s="6">
        <f t="shared" si="405"/>
        <v>2.8154696132596686</v>
      </c>
      <c r="AO254" s="7">
        <v>6</v>
      </c>
      <c r="AP254" s="7">
        <v>1</v>
      </c>
      <c r="AQ254" s="7">
        <v>0</v>
      </c>
      <c r="AR254" s="7">
        <v>0</v>
      </c>
      <c r="AS254" s="7">
        <v>0</v>
      </c>
      <c r="AT254" s="7">
        <v>0</v>
      </c>
      <c r="AU254" s="7">
        <v>0</v>
      </c>
      <c r="AV254" s="7">
        <v>0</v>
      </c>
      <c r="AW254" s="7">
        <v>31</v>
      </c>
      <c r="AX254" s="7">
        <v>1</v>
      </c>
      <c r="AY254" s="5">
        <v>7</v>
      </c>
      <c r="AZ254" s="7">
        <v>0</v>
      </c>
      <c r="BA254" s="7">
        <v>1</v>
      </c>
      <c r="BB254" s="7">
        <v>0</v>
      </c>
      <c r="BC254" s="7">
        <v>1</v>
      </c>
      <c r="BD254" s="7">
        <v>1</v>
      </c>
      <c r="BE254" s="7">
        <v>0</v>
      </c>
      <c r="BF254" s="7">
        <v>0</v>
      </c>
      <c r="BG254" s="7">
        <v>0</v>
      </c>
      <c r="BH254" s="7">
        <v>0</v>
      </c>
      <c r="BI254" s="7">
        <v>0</v>
      </c>
      <c r="BJ254" s="7">
        <v>1</v>
      </c>
      <c r="BK254" s="11">
        <v>0</v>
      </c>
      <c r="BL254" s="7">
        <v>0</v>
      </c>
      <c r="BM254" s="7">
        <v>1</v>
      </c>
    </row>
    <row r="255" spans="1:65" ht="30" customHeight="1" x14ac:dyDescent="0.3">
      <c r="A255" s="3" t="s">
        <v>19</v>
      </c>
      <c r="B255" s="3">
        <v>26</v>
      </c>
      <c r="C255" s="8">
        <v>44464</v>
      </c>
      <c r="D255" s="9">
        <v>0.37291666666666662</v>
      </c>
      <c r="E255" s="4">
        <v>70</v>
      </c>
      <c r="F255" s="3">
        <v>0</v>
      </c>
      <c r="G255" s="3">
        <v>0</v>
      </c>
      <c r="H255" s="3">
        <v>0</v>
      </c>
      <c r="I255" s="3">
        <v>0</v>
      </c>
      <c r="J255" s="9">
        <v>0.32222222222222224</v>
      </c>
      <c r="K255" s="3">
        <v>140.19999999999999</v>
      </c>
      <c r="L255" s="11">
        <f t="shared" ref="L255" si="483">K255-K254</f>
        <v>-4.2000000000000171</v>
      </c>
      <c r="M255" s="5">
        <f t="shared" ref="M255" si="484">AB254</f>
        <v>905</v>
      </c>
      <c r="N255" s="11">
        <v>30.5</v>
      </c>
      <c r="O255" s="11">
        <v>32</v>
      </c>
      <c r="P255" s="11">
        <v>10.625</v>
      </c>
      <c r="Q255" s="11">
        <v>10.75</v>
      </c>
      <c r="R255" s="11">
        <v>20.5</v>
      </c>
      <c r="S255" s="11">
        <v>20.25</v>
      </c>
      <c r="T255" s="11">
        <v>15</v>
      </c>
      <c r="U255" s="11">
        <v>15</v>
      </c>
      <c r="V255" s="11">
        <v>16</v>
      </c>
      <c r="W255" s="11">
        <v>16</v>
      </c>
      <c r="X255" s="11">
        <v>7</v>
      </c>
      <c r="Y255" s="11">
        <v>7</v>
      </c>
      <c r="Z255" s="3" t="s">
        <v>1338</v>
      </c>
      <c r="AA255" s="10" t="s">
        <v>1340</v>
      </c>
      <c r="AB255" s="5">
        <f>270+350+300+250+140+95+70+90+90</f>
        <v>1655</v>
      </c>
      <c r="AC255" s="6">
        <f>13+13+7+12+8+0.3+0+0+0.5</f>
        <v>53.8</v>
      </c>
      <c r="AD255" s="6">
        <f>1.5+5+4.5+8+1+0+0+15+0</f>
        <v>35</v>
      </c>
      <c r="AE255" s="6">
        <f>5+15+12+3+2+1+1+1+0</f>
        <v>40</v>
      </c>
      <c r="AF255" s="6">
        <f>34+42+47+31+16+25+16+21+20</f>
        <v>252</v>
      </c>
      <c r="AG255" s="6">
        <f>2+3+0+0+0+4.4+1+13+0</f>
        <v>23.4</v>
      </c>
      <c r="AH255" s="6">
        <f>640+570+280+55+140+2+0+15+15</f>
        <v>1717</v>
      </c>
      <c r="AI255" s="6">
        <f t="shared" si="400"/>
        <v>3.2507552870090634E-2</v>
      </c>
      <c r="AJ255" s="6">
        <f t="shared" si="401"/>
        <v>2.1148036253776436E-2</v>
      </c>
      <c r="AK255" s="6">
        <f t="shared" si="402"/>
        <v>2.4169184290030211E-2</v>
      </c>
      <c r="AL255" s="6">
        <f t="shared" si="403"/>
        <v>0.15226586102719034</v>
      </c>
      <c r="AM255" s="6">
        <f t="shared" si="404"/>
        <v>1.4138972809667673E-2</v>
      </c>
      <c r="AN255" s="6">
        <f t="shared" si="405"/>
        <v>1.0374622356495469</v>
      </c>
      <c r="AO255" s="7">
        <v>4</v>
      </c>
      <c r="AP255" s="7">
        <v>0</v>
      </c>
      <c r="AQ255" s="7">
        <v>0</v>
      </c>
      <c r="AR255" s="7">
        <v>0</v>
      </c>
      <c r="AS255" s="7">
        <v>0</v>
      </c>
      <c r="AT255" s="7">
        <v>0</v>
      </c>
      <c r="AU255" s="7">
        <v>0</v>
      </c>
      <c r="AV255" s="7">
        <v>0</v>
      </c>
      <c r="AW255" s="7">
        <v>31</v>
      </c>
      <c r="AX255" s="7">
        <v>1</v>
      </c>
      <c r="AY255" s="5">
        <v>5</v>
      </c>
      <c r="AZ255" s="7">
        <v>0</v>
      </c>
      <c r="BA255" s="7">
        <v>1</v>
      </c>
      <c r="BB255" s="7">
        <v>0</v>
      </c>
      <c r="BC255" s="7">
        <v>1</v>
      </c>
      <c r="BD255" s="7">
        <v>1</v>
      </c>
      <c r="BE255" s="7">
        <v>0</v>
      </c>
      <c r="BF255" s="7">
        <v>0</v>
      </c>
      <c r="BG255" s="7">
        <v>0</v>
      </c>
      <c r="BH255" s="7">
        <v>0</v>
      </c>
      <c r="BI255" s="7">
        <v>0</v>
      </c>
      <c r="BJ255" s="7">
        <v>1</v>
      </c>
      <c r="BK255" s="11">
        <v>0</v>
      </c>
      <c r="BL255" s="7">
        <v>0</v>
      </c>
      <c r="BM255" s="7">
        <v>1</v>
      </c>
    </row>
    <row r="256" spans="1:65" ht="30" customHeight="1" x14ac:dyDescent="0.3">
      <c r="A256" s="3" t="s">
        <v>23</v>
      </c>
      <c r="B256" s="3">
        <v>27</v>
      </c>
      <c r="C256" s="8">
        <v>44465</v>
      </c>
      <c r="D256" s="9">
        <v>0.34513888888888888</v>
      </c>
      <c r="E256" s="4">
        <v>63</v>
      </c>
      <c r="F256" s="3">
        <v>0</v>
      </c>
      <c r="G256" s="3">
        <v>0</v>
      </c>
      <c r="H256" s="3">
        <v>0</v>
      </c>
      <c r="I256" s="3">
        <v>0</v>
      </c>
      <c r="J256" s="9">
        <v>0.3659722222222222</v>
      </c>
      <c r="K256" s="3">
        <v>142.19999999999999</v>
      </c>
      <c r="L256" s="11">
        <f t="shared" ref="L256" si="485">K256-K255</f>
        <v>2</v>
      </c>
      <c r="M256" s="5">
        <f t="shared" ref="M256" si="486">AB255</f>
        <v>1655</v>
      </c>
      <c r="N256" s="11">
        <v>30.375</v>
      </c>
      <c r="O256" s="11">
        <v>32.875</v>
      </c>
      <c r="P256" s="11">
        <v>10.5</v>
      </c>
      <c r="Q256" s="11">
        <v>10.5</v>
      </c>
      <c r="R256" s="11">
        <v>20.5</v>
      </c>
      <c r="S256" s="11">
        <v>20.25</v>
      </c>
      <c r="T256" s="11">
        <v>15</v>
      </c>
      <c r="U256" s="11">
        <v>15</v>
      </c>
      <c r="V256" s="11">
        <v>17</v>
      </c>
      <c r="W256" s="11">
        <v>15</v>
      </c>
      <c r="X256" s="11">
        <v>7</v>
      </c>
      <c r="Y256" s="11">
        <v>7</v>
      </c>
      <c r="Z256" s="3" t="s">
        <v>1342</v>
      </c>
      <c r="AA256" s="10" t="s">
        <v>1352</v>
      </c>
      <c r="AB256" s="5">
        <f>180+90+140+250+160+322+17+22+440+42+249+560</f>
        <v>2472</v>
      </c>
      <c r="AC256" s="6">
        <f>1+0+0+0+2+29+0+0+44+1+6+24</f>
        <v>107</v>
      </c>
      <c r="AD256" s="6">
        <f>0+15+0+0+0+4+0+0+24+0+3+14</f>
        <v>60</v>
      </c>
      <c r="AE256" s="6">
        <f>0+1+2+0+4+4+1+1+8+8+11+16</f>
        <v>56</v>
      </c>
      <c r="AF256" s="6">
        <f>40+21+32+66+30+17+3+5+8+0+38+72</f>
        <v>332</v>
      </c>
      <c r="AG256" s="6">
        <f>0+13+2+0+2+18+0+1.5+0+0+1.5+0</f>
        <v>38</v>
      </c>
      <c r="AH256" s="6">
        <f>30+15+0+100+440+14+27+6+1560+59+329+260</f>
        <v>2840</v>
      </c>
      <c r="AI256" s="6">
        <f t="shared" si="400"/>
        <v>4.3284789644012944E-2</v>
      </c>
      <c r="AJ256" s="6">
        <f t="shared" si="401"/>
        <v>2.4271844660194174E-2</v>
      </c>
      <c r="AK256" s="6">
        <f t="shared" si="402"/>
        <v>2.2653721682847898E-2</v>
      </c>
      <c r="AL256" s="6">
        <f t="shared" si="403"/>
        <v>0.13430420711974109</v>
      </c>
      <c r="AM256" s="6">
        <f t="shared" si="404"/>
        <v>1.5372168284789644E-2</v>
      </c>
      <c r="AN256" s="6">
        <f t="shared" si="405"/>
        <v>1.1488673139158576</v>
      </c>
      <c r="AO256" s="7">
        <v>4</v>
      </c>
      <c r="AP256" s="7">
        <v>0</v>
      </c>
      <c r="AQ256" s="7">
        <v>0</v>
      </c>
      <c r="AR256" s="7">
        <v>0</v>
      </c>
      <c r="AS256" s="7">
        <v>0</v>
      </c>
      <c r="AT256" s="7">
        <v>0</v>
      </c>
      <c r="AU256" s="7">
        <v>0</v>
      </c>
      <c r="AV256" s="7">
        <v>0</v>
      </c>
      <c r="AW256" s="7">
        <v>31</v>
      </c>
      <c r="AX256" s="7">
        <v>1</v>
      </c>
      <c r="AY256" s="5">
        <v>5</v>
      </c>
      <c r="AZ256" s="7">
        <v>0</v>
      </c>
      <c r="BA256" s="7">
        <v>1</v>
      </c>
      <c r="BB256" s="7">
        <v>0</v>
      </c>
      <c r="BC256" s="7">
        <v>1</v>
      </c>
      <c r="BD256" s="7">
        <v>1</v>
      </c>
      <c r="BE256" s="7">
        <v>0</v>
      </c>
      <c r="BF256" s="7">
        <v>0</v>
      </c>
      <c r="BG256" s="7">
        <v>0</v>
      </c>
      <c r="BH256" s="7">
        <v>0</v>
      </c>
      <c r="BI256" s="7">
        <v>0</v>
      </c>
      <c r="BJ256" s="7">
        <v>1</v>
      </c>
      <c r="BK256" s="11">
        <v>0</v>
      </c>
      <c r="BL256" s="7">
        <v>0</v>
      </c>
      <c r="BM256" s="7">
        <v>1</v>
      </c>
    </row>
    <row r="257" spans="1:65" ht="30" customHeight="1" x14ac:dyDescent="0.3">
      <c r="A257" s="3" t="s">
        <v>15</v>
      </c>
      <c r="B257" s="3">
        <v>0</v>
      </c>
      <c r="C257" s="8">
        <v>44466</v>
      </c>
      <c r="D257" s="9">
        <v>0.21527777777777779</v>
      </c>
      <c r="E257" s="4">
        <v>68</v>
      </c>
      <c r="F257" s="3">
        <v>0</v>
      </c>
      <c r="G257" s="3">
        <v>0</v>
      </c>
      <c r="H257" s="3">
        <v>0</v>
      </c>
      <c r="I257" s="3">
        <v>0</v>
      </c>
      <c r="J257" s="9">
        <v>0.63472222222222219</v>
      </c>
      <c r="K257" s="3">
        <v>142</v>
      </c>
      <c r="L257" s="11">
        <f t="shared" ref="L257" si="487">K257-K256</f>
        <v>-0.19999999999998863</v>
      </c>
      <c r="M257" s="5">
        <f t="shared" ref="M257" si="488">AB256</f>
        <v>2472</v>
      </c>
      <c r="N257" s="11">
        <v>30.875</v>
      </c>
      <c r="O257" s="11">
        <v>32.125</v>
      </c>
      <c r="P257" s="11">
        <v>10.75</v>
      </c>
      <c r="Q257" s="11">
        <v>10.875</v>
      </c>
      <c r="R257" s="11">
        <v>20</v>
      </c>
      <c r="S257" s="11">
        <v>19.75</v>
      </c>
      <c r="T257" s="11">
        <v>13</v>
      </c>
      <c r="U257" s="11">
        <v>14</v>
      </c>
      <c r="V257" s="11">
        <v>17</v>
      </c>
      <c r="W257" s="11">
        <v>15</v>
      </c>
      <c r="X257" s="11">
        <v>7</v>
      </c>
      <c r="Y257" s="11">
        <v>7</v>
      </c>
      <c r="Z257" s="3" t="s">
        <v>1349</v>
      </c>
      <c r="AA257" s="10" t="s">
        <v>1348</v>
      </c>
      <c r="AB257" s="5">
        <f>240+150+87+26+65+260+260+280+132</f>
        <v>1500</v>
      </c>
      <c r="AC257" s="6">
        <f>0+7+4+1+3+18+3+12+3</f>
        <v>51</v>
      </c>
      <c r="AD257" s="6">
        <f>0+4+2+0+2+5+0+7+2</f>
        <v>22</v>
      </c>
      <c r="AE257" s="6">
        <f>3+1+1+0+1+20+11+8+1</f>
        <v>46</v>
      </c>
      <c r="AF257" s="6">
        <f>57+20+11+5+10+5+48+36+24</f>
        <v>216</v>
      </c>
      <c r="AG257" s="6">
        <f>0+0+1+0+1+2+3+0+0</f>
        <v>7</v>
      </c>
      <c r="AH257" s="6">
        <f>60+60+43+11+10+350+380+130+79</f>
        <v>1123</v>
      </c>
      <c r="AI257" s="6">
        <f t="shared" si="400"/>
        <v>3.4000000000000002E-2</v>
      </c>
      <c r="AJ257" s="6">
        <f t="shared" si="401"/>
        <v>1.4666666666666666E-2</v>
      </c>
      <c r="AK257" s="6">
        <f t="shared" si="402"/>
        <v>3.0666666666666665E-2</v>
      </c>
      <c r="AL257" s="6">
        <f t="shared" si="403"/>
        <v>0.14399999999999999</v>
      </c>
      <c r="AM257" s="6">
        <f t="shared" si="404"/>
        <v>4.6666666666666671E-3</v>
      </c>
      <c r="AN257" s="6">
        <f t="shared" si="405"/>
        <v>0.7486666666666667</v>
      </c>
      <c r="AO257" s="7">
        <v>4</v>
      </c>
      <c r="AP257" s="7">
        <v>1</v>
      </c>
      <c r="AQ257" s="7">
        <v>1</v>
      </c>
      <c r="AR257" s="7">
        <v>0</v>
      </c>
      <c r="AS257" s="7">
        <v>0</v>
      </c>
      <c r="AT257" s="7">
        <v>0</v>
      </c>
      <c r="AU257" s="7">
        <v>0</v>
      </c>
      <c r="AV257" s="7">
        <v>0</v>
      </c>
      <c r="AW257" s="7">
        <v>0</v>
      </c>
      <c r="AX257" s="7">
        <v>1</v>
      </c>
      <c r="AY257" s="5">
        <v>2.75</v>
      </c>
      <c r="AZ257" s="7">
        <v>0</v>
      </c>
      <c r="BA257" s="7">
        <v>0</v>
      </c>
      <c r="BB257" s="7">
        <v>0</v>
      </c>
      <c r="BC257" s="7">
        <v>1</v>
      </c>
      <c r="BD257" s="7">
        <v>1</v>
      </c>
      <c r="BE257" s="7">
        <v>0</v>
      </c>
      <c r="BF257" s="7">
        <v>1</v>
      </c>
      <c r="BG257" s="7">
        <v>20</v>
      </c>
      <c r="BH257" s="7">
        <v>0</v>
      </c>
      <c r="BI257" s="7">
        <v>0</v>
      </c>
      <c r="BJ257" s="7">
        <v>1</v>
      </c>
      <c r="BK257" s="11">
        <v>1</v>
      </c>
      <c r="BL257" s="7" t="s">
        <v>1306</v>
      </c>
      <c r="BM257" s="7">
        <v>1</v>
      </c>
    </row>
    <row r="258" spans="1:65" ht="30" customHeight="1" x14ac:dyDescent="0.3">
      <c r="A258" s="3" t="s">
        <v>16</v>
      </c>
      <c r="B258" s="3">
        <v>1</v>
      </c>
      <c r="C258" s="8">
        <v>44467</v>
      </c>
      <c r="D258" s="9">
        <v>0.27777777777777779</v>
      </c>
      <c r="E258" s="4">
        <v>62</v>
      </c>
      <c r="F258" s="3">
        <v>0</v>
      </c>
      <c r="G258" s="3">
        <v>0</v>
      </c>
      <c r="H258" s="3">
        <v>0</v>
      </c>
      <c r="I258" s="3">
        <v>0</v>
      </c>
      <c r="J258" s="9">
        <v>0.40972222222222227</v>
      </c>
      <c r="K258" s="3">
        <v>142.19999999999999</v>
      </c>
      <c r="L258" s="11">
        <f t="shared" ref="L258" si="489">K258-K257</f>
        <v>0.19999999999998863</v>
      </c>
      <c r="M258" s="5">
        <f t="shared" ref="M258" si="490">AB257</f>
        <v>1500</v>
      </c>
      <c r="N258" s="11">
        <v>29.875</v>
      </c>
      <c r="O258" s="11">
        <v>32</v>
      </c>
      <c r="P258" s="11">
        <v>11.125</v>
      </c>
      <c r="Q258" s="11">
        <v>10.875</v>
      </c>
      <c r="R258" s="11">
        <v>20.125</v>
      </c>
      <c r="S258" s="11">
        <v>20.25</v>
      </c>
      <c r="T258" s="11">
        <v>15</v>
      </c>
      <c r="U258" s="11">
        <v>15</v>
      </c>
      <c r="V258" s="11">
        <v>15</v>
      </c>
      <c r="W258" s="11">
        <v>15</v>
      </c>
      <c r="X258" s="11">
        <v>7</v>
      </c>
      <c r="Y258" s="11">
        <v>7</v>
      </c>
      <c r="Z258" s="3" t="s">
        <v>1350</v>
      </c>
      <c r="AA258" s="10" t="s">
        <v>1351</v>
      </c>
      <c r="AB258" s="5">
        <f>9+240+400+320+320+46+300+9+240</f>
        <v>1884</v>
      </c>
      <c r="AC258" s="6">
        <f>0+14+0+18+0+2+16+0+14</f>
        <v>64</v>
      </c>
      <c r="AD258" s="6">
        <f>0+8+0+3+0+1+3+0+8</f>
        <v>23</v>
      </c>
      <c r="AE258" s="6">
        <f>1+19+0+4+0+1+4+1+19</f>
        <v>49</v>
      </c>
      <c r="AF258" s="6">
        <f>2+9+95+32+76+7+32+2+9</f>
        <v>264</v>
      </c>
      <c r="AG258" s="6">
        <f>1+3+0+2+0+1+2+1+3</f>
        <v>13</v>
      </c>
      <c r="AH258" s="6">
        <f>9+370+150+560+120+102+340+9+370</f>
        <v>2030</v>
      </c>
      <c r="AI258" s="6">
        <f t="shared" si="400"/>
        <v>3.3970276008492568E-2</v>
      </c>
      <c r="AJ258" s="6">
        <f t="shared" si="401"/>
        <v>1.2208067940552018E-2</v>
      </c>
      <c r="AK258" s="6">
        <f t="shared" si="402"/>
        <v>2.6008492569002124E-2</v>
      </c>
      <c r="AL258" s="6">
        <f t="shared" si="403"/>
        <v>0.14012738853503184</v>
      </c>
      <c r="AM258" s="6">
        <f t="shared" si="404"/>
        <v>6.9002123142250533E-3</v>
      </c>
      <c r="AN258" s="6">
        <f t="shared" si="405"/>
        <v>1.0774946921443738</v>
      </c>
      <c r="AO258" s="7">
        <v>6</v>
      </c>
      <c r="AP258" s="7">
        <v>1</v>
      </c>
      <c r="AQ258" s="7">
        <v>1</v>
      </c>
      <c r="AR258" s="7">
        <v>0</v>
      </c>
      <c r="AS258" s="7">
        <v>0</v>
      </c>
      <c r="AT258" s="7">
        <v>0</v>
      </c>
      <c r="AU258" s="7">
        <v>0</v>
      </c>
      <c r="AV258" s="7">
        <v>0</v>
      </c>
      <c r="AW258" s="7">
        <v>31</v>
      </c>
      <c r="AX258" s="7">
        <v>1</v>
      </c>
      <c r="AY258" s="5">
        <v>8</v>
      </c>
      <c r="AZ258" s="7">
        <v>0</v>
      </c>
      <c r="BA258" s="7">
        <v>1</v>
      </c>
      <c r="BB258" s="7">
        <v>0</v>
      </c>
      <c r="BC258" s="7">
        <v>1</v>
      </c>
      <c r="BD258" s="7">
        <v>1</v>
      </c>
      <c r="BE258" s="7">
        <v>0</v>
      </c>
      <c r="BF258" s="7">
        <v>0</v>
      </c>
      <c r="BG258" s="7">
        <v>0</v>
      </c>
      <c r="BH258" s="7">
        <v>0</v>
      </c>
      <c r="BI258" s="7">
        <v>0</v>
      </c>
      <c r="BJ258" s="7">
        <v>1</v>
      </c>
      <c r="BK258" s="11">
        <v>1</v>
      </c>
      <c r="BL258" s="7" t="s">
        <v>1306</v>
      </c>
      <c r="BM258" s="7">
        <v>1</v>
      </c>
    </row>
    <row r="259" spans="1:65" ht="30" customHeight="1" x14ac:dyDescent="0.3">
      <c r="A259" s="3" t="s">
        <v>17</v>
      </c>
      <c r="B259" s="3">
        <v>2</v>
      </c>
      <c r="C259" s="8">
        <v>44468</v>
      </c>
      <c r="D259" s="9">
        <v>0.30763888888888891</v>
      </c>
      <c r="E259" s="4">
        <v>61</v>
      </c>
      <c r="F259" s="3">
        <v>0</v>
      </c>
      <c r="G259" s="3">
        <v>0</v>
      </c>
      <c r="H259" s="3">
        <v>0</v>
      </c>
      <c r="I259" s="3">
        <v>0</v>
      </c>
      <c r="J259" s="9">
        <v>0.30833333333333335</v>
      </c>
      <c r="K259" s="3">
        <v>138.80000000000001</v>
      </c>
      <c r="L259" s="11">
        <f t="shared" ref="L259" si="491">K259-K258</f>
        <v>-3.3999999999999773</v>
      </c>
      <c r="M259" s="5">
        <f t="shared" ref="M259" si="492">AB258</f>
        <v>1884</v>
      </c>
      <c r="N259" s="11">
        <v>30.125</v>
      </c>
      <c r="O259" s="11">
        <v>31.875</v>
      </c>
      <c r="P259" s="11">
        <v>10.875</v>
      </c>
      <c r="Q259" s="11">
        <v>11</v>
      </c>
      <c r="R259" s="11">
        <v>19.875</v>
      </c>
      <c r="S259" s="11">
        <v>19.75</v>
      </c>
      <c r="T259" s="11">
        <v>15</v>
      </c>
      <c r="U259" s="11">
        <v>13</v>
      </c>
      <c r="V259" s="11">
        <v>16</v>
      </c>
      <c r="W259" s="11">
        <v>15</v>
      </c>
      <c r="X259" s="11">
        <v>7</v>
      </c>
      <c r="Y259" s="11">
        <v>7</v>
      </c>
      <c r="Z259" s="3" t="s">
        <v>1353</v>
      </c>
      <c r="AA259" s="10" t="s">
        <v>1355</v>
      </c>
      <c r="AB259" s="12">
        <f>110+880+80+100+43+150+0+0+290+110</f>
        <v>1763</v>
      </c>
      <c r="AC259" s="6">
        <f>0+0+0+5+2+8+0+0+4+7</f>
        <v>26</v>
      </c>
      <c r="AD259" s="6">
        <f>0+0+0+3+1+2+0+0+1+5</f>
        <v>12</v>
      </c>
      <c r="AE259" s="6">
        <f>12+0+1+1+1+2+0+0+9+10</f>
        <v>36</v>
      </c>
      <c r="AF259" s="6">
        <f>15+209+19+13+6+16+0+0+53+2</f>
        <v>333</v>
      </c>
      <c r="AG259" s="6">
        <f>0+0+0+0+0+1+0+0+2+0</f>
        <v>3</v>
      </c>
      <c r="AH259" s="6">
        <f>60+330+20+422+170+260+55+410+370</f>
        <v>2097</v>
      </c>
      <c r="AI259" s="6">
        <f t="shared" si="400"/>
        <v>1.4747589336358479E-2</v>
      </c>
      <c r="AJ259" s="6">
        <f t="shared" si="401"/>
        <v>6.8065796937039139E-3</v>
      </c>
      <c r="AK259" s="6">
        <f t="shared" si="402"/>
        <v>2.0419739081111742E-2</v>
      </c>
      <c r="AL259" s="6">
        <f t="shared" si="403"/>
        <v>0.18888258650028361</v>
      </c>
      <c r="AM259" s="6">
        <f t="shared" si="404"/>
        <v>1.7016449234259785E-3</v>
      </c>
      <c r="AN259" s="6">
        <f t="shared" si="405"/>
        <v>1.189449801474759</v>
      </c>
      <c r="AO259" s="7">
        <v>6</v>
      </c>
      <c r="AP259" s="7">
        <v>1</v>
      </c>
      <c r="AQ259" s="7">
        <v>1</v>
      </c>
      <c r="AR259" s="7">
        <v>0</v>
      </c>
      <c r="AS259" s="7">
        <v>0</v>
      </c>
      <c r="AT259" s="7">
        <v>0</v>
      </c>
      <c r="AU259" s="7">
        <v>0</v>
      </c>
      <c r="AV259" s="7">
        <v>0</v>
      </c>
      <c r="AW259" s="7">
        <v>31</v>
      </c>
      <c r="AX259" s="7">
        <v>1</v>
      </c>
      <c r="AY259" s="5">
        <v>9</v>
      </c>
      <c r="AZ259" s="7">
        <v>0</v>
      </c>
      <c r="BA259" s="7">
        <v>1</v>
      </c>
      <c r="BB259" s="7">
        <v>0</v>
      </c>
      <c r="BC259" s="7">
        <v>1</v>
      </c>
      <c r="BD259" s="7">
        <v>1</v>
      </c>
      <c r="BE259" s="7">
        <v>0</v>
      </c>
      <c r="BF259" s="7">
        <v>0</v>
      </c>
      <c r="BG259" s="7">
        <v>0</v>
      </c>
      <c r="BH259" s="7">
        <v>0</v>
      </c>
      <c r="BI259" s="7">
        <v>0</v>
      </c>
      <c r="BJ259" s="7">
        <v>0</v>
      </c>
      <c r="BK259" s="11">
        <v>0</v>
      </c>
      <c r="BL259" s="7">
        <v>0</v>
      </c>
      <c r="BM259" s="7">
        <v>1</v>
      </c>
    </row>
    <row r="260" spans="1:65" ht="30" customHeight="1" x14ac:dyDescent="0.3">
      <c r="A260" s="3" t="s">
        <v>18</v>
      </c>
      <c r="B260" s="3">
        <v>3</v>
      </c>
      <c r="C260" s="8">
        <v>44469</v>
      </c>
      <c r="D260" s="9">
        <v>0.7319444444444444</v>
      </c>
      <c r="E260" s="4">
        <v>90</v>
      </c>
      <c r="F260" s="3">
        <v>0</v>
      </c>
      <c r="G260" s="3">
        <v>0</v>
      </c>
      <c r="H260" s="3">
        <v>0</v>
      </c>
      <c r="I260" s="3">
        <v>0</v>
      </c>
      <c r="J260" s="9">
        <v>0.37291666666666662</v>
      </c>
      <c r="K260" s="3">
        <v>140.4</v>
      </c>
      <c r="L260" s="11">
        <f t="shared" ref="L260" si="493">K260-K259</f>
        <v>1.5999999999999943</v>
      </c>
      <c r="M260" s="5">
        <f t="shared" ref="M260" si="494">AB259</f>
        <v>1763</v>
      </c>
      <c r="N260" s="11">
        <v>28.5</v>
      </c>
      <c r="O260" s="11">
        <v>31</v>
      </c>
      <c r="P260" s="11">
        <v>10.625</v>
      </c>
      <c r="Q260" s="11">
        <v>10.75</v>
      </c>
      <c r="R260" s="11">
        <v>19.625</v>
      </c>
      <c r="S260" s="11">
        <v>19.75</v>
      </c>
      <c r="T260" s="11">
        <v>15</v>
      </c>
      <c r="U260" s="11">
        <v>13</v>
      </c>
      <c r="V260" s="11">
        <v>15</v>
      </c>
      <c r="W260" s="11">
        <v>15</v>
      </c>
      <c r="X260" s="11">
        <v>7</v>
      </c>
      <c r="Y260" s="11">
        <v>7</v>
      </c>
      <c r="Z260" s="3" t="s">
        <v>1354</v>
      </c>
      <c r="AA260" s="10" t="s">
        <v>1359</v>
      </c>
      <c r="AB260" s="5">
        <f>870+220+80+160+240+0+0</f>
        <v>1570</v>
      </c>
      <c r="AC260" s="6">
        <f>11+14+0+0+14+0+0</f>
        <v>39</v>
      </c>
      <c r="AD260" s="6">
        <f>2+9+0+0+8+0+0</f>
        <v>19</v>
      </c>
      <c r="AE260" s="6">
        <f>27+20+0+2+19+0+0</f>
        <v>68</v>
      </c>
      <c r="AF260" s="6">
        <f>159+4+19+38+9+0+0</f>
        <v>229</v>
      </c>
      <c r="AG260" s="6">
        <f>6+0+0+0+3+0+0</f>
        <v>9</v>
      </c>
      <c r="AH260" s="6">
        <f>1230+740+30+40+370+260+55</f>
        <v>2725</v>
      </c>
      <c r="AI260" s="6">
        <f t="shared" si="400"/>
        <v>2.4840764331210193E-2</v>
      </c>
      <c r="AJ260" s="6">
        <f t="shared" si="401"/>
        <v>1.2101910828025478E-2</v>
      </c>
      <c r="AK260" s="6">
        <f t="shared" si="402"/>
        <v>4.3312101910828023E-2</v>
      </c>
      <c r="AL260" s="6">
        <f t="shared" si="403"/>
        <v>0.14585987261146496</v>
      </c>
      <c r="AM260" s="6">
        <f t="shared" si="404"/>
        <v>5.7324840764331206E-3</v>
      </c>
      <c r="AN260" s="6">
        <f t="shared" si="405"/>
        <v>1.7356687898089171</v>
      </c>
      <c r="AO260" s="7">
        <v>6</v>
      </c>
      <c r="AP260" s="7">
        <v>3</v>
      </c>
      <c r="AQ260" s="7">
        <v>1</v>
      </c>
      <c r="AR260" s="7">
        <v>0</v>
      </c>
      <c r="AS260" s="7">
        <v>0</v>
      </c>
      <c r="AT260" s="7">
        <v>0</v>
      </c>
      <c r="AU260" s="7">
        <v>0</v>
      </c>
      <c r="AV260" s="7">
        <v>0</v>
      </c>
      <c r="AW260" s="7">
        <v>31</v>
      </c>
      <c r="AX260" s="7">
        <v>1</v>
      </c>
      <c r="AY260" s="5">
        <v>5.25</v>
      </c>
      <c r="AZ260" s="7">
        <v>0</v>
      </c>
      <c r="BA260" s="7">
        <v>0</v>
      </c>
      <c r="BB260" s="7">
        <v>0</v>
      </c>
      <c r="BC260" s="7">
        <v>1</v>
      </c>
      <c r="BD260" s="7">
        <v>1</v>
      </c>
      <c r="BE260" s="7">
        <v>0</v>
      </c>
      <c r="BF260" s="7">
        <v>1</v>
      </c>
      <c r="BG260" s="7">
        <v>15</v>
      </c>
      <c r="BH260" s="7">
        <v>0</v>
      </c>
      <c r="BI260" s="7">
        <v>1</v>
      </c>
      <c r="BJ260" s="7">
        <v>0</v>
      </c>
      <c r="BK260" s="11">
        <v>1</v>
      </c>
      <c r="BL260" s="7" t="s">
        <v>1306</v>
      </c>
      <c r="BM260" s="7">
        <v>1</v>
      </c>
    </row>
    <row r="261" spans="1:65" ht="30" customHeight="1" x14ac:dyDescent="0.3">
      <c r="A261" s="3" t="s">
        <v>137</v>
      </c>
      <c r="B261" s="3">
        <v>4</v>
      </c>
      <c r="C261" s="8">
        <v>44470</v>
      </c>
      <c r="D261" s="9">
        <v>0.60416666666666663</v>
      </c>
      <c r="E261" s="4">
        <v>96</v>
      </c>
      <c r="F261" s="3">
        <v>0</v>
      </c>
      <c r="G261" s="3">
        <v>0</v>
      </c>
      <c r="H261" s="3">
        <v>0</v>
      </c>
      <c r="I261" s="3">
        <v>0.5</v>
      </c>
      <c r="J261" s="9">
        <v>0.28958333333333336</v>
      </c>
      <c r="K261" s="3">
        <v>139.6</v>
      </c>
      <c r="L261" s="11">
        <f t="shared" ref="L261" si="495">K261-K260</f>
        <v>-0.80000000000001137</v>
      </c>
      <c r="M261" s="5">
        <f t="shared" ref="M261" si="496">AB260</f>
        <v>1570</v>
      </c>
      <c r="N261" s="11">
        <v>29.75</v>
      </c>
      <c r="O261" s="11">
        <v>31.5</v>
      </c>
      <c r="P261" s="11">
        <v>10.5</v>
      </c>
      <c r="Q261" s="11">
        <v>10.625</v>
      </c>
      <c r="R261" s="11">
        <v>19.75</v>
      </c>
      <c r="S261" s="11">
        <v>19.75</v>
      </c>
      <c r="T261" s="11">
        <v>13</v>
      </c>
      <c r="U261" s="11">
        <v>13</v>
      </c>
      <c r="V261" s="11">
        <v>15</v>
      </c>
      <c r="W261" s="11">
        <v>14</v>
      </c>
      <c r="X261" s="11">
        <v>7</v>
      </c>
      <c r="Y261" s="11">
        <v>7</v>
      </c>
      <c r="Z261" s="3" t="s">
        <v>1363</v>
      </c>
      <c r="AA261" s="10" t="s">
        <v>1361</v>
      </c>
      <c r="AB261" s="5">
        <f>580+110+0+0+240+390</f>
        <v>1320</v>
      </c>
      <c r="AC261" s="6">
        <f>7+7+0+0+0+15</f>
        <v>29</v>
      </c>
      <c r="AD261" s="6">
        <f>1+5+0+0+0+2</f>
        <v>8</v>
      </c>
      <c r="AE261" s="6">
        <f>18+10+0+0+3+6</f>
        <v>37</v>
      </c>
      <c r="AF261" s="6">
        <f>106+2+0+0+57+63</f>
        <v>228</v>
      </c>
      <c r="AG261" s="6">
        <f>4+0+0+0+0+6</f>
        <v>10</v>
      </c>
      <c r="AH261" s="6">
        <f>820+370+260+55+60+660</f>
        <v>2225</v>
      </c>
      <c r="AI261" s="6">
        <f t="shared" si="400"/>
        <v>2.1969696969696969E-2</v>
      </c>
      <c r="AJ261" s="6">
        <f t="shared" si="401"/>
        <v>6.0606060606060606E-3</v>
      </c>
      <c r="AK261" s="6">
        <f t="shared" si="402"/>
        <v>2.803030303030303E-2</v>
      </c>
      <c r="AL261" s="6">
        <f t="shared" si="403"/>
        <v>0.17272727272727273</v>
      </c>
      <c r="AM261" s="6">
        <f t="shared" si="404"/>
        <v>7.575757575757576E-3</v>
      </c>
      <c r="AN261" s="6">
        <f t="shared" si="405"/>
        <v>1.6856060606060606</v>
      </c>
      <c r="AO261" s="7">
        <v>6</v>
      </c>
      <c r="AP261" s="7">
        <v>3</v>
      </c>
      <c r="AQ261" s="7">
        <v>1</v>
      </c>
      <c r="AR261" s="20" t="s">
        <v>1362</v>
      </c>
      <c r="AS261" s="7">
        <v>0</v>
      </c>
      <c r="AT261" s="7">
        <v>0</v>
      </c>
      <c r="AU261" s="7">
        <v>0</v>
      </c>
      <c r="AV261" s="7">
        <v>0</v>
      </c>
      <c r="AW261" s="7">
        <v>31</v>
      </c>
      <c r="AX261" s="7">
        <v>1</v>
      </c>
      <c r="AY261" s="5">
        <v>7.5</v>
      </c>
      <c r="AZ261" s="7">
        <v>0</v>
      </c>
      <c r="BA261" s="7">
        <v>0</v>
      </c>
      <c r="BB261" s="7">
        <v>0</v>
      </c>
      <c r="BC261" s="7">
        <v>1</v>
      </c>
      <c r="BD261" s="7">
        <v>1</v>
      </c>
      <c r="BE261" s="7">
        <v>0</v>
      </c>
      <c r="BF261" s="7">
        <v>0</v>
      </c>
      <c r="BG261" s="7">
        <v>0</v>
      </c>
      <c r="BH261" s="7">
        <v>0</v>
      </c>
      <c r="BI261" s="7">
        <v>1</v>
      </c>
      <c r="BJ261" s="7">
        <v>0</v>
      </c>
      <c r="BK261" s="11">
        <v>1.67</v>
      </c>
      <c r="BL261" s="7" t="s">
        <v>1306</v>
      </c>
      <c r="BM261" s="7">
        <v>1</v>
      </c>
    </row>
    <row r="262" spans="1:65" ht="30" customHeight="1" x14ac:dyDescent="0.3">
      <c r="A262" s="3" t="s">
        <v>19</v>
      </c>
      <c r="B262" s="3">
        <v>5</v>
      </c>
      <c r="C262" s="8">
        <v>44471</v>
      </c>
      <c r="D262" s="9">
        <v>0.27083333333333331</v>
      </c>
      <c r="E262" s="4">
        <v>63</v>
      </c>
      <c r="F262" s="3">
        <v>0</v>
      </c>
      <c r="G262" s="3">
        <v>0</v>
      </c>
      <c r="H262" s="3">
        <v>0</v>
      </c>
      <c r="I262" s="3">
        <v>0</v>
      </c>
      <c r="J262" s="9">
        <v>0.27083333333333331</v>
      </c>
      <c r="K262" s="3">
        <v>140.19999999999999</v>
      </c>
      <c r="L262" s="11">
        <f t="shared" ref="L262" si="497">K262-K261</f>
        <v>0.59999999999999432</v>
      </c>
      <c r="M262" s="5">
        <f t="shared" ref="M262" si="498">AB261</f>
        <v>1320</v>
      </c>
      <c r="N262" s="11">
        <v>30</v>
      </c>
      <c r="O262" s="11">
        <v>31.625</v>
      </c>
      <c r="P262" s="11">
        <v>10.875</v>
      </c>
      <c r="Q262" s="11">
        <v>10.875</v>
      </c>
      <c r="R262" s="11">
        <v>19.75</v>
      </c>
      <c r="S262" s="11">
        <v>20</v>
      </c>
      <c r="T262" s="11">
        <v>15</v>
      </c>
      <c r="U262" s="11">
        <v>14</v>
      </c>
      <c r="V262" s="11">
        <v>16</v>
      </c>
      <c r="W262" s="11">
        <v>15</v>
      </c>
      <c r="X262" s="11">
        <v>7</v>
      </c>
      <c r="Y262" s="11">
        <v>7</v>
      </c>
      <c r="Z262" s="3" t="s">
        <v>1366</v>
      </c>
      <c r="AA262" s="10" t="s">
        <v>1367</v>
      </c>
      <c r="AB262" s="5">
        <f>290+90+725+204+130+480+290+90</f>
        <v>2299</v>
      </c>
      <c r="AC262" s="6">
        <f>4+6+15+20+5+0+4+6</f>
        <v>60</v>
      </c>
      <c r="AD262" s="6">
        <f>1+4+3+13+1+0+1+4</f>
        <v>27</v>
      </c>
      <c r="AE262" s="6">
        <f>9+7+28+4+2+6+9+7</f>
        <v>72</v>
      </c>
      <c r="AF262" s="6">
        <f>53+2+116+2+21+114+53+2</f>
        <v>363</v>
      </c>
      <c r="AG262" s="6">
        <f>2+0+9+0+2+0+2+0</f>
        <v>15</v>
      </c>
      <c r="AH262" s="6">
        <f>410+210+2278+172+220+120+410+210</f>
        <v>4030</v>
      </c>
      <c r="AI262" s="6">
        <f t="shared" si="400"/>
        <v>2.6098303610265331E-2</v>
      </c>
      <c r="AJ262" s="6">
        <f t="shared" si="401"/>
        <v>1.17442366246194E-2</v>
      </c>
      <c r="AK262" s="6">
        <f t="shared" si="402"/>
        <v>3.1317964332318399E-2</v>
      </c>
      <c r="AL262" s="6">
        <f t="shared" si="403"/>
        <v>0.15789473684210525</v>
      </c>
      <c r="AM262" s="6">
        <f t="shared" si="404"/>
        <v>6.5245759025663328E-3</v>
      </c>
      <c r="AN262" s="6">
        <f t="shared" si="405"/>
        <v>1.7529360591561549</v>
      </c>
      <c r="AO262" s="7">
        <v>6</v>
      </c>
      <c r="AP262" s="7">
        <v>4</v>
      </c>
      <c r="AQ262" s="7">
        <v>0</v>
      </c>
      <c r="AR262" s="7">
        <v>0</v>
      </c>
      <c r="AS262" s="7">
        <v>0</v>
      </c>
      <c r="AT262" s="7">
        <v>0</v>
      </c>
      <c r="AU262" s="7">
        <v>0</v>
      </c>
      <c r="AV262" s="7">
        <v>0</v>
      </c>
      <c r="AW262" s="7">
        <v>31</v>
      </c>
      <c r="AX262" s="7">
        <v>1</v>
      </c>
      <c r="AY262" s="5">
        <v>6</v>
      </c>
      <c r="AZ262" s="7">
        <v>0</v>
      </c>
      <c r="BA262" s="7">
        <v>0</v>
      </c>
      <c r="BB262" s="7">
        <v>0</v>
      </c>
      <c r="BC262" s="7">
        <v>1</v>
      </c>
      <c r="BD262" s="7">
        <v>1</v>
      </c>
      <c r="BE262" s="7">
        <v>0</v>
      </c>
      <c r="BF262" s="7">
        <v>0</v>
      </c>
      <c r="BG262" s="7">
        <v>0</v>
      </c>
      <c r="BH262" s="7">
        <v>0</v>
      </c>
      <c r="BI262" s="7">
        <v>1</v>
      </c>
      <c r="BJ262" s="7">
        <v>0</v>
      </c>
      <c r="BK262" s="11">
        <v>2</v>
      </c>
      <c r="BL262" s="7" t="s">
        <v>1306</v>
      </c>
      <c r="BM262" s="7">
        <v>1</v>
      </c>
    </row>
    <row r="263" spans="1:65" ht="30" customHeight="1" x14ac:dyDescent="0.3">
      <c r="A263" s="3" t="s">
        <v>23</v>
      </c>
      <c r="B263" s="3">
        <v>6</v>
      </c>
      <c r="C263" s="8">
        <v>44472</v>
      </c>
      <c r="D263" s="9">
        <v>0.25208333333333333</v>
      </c>
      <c r="E263" s="4">
        <v>67</v>
      </c>
      <c r="F263" s="3">
        <v>0</v>
      </c>
      <c r="G263" s="3">
        <v>0</v>
      </c>
      <c r="H263" s="3">
        <v>0</v>
      </c>
      <c r="I263" s="3">
        <v>0</v>
      </c>
      <c r="J263" s="9">
        <v>0.29652777777777778</v>
      </c>
      <c r="K263" s="3">
        <v>140.4</v>
      </c>
      <c r="L263" s="11">
        <f t="shared" ref="L263" si="499">K263-K262</f>
        <v>0.20000000000001705</v>
      </c>
      <c r="M263" s="5">
        <f t="shared" ref="M263" si="500">AB262</f>
        <v>2299</v>
      </c>
      <c r="N263" s="11">
        <v>29.875</v>
      </c>
      <c r="O263" s="11">
        <v>31.5</v>
      </c>
      <c r="P263" s="11">
        <v>10.625</v>
      </c>
      <c r="Q263" s="11">
        <v>10.625</v>
      </c>
      <c r="R263" s="11">
        <v>19.75</v>
      </c>
      <c r="S263" s="11">
        <v>19.75</v>
      </c>
      <c r="T263" s="11">
        <v>15</v>
      </c>
      <c r="U263" s="11">
        <v>13</v>
      </c>
      <c r="V263" s="11">
        <v>15</v>
      </c>
      <c r="W263" s="11">
        <v>13</v>
      </c>
      <c r="X263" s="11">
        <v>7</v>
      </c>
      <c r="Y263" s="11">
        <v>7</v>
      </c>
      <c r="Z263" s="3" t="s">
        <v>1369</v>
      </c>
      <c r="AA263" s="10" t="s">
        <v>1370</v>
      </c>
      <c r="AB263" s="5">
        <f>290+90+290+90+127+7+179+109+330</f>
        <v>1512</v>
      </c>
      <c r="AC263" s="6">
        <f>4+6+4+6+7+0+15+5+1</f>
        <v>48</v>
      </c>
      <c r="AD263" s="6">
        <f>1+4+1+4+4+0+10+1+0</f>
        <v>25</v>
      </c>
      <c r="AE263" s="6">
        <f>9+7+9+7+11+0+10+3+11</f>
        <v>67</v>
      </c>
      <c r="AF263" s="6">
        <f>53+2+53+2+5+2+11+12+67</f>
        <v>207</v>
      </c>
      <c r="AG263" s="6">
        <f>2+0+2+0+1+0+0+2+3</f>
        <v>10</v>
      </c>
      <c r="AH263" s="6">
        <f>410+210+410+210+207+1+759+149+644</f>
        <v>3000</v>
      </c>
      <c r="AI263" s="6">
        <f t="shared" si="400"/>
        <v>3.1746031746031744E-2</v>
      </c>
      <c r="AJ263" s="6">
        <f t="shared" si="401"/>
        <v>1.6534391534391533E-2</v>
      </c>
      <c r="AK263" s="6">
        <f t="shared" si="402"/>
        <v>4.431216931216931E-2</v>
      </c>
      <c r="AL263" s="6">
        <f t="shared" si="403"/>
        <v>0.13690476190476192</v>
      </c>
      <c r="AM263" s="6">
        <f t="shared" si="404"/>
        <v>6.6137566137566134E-3</v>
      </c>
      <c r="AN263" s="6">
        <f t="shared" si="405"/>
        <v>1.9841269841269842</v>
      </c>
      <c r="AO263" s="7">
        <v>6</v>
      </c>
      <c r="AP263" s="7">
        <v>1</v>
      </c>
      <c r="AQ263" s="7">
        <v>0</v>
      </c>
      <c r="AR263" s="7">
        <v>0</v>
      </c>
      <c r="AS263" s="7">
        <v>0</v>
      </c>
      <c r="AT263" s="7">
        <v>0</v>
      </c>
      <c r="AU263" s="7">
        <v>0</v>
      </c>
      <c r="AV263" s="7">
        <v>0</v>
      </c>
      <c r="AW263" s="7">
        <v>31</v>
      </c>
      <c r="AX263" s="7">
        <v>1</v>
      </c>
      <c r="AY263" s="5">
        <v>6</v>
      </c>
      <c r="AZ263" s="7">
        <v>0</v>
      </c>
      <c r="BA263" s="7">
        <v>0</v>
      </c>
      <c r="BB263" s="7">
        <v>0</v>
      </c>
      <c r="BC263" s="7">
        <v>1</v>
      </c>
      <c r="BD263" s="7">
        <v>1</v>
      </c>
      <c r="BE263" s="7">
        <v>0</v>
      </c>
      <c r="BF263" s="7">
        <v>0</v>
      </c>
      <c r="BG263" s="7">
        <v>0</v>
      </c>
      <c r="BH263" s="7">
        <v>0</v>
      </c>
      <c r="BI263" s="7">
        <v>0</v>
      </c>
      <c r="BJ263" s="7">
        <v>0</v>
      </c>
      <c r="BK263" s="11">
        <v>2</v>
      </c>
      <c r="BL263" s="7" t="s">
        <v>1306</v>
      </c>
      <c r="BM263" s="7">
        <v>1</v>
      </c>
    </row>
    <row r="264" spans="1:65" ht="30" customHeight="1" x14ac:dyDescent="0.3">
      <c r="A264" s="3" t="s">
        <v>15</v>
      </c>
      <c r="B264" s="3">
        <v>7</v>
      </c>
      <c r="C264" s="8">
        <v>44473</v>
      </c>
      <c r="D264" s="9">
        <v>0.625</v>
      </c>
      <c r="E264" s="4">
        <v>97</v>
      </c>
      <c r="F264" s="3">
        <v>5</v>
      </c>
      <c r="G264" s="3">
        <v>3</v>
      </c>
      <c r="H264" s="3">
        <v>15</v>
      </c>
      <c r="I264" s="3">
        <v>0.25</v>
      </c>
      <c r="J264" s="9">
        <v>0.62152777777777779</v>
      </c>
      <c r="K264" s="3">
        <v>143.80000000000001</v>
      </c>
      <c r="L264" s="11">
        <f t="shared" ref="L264" si="501">K264-K263</f>
        <v>3.4000000000000057</v>
      </c>
      <c r="M264" s="5">
        <f t="shared" ref="M264" si="502">AB263</f>
        <v>1512</v>
      </c>
      <c r="N264" s="11">
        <v>29.5</v>
      </c>
      <c r="O264" s="11">
        <v>31</v>
      </c>
      <c r="P264" s="11">
        <v>10.75</v>
      </c>
      <c r="Q264" s="11">
        <v>10.625</v>
      </c>
      <c r="R264" s="11">
        <v>19.75</v>
      </c>
      <c r="S264" s="11">
        <v>19.75</v>
      </c>
      <c r="T264" s="11">
        <v>12</v>
      </c>
      <c r="U264" s="11">
        <v>12</v>
      </c>
      <c r="V264" s="11">
        <v>15</v>
      </c>
      <c r="W264" s="11">
        <v>14</v>
      </c>
      <c r="X264" s="11">
        <v>7</v>
      </c>
      <c r="Y264" s="11">
        <v>7</v>
      </c>
      <c r="Z264" s="3" t="s">
        <v>1372</v>
      </c>
      <c r="AA264" s="10" t="s">
        <v>1373</v>
      </c>
      <c r="AB264" s="5">
        <f>290+90+290+90+127+7+65+130+38+26+100+285+7+140+90</f>
        <v>1775</v>
      </c>
      <c r="AC264" s="6">
        <f>4+6+4+6+7+0+3+6+2+1+5+17+0+7+6</f>
        <v>74</v>
      </c>
      <c r="AD264" s="6">
        <f>1+4+1+4+4+0+2+3+1+0+3+9+0+5+4</f>
        <v>41</v>
      </c>
      <c r="AE264" s="6">
        <f>9+7+9+7+11+0+1+2+0+1+24+0+2+7</f>
        <v>80</v>
      </c>
      <c r="AF264" s="6">
        <f>53+2+53+2+5+2+10+17+6+5+13+11+2+18+2</f>
        <v>201</v>
      </c>
      <c r="AG264" s="6">
        <f>2+0+2+0+1+0+1+1+0+0+0+2+0+2+0</f>
        <v>11</v>
      </c>
      <c r="AH264" s="6">
        <f>410+210+410+210+207+1+10+65+13+11+40+465+1+90+210</f>
        <v>2353</v>
      </c>
      <c r="AI264" s="6">
        <f t="shared" si="400"/>
        <v>4.1690140845070424E-2</v>
      </c>
      <c r="AJ264" s="6">
        <f t="shared" si="401"/>
        <v>2.3098591549295774E-2</v>
      </c>
      <c r="AK264" s="6">
        <f t="shared" si="402"/>
        <v>4.507042253521127E-2</v>
      </c>
      <c r="AL264" s="6">
        <f t="shared" si="403"/>
        <v>0.1132394366197183</v>
      </c>
      <c r="AM264" s="6">
        <f t="shared" si="404"/>
        <v>6.1971830985915492E-3</v>
      </c>
      <c r="AN264" s="6">
        <f t="shared" si="405"/>
        <v>1.3256338028169015</v>
      </c>
      <c r="AO264" s="7">
        <v>6</v>
      </c>
      <c r="AP264" s="7">
        <v>3</v>
      </c>
      <c r="AQ264" s="7">
        <v>0</v>
      </c>
      <c r="AR264" s="10" t="s">
        <v>1371</v>
      </c>
      <c r="AS264" s="7">
        <v>0</v>
      </c>
      <c r="AT264" s="7">
        <v>-3</v>
      </c>
      <c r="AU264" s="7">
        <v>0</v>
      </c>
      <c r="AV264" s="7">
        <v>0</v>
      </c>
      <c r="AW264" s="7">
        <v>31</v>
      </c>
      <c r="AX264" s="7">
        <v>1</v>
      </c>
      <c r="AY264" s="5">
        <v>7.5</v>
      </c>
      <c r="AZ264" s="7">
        <v>0</v>
      </c>
      <c r="BA264" s="7">
        <v>0</v>
      </c>
      <c r="BB264" s="7">
        <v>0</v>
      </c>
      <c r="BC264" s="7">
        <v>1</v>
      </c>
      <c r="BD264" s="7">
        <v>1</v>
      </c>
      <c r="BE264" s="7">
        <v>0</v>
      </c>
      <c r="BF264" s="7">
        <v>0</v>
      </c>
      <c r="BG264" s="7">
        <v>0</v>
      </c>
      <c r="BH264" s="7">
        <v>0</v>
      </c>
      <c r="BI264" s="7">
        <v>1</v>
      </c>
      <c r="BJ264" s="7">
        <v>0</v>
      </c>
      <c r="BK264" s="11">
        <v>2</v>
      </c>
      <c r="BL264" s="7" t="s">
        <v>1306</v>
      </c>
      <c r="BM264" s="7">
        <v>1</v>
      </c>
    </row>
    <row r="265" spans="1:65" ht="30" customHeight="1" x14ac:dyDescent="0.3"/>
    <row r="266" spans="1:65" ht="30" customHeight="1" x14ac:dyDescent="0.3"/>
    <row r="267" spans="1:65" ht="30"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087D-762F-4B12-B905-BA55329DE4CE}">
  <dimension ref="A1:C24"/>
  <sheetViews>
    <sheetView topLeftCell="A5" workbookViewId="0">
      <selection activeCell="C24" sqref="C24"/>
    </sheetView>
  </sheetViews>
  <sheetFormatPr defaultRowHeight="14.4" x14ac:dyDescent="0.3"/>
  <sheetData>
    <row r="1" spans="1:3" x14ac:dyDescent="0.3">
      <c r="A1">
        <v>12</v>
      </c>
    </row>
    <row r="2" spans="1:3" x14ac:dyDescent="0.3">
      <c r="A2">
        <v>1</v>
      </c>
    </row>
    <row r="3" spans="1:3" x14ac:dyDescent="0.3">
      <c r="A3">
        <v>2</v>
      </c>
    </row>
    <row r="4" spans="1:3" x14ac:dyDescent="0.3">
      <c r="A4">
        <v>3</v>
      </c>
    </row>
    <row r="5" spans="1:3" x14ac:dyDescent="0.3">
      <c r="A5">
        <v>4</v>
      </c>
    </row>
    <row r="6" spans="1:3" x14ac:dyDescent="0.3">
      <c r="A6">
        <v>5</v>
      </c>
    </row>
    <row r="7" spans="1:3" x14ac:dyDescent="0.3">
      <c r="A7">
        <v>6</v>
      </c>
      <c r="B7" t="s">
        <v>1188</v>
      </c>
      <c r="C7" t="s">
        <v>1188</v>
      </c>
    </row>
    <row r="8" spans="1:3" x14ac:dyDescent="0.3">
      <c r="A8">
        <v>7</v>
      </c>
    </row>
    <row r="9" spans="1:3" x14ac:dyDescent="0.3">
      <c r="A9">
        <v>8</v>
      </c>
    </row>
    <row r="10" spans="1:3" x14ac:dyDescent="0.3">
      <c r="A10">
        <v>9</v>
      </c>
    </row>
    <row r="11" spans="1:3" x14ac:dyDescent="0.3">
      <c r="A11">
        <v>10</v>
      </c>
    </row>
    <row r="12" spans="1:3" x14ac:dyDescent="0.3">
      <c r="A12">
        <v>11</v>
      </c>
    </row>
    <row r="13" spans="1:3" x14ac:dyDescent="0.3">
      <c r="A13">
        <v>12</v>
      </c>
    </row>
    <row r="14" spans="1:3" x14ac:dyDescent="0.3">
      <c r="A14">
        <v>1</v>
      </c>
    </row>
    <row r="15" spans="1:3" x14ac:dyDescent="0.3">
      <c r="A15">
        <v>2</v>
      </c>
      <c r="B15" t="s">
        <v>1188</v>
      </c>
      <c r="C15" t="s">
        <v>1188</v>
      </c>
    </row>
    <row r="16" spans="1:3" x14ac:dyDescent="0.3">
      <c r="A16">
        <v>3</v>
      </c>
    </row>
    <row r="17" spans="1:3" x14ac:dyDescent="0.3">
      <c r="A17">
        <v>4</v>
      </c>
    </row>
    <row r="18" spans="1:3" x14ac:dyDescent="0.3">
      <c r="A18">
        <v>5</v>
      </c>
    </row>
    <row r="19" spans="1:3" x14ac:dyDescent="0.3">
      <c r="A19">
        <v>6</v>
      </c>
    </row>
    <row r="20" spans="1:3" x14ac:dyDescent="0.3">
      <c r="A20">
        <v>7</v>
      </c>
    </row>
    <row r="21" spans="1:3" x14ac:dyDescent="0.3">
      <c r="A21">
        <v>8</v>
      </c>
    </row>
    <row r="22" spans="1:3" x14ac:dyDescent="0.3">
      <c r="A22">
        <v>9</v>
      </c>
    </row>
    <row r="23" spans="1:3" x14ac:dyDescent="0.3">
      <c r="A23">
        <v>10</v>
      </c>
      <c r="B23" t="s">
        <v>1188</v>
      </c>
      <c r="C23" t="s">
        <v>1188</v>
      </c>
    </row>
    <row r="24" spans="1:3" x14ac:dyDescent="0.3">
      <c r="A24">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NutritionalData</vt:lpstr>
      <vt:lpstr>researchMeasures</vt:lpstr>
      <vt:lpstr>Sheet1</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2021-10-05T04:29:09Z</dcterms:modified>
</cp:coreProperties>
</file>