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mc:AlternateContent xmlns:mc="http://schemas.openxmlformats.org/markup-compatibility/2006">
    <mc:Choice Requires="x15">
      <x15ac:absPath xmlns:x15ac="http://schemas.microsoft.com/office/spreadsheetml/2010/11/ac" url="C:\Users\jlcor\Desktop\"/>
    </mc:Choice>
  </mc:AlternateContent>
  <xr:revisionPtr revIDLastSave="0" documentId="13_ncr:1_{B163E407-8311-4000-823B-BECE2164E7C6}" xr6:coauthVersionLast="47" xr6:coauthVersionMax="47" xr10:uidLastSave="{00000000-0000-0000-0000-000000000000}"/>
  <bookViews>
    <workbookView xWindow="-108" yWindow="-108" windowWidth="23256" windowHeight="12576" activeTab="1" xr2:uid="{00000000-000D-0000-FFFF-FFFF00000000}"/>
  </bookViews>
  <sheets>
    <sheet name="NutritionalData" sheetId="4" r:id="rId1"/>
    <sheet name="researchMeasures" sheetId="1" r:id="rId2"/>
    <sheet name="Sheet1" sheetId="7" r:id="rId3"/>
    <sheet name="dataDictionary" sheetId="5" r:id="rId4"/>
    <sheet name="vacationRedondo" sheetId="6" r:id="rId5"/>
  </sheets>
  <definedNames>
    <definedName name="_xlnm._FilterDatabase" localSheetId="1" hidden="1">researchMeasures!$BA$1:$BA$195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H253" i="1" l="1"/>
  <c r="AG253" i="1"/>
  <c r="AF253" i="1"/>
  <c r="AE253" i="1"/>
  <c r="AD253" i="1"/>
  <c r="AJ253" i="1" s="1"/>
  <c r="AC253" i="1"/>
  <c r="AB253" i="1"/>
  <c r="C600" i="4"/>
  <c r="D600" i="4"/>
  <c r="E600" i="4"/>
  <c r="F600" i="4"/>
  <c r="G600" i="4"/>
  <c r="H600" i="4"/>
  <c r="B600" i="4"/>
  <c r="AL253" i="1"/>
  <c r="AI253" i="1"/>
  <c r="AK253" i="1"/>
  <c r="AM253" i="1"/>
  <c r="AI252" i="1"/>
  <c r="AJ252" i="1"/>
  <c r="AK252" i="1"/>
  <c r="AL252" i="1"/>
  <c r="AM252" i="1"/>
  <c r="AN252" i="1"/>
  <c r="AH252" i="1"/>
  <c r="AG252" i="1"/>
  <c r="AF252" i="1"/>
  <c r="AE252" i="1"/>
  <c r="AD252" i="1"/>
  <c r="AC252" i="1"/>
  <c r="AB252" i="1"/>
  <c r="M253" i="1" s="1"/>
  <c r="C599" i="4"/>
  <c r="D599" i="4"/>
  <c r="E599" i="4"/>
  <c r="F599" i="4"/>
  <c r="G599" i="4"/>
  <c r="H599" i="4"/>
  <c r="B599" i="4"/>
  <c r="L253" i="1"/>
  <c r="L252" i="1"/>
  <c r="M252" i="1"/>
  <c r="AS251" i="1"/>
  <c r="AI251" i="1"/>
  <c r="AJ251" i="1"/>
  <c r="AK251" i="1"/>
  <c r="AL251" i="1"/>
  <c r="AM251" i="1"/>
  <c r="AN251" i="1"/>
  <c r="AH251" i="1"/>
  <c r="AG251" i="1"/>
  <c r="AF251" i="1"/>
  <c r="AE251" i="1"/>
  <c r="AD251" i="1"/>
  <c r="AC251" i="1"/>
  <c r="AB251" i="1"/>
  <c r="L251" i="1"/>
  <c r="M251" i="1"/>
  <c r="AH250" i="1"/>
  <c r="AG250" i="1"/>
  <c r="AM250" i="1" s="1"/>
  <c r="AF250" i="1"/>
  <c r="AE250" i="1"/>
  <c r="AD250" i="1"/>
  <c r="AC250" i="1"/>
  <c r="AB250" i="1"/>
  <c r="AS250" i="1"/>
  <c r="AJ250" i="1"/>
  <c r="AK250" i="1"/>
  <c r="AL250" i="1"/>
  <c r="AN250" i="1"/>
  <c r="AH249" i="1"/>
  <c r="AG249" i="1"/>
  <c r="AM249" i="1" s="1"/>
  <c r="AF249" i="1"/>
  <c r="AL249" i="1" s="1"/>
  <c r="AE249" i="1"/>
  <c r="AD249" i="1"/>
  <c r="AC249" i="1"/>
  <c r="AI249" i="1" s="1"/>
  <c r="AB249" i="1"/>
  <c r="AN249" i="1" s="1"/>
  <c r="L250" i="1"/>
  <c r="M250" i="1"/>
  <c r="AH248" i="1"/>
  <c r="AG248" i="1"/>
  <c r="AF248" i="1"/>
  <c r="AE248" i="1"/>
  <c r="AD248" i="1"/>
  <c r="AC248" i="1"/>
  <c r="AB248" i="1"/>
  <c r="AJ248" i="1" s="1"/>
  <c r="AJ249" i="1"/>
  <c r="AK249" i="1"/>
  <c r="L249" i="1"/>
  <c r="L248" i="1"/>
  <c r="M248" i="1"/>
  <c r="AH247" i="1"/>
  <c r="AG247" i="1"/>
  <c r="AF247" i="1"/>
  <c r="AE247" i="1"/>
  <c r="AD247" i="1"/>
  <c r="AC247" i="1"/>
  <c r="AB247" i="1"/>
  <c r="AU247" i="1"/>
  <c r="AD246" i="1"/>
  <c r="L247" i="1"/>
  <c r="M247" i="1"/>
  <c r="AH246" i="1"/>
  <c r="AG246" i="1"/>
  <c r="AF246" i="1"/>
  <c r="AE246" i="1"/>
  <c r="AC246" i="1"/>
  <c r="AB246" i="1"/>
  <c r="AI245" i="1"/>
  <c r="AJ245" i="1"/>
  <c r="AK245" i="1"/>
  <c r="AL245" i="1"/>
  <c r="AM245" i="1"/>
  <c r="AN245" i="1"/>
  <c r="AH245" i="1"/>
  <c r="AG245" i="1"/>
  <c r="AF245" i="1"/>
  <c r="AE245" i="1"/>
  <c r="AD245" i="1"/>
  <c r="AC245" i="1"/>
  <c r="AB245" i="1"/>
  <c r="M246" i="1" s="1"/>
  <c r="L246" i="1"/>
  <c r="L245" i="1"/>
  <c r="M245" i="1"/>
  <c r="AH244" i="1"/>
  <c r="AG244" i="1"/>
  <c r="AM244" i="1" s="1"/>
  <c r="AF244" i="1"/>
  <c r="AL244" i="1" s="1"/>
  <c r="AE244" i="1"/>
  <c r="AD244" i="1"/>
  <c r="AJ244" i="1" s="1"/>
  <c r="AC244" i="1"/>
  <c r="AI244" i="1" s="1"/>
  <c r="AB244" i="1"/>
  <c r="AN253" i="1" l="1"/>
  <c r="AI250" i="1"/>
  <c r="AN248" i="1"/>
  <c r="AL248" i="1"/>
  <c r="AI248" i="1"/>
  <c r="M249" i="1"/>
  <c r="AM248" i="1"/>
  <c r="AK248" i="1"/>
  <c r="AI247" i="1"/>
  <c r="AN247" i="1"/>
  <c r="AK247" i="1"/>
  <c r="AJ247" i="1"/>
  <c r="AM247" i="1"/>
  <c r="AL247" i="1"/>
  <c r="AM246" i="1"/>
  <c r="AJ246" i="1"/>
  <c r="AI246" i="1"/>
  <c r="AK246" i="1"/>
  <c r="AN246" i="1"/>
  <c r="AL246" i="1"/>
  <c r="AK244" i="1"/>
  <c r="AN244" i="1"/>
  <c r="L244" i="1"/>
  <c r="M244" i="1"/>
  <c r="AH243" i="1"/>
  <c r="AG243" i="1"/>
  <c r="AF243" i="1"/>
  <c r="AE243" i="1"/>
  <c r="AD243" i="1"/>
  <c r="AC243" i="1"/>
  <c r="AI243" i="1" s="1"/>
  <c r="AB243" i="1"/>
  <c r="AU243" i="1"/>
  <c r="AJ243" i="1"/>
  <c r="L243" i="1"/>
  <c r="M243" i="1"/>
  <c r="AI242" i="1"/>
  <c r="AJ242" i="1"/>
  <c r="AK242" i="1"/>
  <c r="AL242" i="1"/>
  <c r="AM242" i="1"/>
  <c r="AN242" i="1"/>
  <c r="AH242" i="1"/>
  <c r="AG242" i="1"/>
  <c r="AF242" i="1"/>
  <c r="AE242" i="1"/>
  <c r="AD242" i="1"/>
  <c r="AC242" i="1"/>
  <c r="AB242" i="1"/>
  <c r="L242" i="1"/>
  <c r="M242" i="1"/>
  <c r="AH241" i="1"/>
  <c r="AG241" i="1"/>
  <c r="AF241" i="1"/>
  <c r="AE241" i="1"/>
  <c r="AD241" i="1"/>
  <c r="AC241" i="1"/>
  <c r="AB241" i="1"/>
  <c r="L241" i="1"/>
  <c r="M241" i="1"/>
  <c r="AH240" i="1"/>
  <c r="AG240" i="1"/>
  <c r="AF240" i="1"/>
  <c r="AE240" i="1"/>
  <c r="AD240" i="1"/>
  <c r="AC240" i="1"/>
  <c r="AB240" i="1"/>
  <c r="AK240" i="1" s="1"/>
  <c r="AI240" i="1"/>
  <c r="AJ240" i="1"/>
  <c r="AN240" i="1"/>
  <c r="L240" i="1"/>
  <c r="M240" i="1"/>
  <c r="AH239" i="1"/>
  <c r="AN239" i="1" s="1"/>
  <c r="AG239" i="1"/>
  <c r="AE239" i="1"/>
  <c r="AF239" i="1"/>
  <c r="AC239" i="1"/>
  <c r="AB239" i="1"/>
  <c r="AD239" i="1"/>
  <c r="AK239" i="1"/>
  <c r="AI239" i="1"/>
  <c r="AJ239" i="1"/>
  <c r="AM239" i="1"/>
  <c r="L239" i="1"/>
  <c r="M239" i="1"/>
  <c r="AI238" i="1"/>
  <c r="AJ238" i="1"/>
  <c r="AK238" i="1"/>
  <c r="AL238" i="1"/>
  <c r="AM238" i="1"/>
  <c r="AN238" i="1"/>
  <c r="AH238" i="1"/>
  <c r="AG238" i="1"/>
  <c r="AF238" i="1"/>
  <c r="AE238" i="1"/>
  <c r="AD238" i="1"/>
  <c r="AC238" i="1"/>
  <c r="AB238" i="1"/>
  <c r="L238" i="1"/>
  <c r="M238" i="1"/>
  <c r="AI237" i="1"/>
  <c r="AJ237" i="1"/>
  <c r="AK237" i="1"/>
  <c r="AL237" i="1"/>
  <c r="AM237" i="1"/>
  <c r="AN237" i="1"/>
  <c r="AH237" i="1"/>
  <c r="AG237" i="1"/>
  <c r="AF237" i="1"/>
  <c r="AE237" i="1"/>
  <c r="AD237" i="1"/>
  <c r="AC237" i="1"/>
  <c r="AB237" i="1"/>
  <c r="L237" i="1"/>
  <c r="M237" i="1"/>
  <c r="AI236" i="1"/>
  <c r="AJ236" i="1"/>
  <c r="AK236" i="1"/>
  <c r="AL236" i="1"/>
  <c r="AM236" i="1"/>
  <c r="AN236" i="1"/>
  <c r="AH236" i="1"/>
  <c r="AG236" i="1"/>
  <c r="AF236" i="1"/>
  <c r="AE236" i="1"/>
  <c r="AD236" i="1"/>
  <c r="AC236" i="1"/>
  <c r="AB236" i="1"/>
  <c r="L236" i="1"/>
  <c r="M236" i="1"/>
  <c r="AH235" i="1"/>
  <c r="AG235" i="1"/>
  <c r="AF235" i="1"/>
  <c r="AE235" i="1"/>
  <c r="AD235" i="1"/>
  <c r="AC235" i="1"/>
  <c r="AB235" i="1"/>
  <c r="AI235" i="1"/>
  <c r="AJ235" i="1"/>
  <c r="L235" i="1"/>
  <c r="M235" i="1"/>
  <c r="AH234" i="1"/>
  <c r="AN234" i="1" s="1"/>
  <c r="AG234" i="1"/>
  <c r="AF234" i="1"/>
  <c r="AE234" i="1"/>
  <c r="AD234" i="1"/>
  <c r="AC234" i="1"/>
  <c r="AB234" i="1"/>
  <c r="AH233" i="1"/>
  <c r="AG233" i="1"/>
  <c r="AF233" i="1"/>
  <c r="AE233" i="1"/>
  <c r="AK233" i="1" s="1"/>
  <c r="AD233" i="1"/>
  <c r="AC233" i="1"/>
  <c r="AB233" i="1"/>
  <c r="AI234" i="1"/>
  <c r="AJ234" i="1"/>
  <c r="AK234" i="1"/>
  <c r="AL234" i="1"/>
  <c r="AM234" i="1"/>
  <c r="L234" i="1"/>
  <c r="AJ233" i="1"/>
  <c r="L233" i="1"/>
  <c r="M233" i="1"/>
  <c r="AH232" i="1"/>
  <c r="AG232" i="1"/>
  <c r="AF232" i="1"/>
  <c r="AE232" i="1"/>
  <c r="AD232" i="1"/>
  <c r="AC232" i="1"/>
  <c r="AB232" i="1"/>
  <c r="AN232" i="1" s="1"/>
  <c r="AI230" i="1"/>
  <c r="AJ230" i="1"/>
  <c r="AK230" i="1"/>
  <c r="AL230" i="1"/>
  <c r="AM230" i="1"/>
  <c r="AN230" i="1"/>
  <c r="AI231" i="1"/>
  <c r="AJ231" i="1"/>
  <c r="AK231" i="1"/>
  <c r="AL231" i="1"/>
  <c r="AM231" i="1"/>
  <c r="AN231" i="1"/>
  <c r="AM232" i="1"/>
  <c r="L232" i="1"/>
  <c r="M232" i="1"/>
  <c r="AH231" i="1"/>
  <c r="AG231" i="1"/>
  <c r="AF231" i="1"/>
  <c r="AE231" i="1"/>
  <c r="AD231" i="1"/>
  <c r="AC231" i="1"/>
  <c r="AB231" i="1"/>
  <c r="L231" i="1"/>
  <c r="M231" i="1"/>
  <c r="AH230" i="1"/>
  <c r="AG230" i="1"/>
  <c r="AF230" i="1"/>
  <c r="AE230" i="1"/>
  <c r="AD230" i="1"/>
  <c r="AC230" i="1"/>
  <c r="AB230" i="1"/>
  <c r="L230" i="1"/>
  <c r="M230" i="1"/>
  <c r="AH229" i="1"/>
  <c r="AG229" i="1"/>
  <c r="AF229" i="1"/>
  <c r="AE229" i="1"/>
  <c r="AK229" i="1" s="1"/>
  <c r="AD229" i="1"/>
  <c r="AC229" i="1"/>
  <c r="AI229" i="1" s="1"/>
  <c r="AB229" i="1"/>
  <c r="AJ229" i="1"/>
  <c r="AL229" i="1"/>
  <c r="AM229" i="1"/>
  <c r="AN229" i="1"/>
  <c r="C555" i="4"/>
  <c r="D555" i="4"/>
  <c r="E555" i="4"/>
  <c r="F555" i="4"/>
  <c r="G555" i="4"/>
  <c r="H555" i="4"/>
  <c r="B555" i="4"/>
  <c r="L229" i="1"/>
  <c r="M229" i="1"/>
  <c r="AI228" i="1"/>
  <c r="AJ228" i="1"/>
  <c r="AK228" i="1"/>
  <c r="AL228" i="1"/>
  <c r="AM228" i="1"/>
  <c r="AN228" i="1"/>
  <c r="AH228" i="1"/>
  <c r="AG228" i="1"/>
  <c r="AF228" i="1"/>
  <c r="AE228" i="1"/>
  <c r="AD228" i="1"/>
  <c r="AC228" i="1"/>
  <c r="AB228" i="1"/>
  <c r="L228" i="1"/>
  <c r="M228" i="1"/>
  <c r="AH227" i="1"/>
  <c r="AG227" i="1"/>
  <c r="AF227" i="1"/>
  <c r="AE227" i="1"/>
  <c r="AD227" i="1"/>
  <c r="AC227" i="1"/>
  <c r="AB227" i="1"/>
  <c r="M227" i="1"/>
  <c r="L227" i="1"/>
  <c r="AI226" i="1"/>
  <c r="AJ226" i="1"/>
  <c r="AK226" i="1"/>
  <c r="AL226" i="1"/>
  <c r="AM226" i="1"/>
  <c r="AN226" i="1"/>
  <c r="AH226" i="1"/>
  <c r="AG226" i="1"/>
  <c r="AF226" i="1"/>
  <c r="AE226" i="1"/>
  <c r="AD226" i="1"/>
  <c r="AC226" i="1"/>
  <c r="AB226" i="1"/>
  <c r="L226" i="1"/>
  <c r="M226" i="1"/>
  <c r="AC221" i="1"/>
  <c r="AH225" i="1"/>
  <c r="AG225" i="1"/>
  <c r="AM225" i="1" s="1"/>
  <c r="AF225" i="1"/>
  <c r="AE225" i="1"/>
  <c r="AD225" i="1"/>
  <c r="AC225" i="1"/>
  <c r="AB225" i="1"/>
  <c r="L225" i="1"/>
  <c r="M225" i="1"/>
  <c r="AN225" i="1"/>
  <c r="H551" i="4"/>
  <c r="G551" i="4"/>
  <c r="F551" i="4"/>
  <c r="E551" i="4"/>
  <c r="D551" i="4"/>
  <c r="C551" i="4"/>
  <c r="B551" i="4"/>
  <c r="AI224" i="1"/>
  <c r="AJ224" i="1"/>
  <c r="AK224" i="1"/>
  <c r="AL224" i="1"/>
  <c r="AM224" i="1"/>
  <c r="AN224" i="1"/>
  <c r="AH224" i="1"/>
  <c r="AF224" i="1"/>
  <c r="AG224" i="1"/>
  <c r="AE224" i="1"/>
  <c r="AD224" i="1"/>
  <c r="AC224" i="1"/>
  <c r="AB224" i="1"/>
  <c r="C550" i="4"/>
  <c r="D550" i="4"/>
  <c r="E550" i="4"/>
  <c r="F550" i="4"/>
  <c r="G550" i="4"/>
  <c r="H550" i="4"/>
  <c r="B550" i="4"/>
  <c r="L224" i="1"/>
  <c r="M224" i="1"/>
  <c r="AH223" i="1"/>
  <c r="AG223" i="1"/>
  <c r="AF223" i="1"/>
  <c r="AE223" i="1"/>
  <c r="AD223" i="1"/>
  <c r="AJ223" i="1" s="1"/>
  <c r="AC223" i="1"/>
  <c r="AB223" i="1"/>
  <c r="C545" i="4"/>
  <c r="D545" i="4"/>
  <c r="E545" i="4"/>
  <c r="F545" i="4"/>
  <c r="G545" i="4"/>
  <c r="H545" i="4"/>
  <c r="B545" i="4"/>
  <c r="L223" i="1"/>
  <c r="M223" i="1"/>
  <c r="AI222" i="1"/>
  <c r="AJ222" i="1"/>
  <c r="AK222" i="1"/>
  <c r="AL222" i="1"/>
  <c r="AM222" i="1"/>
  <c r="AN222" i="1"/>
  <c r="AH222" i="1"/>
  <c r="AG222" i="1"/>
  <c r="AF222" i="1"/>
  <c r="AE222" i="1"/>
  <c r="AD222" i="1"/>
  <c r="AC222" i="1"/>
  <c r="AB222" i="1"/>
  <c r="L222" i="1"/>
  <c r="M222" i="1"/>
  <c r="AI221" i="1"/>
  <c r="AJ221" i="1"/>
  <c r="AK221" i="1"/>
  <c r="AL221" i="1"/>
  <c r="AM221" i="1"/>
  <c r="AN221" i="1"/>
  <c r="AH221" i="1"/>
  <c r="AG221" i="1"/>
  <c r="AF221" i="1"/>
  <c r="AE221" i="1"/>
  <c r="AD221" i="1"/>
  <c r="AB221" i="1"/>
  <c r="L221" i="1"/>
  <c r="M221" i="1"/>
  <c r="AI220" i="1"/>
  <c r="AJ220" i="1"/>
  <c r="AK220" i="1"/>
  <c r="AL220" i="1"/>
  <c r="AM220" i="1"/>
  <c r="AN220" i="1"/>
  <c r="AH220" i="1"/>
  <c r="AG220" i="1"/>
  <c r="AF220" i="1"/>
  <c r="AE220" i="1"/>
  <c r="AD220" i="1"/>
  <c r="AC220" i="1"/>
  <c r="AB220" i="1"/>
  <c r="L220" i="1"/>
  <c r="M220" i="1"/>
  <c r="AH219" i="1"/>
  <c r="AF219" i="1"/>
  <c r="AE219" i="1"/>
  <c r="AD219" i="1"/>
  <c r="AC219" i="1"/>
  <c r="AB219" i="1"/>
  <c r="AN219" i="1" s="1"/>
  <c r="AG219" i="1"/>
  <c r="AI218" i="1"/>
  <c r="AJ218" i="1"/>
  <c r="AK218" i="1"/>
  <c r="AL218" i="1"/>
  <c r="AM218" i="1"/>
  <c r="AN218" i="1"/>
  <c r="AH218" i="1"/>
  <c r="AG218" i="1"/>
  <c r="AF218" i="1"/>
  <c r="AE218" i="1"/>
  <c r="AD218" i="1"/>
  <c r="AC218" i="1"/>
  <c r="AB218" i="1"/>
  <c r="M219" i="1" s="1"/>
  <c r="L219" i="1"/>
  <c r="L218" i="1"/>
  <c r="M218" i="1"/>
  <c r="AI217" i="1"/>
  <c r="AJ217" i="1"/>
  <c r="AK217" i="1"/>
  <c r="AL217" i="1"/>
  <c r="AM217" i="1"/>
  <c r="AN217" i="1"/>
  <c r="AH217" i="1"/>
  <c r="AG217" i="1"/>
  <c r="AF217" i="1"/>
  <c r="AE217" i="1"/>
  <c r="AD217" i="1"/>
  <c r="AC217" i="1"/>
  <c r="AB217" i="1"/>
  <c r="C540" i="4"/>
  <c r="D540" i="4"/>
  <c r="E540" i="4"/>
  <c r="F540" i="4"/>
  <c r="G540" i="4"/>
  <c r="H540" i="4"/>
  <c r="B540" i="4"/>
  <c r="L217" i="1"/>
  <c r="M217" i="1"/>
  <c r="AH216" i="1"/>
  <c r="AG216" i="1"/>
  <c r="AF216" i="1"/>
  <c r="AE216" i="1"/>
  <c r="AD216" i="1"/>
  <c r="AC216" i="1"/>
  <c r="AB216" i="1"/>
  <c r="AH215" i="1"/>
  <c r="AG215" i="1"/>
  <c r="AF215" i="1"/>
  <c r="AE215" i="1"/>
  <c r="AD215" i="1"/>
  <c r="AC215" i="1"/>
  <c r="AB215" i="1"/>
  <c r="AI215" i="1" s="1"/>
  <c r="L216" i="1"/>
  <c r="AH214" i="1"/>
  <c r="AG214" i="1"/>
  <c r="AF214" i="1"/>
  <c r="AE214" i="1"/>
  <c r="AD214" i="1"/>
  <c r="AC214" i="1"/>
  <c r="AB214" i="1"/>
  <c r="L215" i="1"/>
  <c r="M215" i="1"/>
  <c r="AN214" i="1"/>
  <c r="L214" i="1"/>
  <c r="M214" i="1"/>
  <c r="AI213" i="1"/>
  <c r="AJ213" i="1"/>
  <c r="AK213" i="1"/>
  <c r="AL213" i="1"/>
  <c r="AM213" i="1"/>
  <c r="AN213" i="1"/>
  <c r="AH213" i="1"/>
  <c r="AG213" i="1"/>
  <c r="AF213" i="1"/>
  <c r="AE213" i="1"/>
  <c r="AD213" i="1"/>
  <c r="AC213" i="1"/>
  <c r="AB213" i="1"/>
  <c r="C525" i="4"/>
  <c r="D525" i="4"/>
  <c r="E525" i="4"/>
  <c r="F525" i="4"/>
  <c r="G525" i="4"/>
  <c r="H525" i="4"/>
  <c r="B525" i="4"/>
  <c r="C524" i="4"/>
  <c r="D524" i="4"/>
  <c r="E524" i="4"/>
  <c r="F524" i="4"/>
  <c r="G524" i="4"/>
  <c r="H524" i="4"/>
  <c r="B524" i="4"/>
  <c r="H523" i="4"/>
  <c r="G523" i="4"/>
  <c r="F523" i="4"/>
  <c r="E523" i="4"/>
  <c r="D523" i="4"/>
  <c r="C523" i="4"/>
  <c r="B523" i="4"/>
  <c r="L213" i="1"/>
  <c r="M213" i="1"/>
  <c r="AI212" i="1"/>
  <c r="AJ212" i="1"/>
  <c r="AK212" i="1"/>
  <c r="AL212" i="1"/>
  <c r="AM212" i="1"/>
  <c r="AN212" i="1"/>
  <c r="AH212" i="1"/>
  <c r="AG212" i="1"/>
  <c r="AF212" i="1"/>
  <c r="AE212" i="1"/>
  <c r="AD212" i="1"/>
  <c r="AC212" i="1"/>
  <c r="AB212" i="1"/>
  <c r="L212" i="1"/>
  <c r="M212" i="1"/>
  <c r="AH211" i="1"/>
  <c r="AG211" i="1"/>
  <c r="AF211" i="1"/>
  <c r="AE211" i="1"/>
  <c r="AD211" i="1"/>
  <c r="AC211" i="1"/>
  <c r="AB211" i="1"/>
  <c r="C521" i="4"/>
  <c r="D521" i="4"/>
  <c r="E521" i="4"/>
  <c r="F521" i="4"/>
  <c r="G521" i="4"/>
  <c r="H521" i="4"/>
  <c r="B521" i="4"/>
  <c r="C520" i="4"/>
  <c r="D520" i="4"/>
  <c r="E520" i="4"/>
  <c r="F520" i="4"/>
  <c r="G520" i="4"/>
  <c r="H520" i="4"/>
  <c r="B520" i="4"/>
  <c r="L211" i="1"/>
  <c r="M211" i="1"/>
  <c r="AI210" i="1"/>
  <c r="AJ210" i="1"/>
  <c r="AK210" i="1"/>
  <c r="AL210" i="1"/>
  <c r="AM210" i="1"/>
  <c r="AN210" i="1"/>
  <c r="AH210" i="1"/>
  <c r="AG210" i="1"/>
  <c r="AF210" i="1"/>
  <c r="AE210" i="1"/>
  <c r="AD210" i="1"/>
  <c r="AC210" i="1"/>
  <c r="AB210" i="1"/>
  <c r="C514" i="4"/>
  <c r="D514" i="4"/>
  <c r="E514" i="4"/>
  <c r="F514" i="4"/>
  <c r="G514" i="4"/>
  <c r="H514" i="4"/>
  <c r="B514" i="4"/>
  <c r="L210" i="1"/>
  <c r="M210" i="1"/>
  <c r="AI209" i="1"/>
  <c r="AJ209" i="1"/>
  <c r="AK209" i="1"/>
  <c r="AL209" i="1"/>
  <c r="AM209" i="1"/>
  <c r="AN209" i="1"/>
  <c r="AH209" i="1"/>
  <c r="AG209" i="1"/>
  <c r="AF209" i="1"/>
  <c r="AE209" i="1"/>
  <c r="AD209" i="1"/>
  <c r="AC209" i="1"/>
  <c r="AB209" i="1"/>
  <c r="L209" i="1"/>
  <c r="M209" i="1"/>
  <c r="AH208" i="1"/>
  <c r="AG208" i="1"/>
  <c r="AF208" i="1"/>
  <c r="AE208" i="1"/>
  <c r="AD208" i="1"/>
  <c r="AC208" i="1"/>
  <c r="AB208" i="1"/>
  <c r="C510" i="4"/>
  <c r="D510" i="4"/>
  <c r="E510" i="4"/>
  <c r="F510" i="4"/>
  <c r="G510" i="4"/>
  <c r="H510" i="4"/>
  <c r="B510" i="4"/>
  <c r="C509" i="4"/>
  <c r="D509" i="4"/>
  <c r="E509" i="4"/>
  <c r="F509" i="4"/>
  <c r="G509" i="4"/>
  <c r="H509" i="4"/>
  <c r="B509" i="4"/>
  <c r="L208" i="1"/>
  <c r="M208" i="1"/>
  <c r="AI207" i="1"/>
  <c r="AJ207" i="1"/>
  <c r="AK207" i="1"/>
  <c r="AL207" i="1"/>
  <c r="AM207" i="1"/>
  <c r="AN207" i="1"/>
  <c r="AH207" i="1"/>
  <c r="AG207" i="1"/>
  <c r="AF207" i="1"/>
  <c r="AE207" i="1"/>
  <c r="AD207" i="1"/>
  <c r="AC207" i="1"/>
  <c r="AB207" i="1"/>
  <c r="C507" i="4"/>
  <c r="B507" i="4"/>
  <c r="L207" i="1"/>
  <c r="M207" i="1"/>
  <c r="AI206" i="1"/>
  <c r="AJ206" i="1"/>
  <c r="AK206" i="1"/>
  <c r="AL206" i="1"/>
  <c r="AM206" i="1"/>
  <c r="AN206" i="1"/>
  <c r="AH206" i="1"/>
  <c r="AG206" i="1"/>
  <c r="AF206" i="1"/>
  <c r="AE206" i="1"/>
  <c r="AD206" i="1"/>
  <c r="AC206" i="1"/>
  <c r="AB206" i="1"/>
  <c r="L206" i="1"/>
  <c r="M206" i="1"/>
  <c r="AI205" i="1"/>
  <c r="AJ205" i="1"/>
  <c r="AK205" i="1"/>
  <c r="AL205" i="1"/>
  <c r="AM205" i="1"/>
  <c r="AN205" i="1"/>
  <c r="AH205" i="1"/>
  <c r="AG205" i="1"/>
  <c r="AF205" i="1"/>
  <c r="AE205" i="1"/>
  <c r="AD205" i="1"/>
  <c r="AC205" i="1"/>
  <c r="AB205" i="1"/>
  <c r="AN243" i="1" l="1"/>
  <c r="AK243" i="1"/>
  <c r="AM243" i="1"/>
  <c r="AL243" i="1"/>
  <c r="AN241" i="1"/>
  <c r="AI241" i="1"/>
  <c r="AM241" i="1"/>
  <c r="AL241" i="1"/>
  <c r="AK241" i="1"/>
  <c r="AJ241" i="1"/>
  <c r="AM240" i="1"/>
  <c r="AL240" i="1"/>
  <c r="AL239" i="1"/>
  <c r="AK235" i="1"/>
  <c r="AN235" i="1"/>
  <c r="AM235" i="1"/>
  <c r="AL235" i="1"/>
  <c r="AL233" i="1"/>
  <c r="AI233" i="1"/>
  <c r="M234" i="1"/>
  <c r="AM233" i="1"/>
  <c r="AN233" i="1"/>
  <c r="AK232" i="1"/>
  <c r="AL232" i="1"/>
  <c r="AJ232" i="1"/>
  <c r="AI232" i="1"/>
  <c r="AJ227" i="1"/>
  <c r="AI227" i="1"/>
  <c r="AN227" i="1"/>
  <c r="AL227" i="1"/>
  <c r="AM227" i="1"/>
  <c r="AK227" i="1"/>
  <c r="AK225" i="1"/>
  <c r="AJ225" i="1"/>
  <c r="AL225" i="1"/>
  <c r="AI225" i="1"/>
  <c r="AK223" i="1"/>
  <c r="AI223" i="1"/>
  <c r="AN223" i="1"/>
  <c r="AM223" i="1"/>
  <c r="AL223" i="1"/>
  <c r="AK219" i="1"/>
  <c r="AI219" i="1"/>
  <c r="AL219" i="1"/>
  <c r="AJ219" i="1"/>
  <c r="AM219" i="1"/>
  <c r="AJ216" i="1"/>
  <c r="AN216" i="1"/>
  <c r="AK216" i="1"/>
  <c r="AI216" i="1"/>
  <c r="AM216" i="1"/>
  <c r="AL216" i="1"/>
  <c r="AK215" i="1"/>
  <c r="AN215" i="1"/>
  <c r="AJ215" i="1"/>
  <c r="M216" i="1"/>
  <c r="AM215" i="1"/>
  <c r="AL215" i="1"/>
  <c r="AI214" i="1"/>
  <c r="AM214" i="1"/>
  <c r="AJ214" i="1"/>
  <c r="AL214" i="1"/>
  <c r="AK214" i="1"/>
  <c r="AJ211" i="1"/>
  <c r="AI211" i="1"/>
  <c r="AN211" i="1"/>
  <c r="AM211" i="1"/>
  <c r="AK211" i="1"/>
  <c r="AL211" i="1"/>
  <c r="AI208" i="1"/>
  <c r="AL208" i="1"/>
  <c r="AJ208" i="1"/>
  <c r="AN208" i="1"/>
  <c r="AM208" i="1"/>
  <c r="AK208" i="1"/>
  <c r="L205" i="1"/>
  <c r="M205" i="1"/>
  <c r="AI204" i="1"/>
  <c r="AJ204" i="1"/>
  <c r="AK204" i="1"/>
  <c r="AL204" i="1"/>
  <c r="AM204" i="1"/>
  <c r="AN204" i="1"/>
  <c r="AH204" i="1"/>
  <c r="AG204" i="1"/>
  <c r="AF204" i="1"/>
  <c r="AE204" i="1"/>
  <c r="AD204" i="1"/>
  <c r="AC204" i="1"/>
  <c r="AB204" i="1"/>
  <c r="AY204" i="1"/>
  <c r="BG204" i="1"/>
  <c r="L204" i="1"/>
  <c r="M204" i="1"/>
  <c r="AH203" i="1"/>
  <c r="AG203" i="1"/>
  <c r="AF203" i="1"/>
  <c r="AE203" i="1"/>
  <c r="AD203" i="1"/>
  <c r="AC203" i="1"/>
  <c r="AB203" i="1"/>
  <c r="AJ203" i="1" s="1"/>
  <c r="C501" i="4"/>
  <c r="D501" i="4"/>
  <c r="E501" i="4"/>
  <c r="F501" i="4"/>
  <c r="G501" i="4"/>
  <c r="H501" i="4"/>
  <c r="B501" i="4"/>
  <c r="AI202" i="1"/>
  <c r="AJ202" i="1"/>
  <c r="AK202" i="1"/>
  <c r="AL202" i="1"/>
  <c r="AM202" i="1"/>
  <c r="AN202" i="1"/>
  <c r="AH202" i="1"/>
  <c r="AG202" i="1"/>
  <c r="AF202" i="1"/>
  <c r="AE202" i="1"/>
  <c r="AD202" i="1"/>
  <c r="AC202" i="1"/>
  <c r="AB202" i="1"/>
  <c r="M203" i="1" s="1"/>
  <c r="C496" i="4"/>
  <c r="D496" i="4"/>
  <c r="E496" i="4"/>
  <c r="F496" i="4"/>
  <c r="G496" i="4"/>
  <c r="H496" i="4"/>
  <c r="B496" i="4"/>
  <c r="L203" i="1"/>
  <c r="G21" i="6"/>
  <c r="F10" i="6"/>
  <c r="G16" i="6" s="1"/>
  <c r="H23" i="6" s="1"/>
  <c r="L202" i="1"/>
  <c r="AH201" i="1"/>
  <c r="AG201" i="1"/>
  <c r="AF201" i="1"/>
  <c r="AE201" i="1"/>
  <c r="AD201" i="1"/>
  <c r="AC201" i="1"/>
  <c r="AB201" i="1"/>
  <c r="M202" i="1" s="1"/>
  <c r="L201" i="1"/>
  <c r="AH200" i="1"/>
  <c r="AG200" i="1"/>
  <c r="AF200" i="1"/>
  <c r="AE200" i="1"/>
  <c r="AD200" i="1"/>
  <c r="AC200" i="1"/>
  <c r="AB200" i="1"/>
  <c r="M201" i="1" s="1"/>
  <c r="L200" i="1"/>
  <c r="AH199" i="1"/>
  <c r="AG199" i="1"/>
  <c r="AF199" i="1"/>
  <c r="AE199" i="1"/>
  <c r="AD199" i="1"/>
  <c r="AC199" i="1"/>
  <c r="AB199" i="1"/>
  <c r="M200" i="1" s="1"/>
  <c r="C482" i="4"/>
  <c r="D482" i="4"/>
  <c r="E482" i="4"/>
  <c r="F482" i="4"/>
  <c r="G482" i="4"/>
  <c r="H482" i="4"/>
  <c r="B482" i="4"/>
  <c r="C481" i="4"/>
  <c r="D481" i="4"/>
  <c r="E481" i="4"/>
  <c r="F481" i="4"/>
  <c r="G481" i="4"/>
  <c r="H481" i="4"/>
  <c r="B481" i="4"/>
  <c r="L199" i="1"/>
  <c r="AH198" i="1"/>
  <c r="AG198" i="1"/>
  <c r="AF198" i="1"/>
  <c r="AE198" i="1"/>
  <c r="AD198" i="1"/>
  <c r="AC198" i="1"/>
  <c r="AB198" i="1"/>
  <c r="AH197" i="1"/>
  <c r="AG197" i="1"/>
  <c r="AF197" i="1"/>
  <c r="AE197" i="1"/>
  <c r="AD197" i="1"/>
  <c r="AC197" i="1"/>
  <c r="AB197" i="1"/>
  <c r="M198" i="1" s="1"/>
  <c r="L198" i="1"/>
  <c r="AH196" i="1"/>
  <c r="AG196" i="1"/>
  <c r="AF196" i="1"/>
  <c r="AE196" i="1"/>
  <c r="AD196" i="1"/>
  <c r="AC196" i="1"/>
  <c r="AB196" i="1"/>
  <c r="M197" i="1" s="1"/>
  <c r="L197" i="1"/>
  <c r="L196" i="1"/>
  <c r="AH195" i="1"/>
  <c r="AG195" i="1"/>
  <c r="AF195" i="1"/>
  <c r="AE195" i="1"/>
  <c r="AD195" i="1"/>
  <c r="AC195" i="1"/>
  <c r="AB195" i="1"/>
  <c r="AM195" i="1" s="1"/>
  <c r="L195" i="1"/>
  <c r="AH194" i="1"/>
  <c r="AG194" i="1"/>
  <c r="AF194" i="1"/>
  <c r="AE194" i="1"/>
  <c r="AD194" i="1"/>
  <c r="AC194" i="1"/>
  <c r="AB194" i="1"/>
  <c r="AH193" i="1"/>
  <c r="AG193" i="1"/>
  <c r="AF193" i="1"/>
  <c r="AE193" i="1"/>
  <c r="AD193" i="1"/>
  <c r="AC193" i="1"/>
  <c r="AB193" i="1"/>
  <c r="L194" i="1"/>
  <c r="L193" i="1"/>
  <c r="AH192" i="1"/>
  <c r="AG192" i="1"/>
  <c r="AF192" i="1"/>
  <c r="AE192" i="1"/>
  <c r="AD192" i="1"/>
  <c r="AC192" i="1"/>
  <c r="AB192" i="1"/>
  <c r="C471" i="4"/>
  <c r="D471" i="4"/>
  <c r="E471" i="4"/>
  <c r="F471" i="4"/>
  <c r="G471" i="4"/>
  <c r="H471" i="4"/>
  <c r="B471" i="4"/>
  <c r="L192" i="1"/>
  <c r="AH191" i="1"/>
  <c r="AG191" i="1"/>
  <c r="AF191" i="1"/>
  <c r="AE191" i="1"/>
  <c r="AD191" i="1"/>
  <c r="AC191" i="1"/>
  <c r="AB191" i="1"/>
  <c r="C467" i="4"/>
  <c r="D467" i="4"/>
  <c r="E467" i="4"/>
  <c r="F467" i="4"/>
  <c r="G467" i="4"/>
  <c r="H467" i="4"/>
  <c r="B467" i="4"/>
  <c r="L191" i="1"/>
  <c r="AH190" i="1"/>
  <c r="AG190" i="1"/>
  <c r="AF190" i="1"/>
  <c r="AE190" i="1"/>
  <c r="AD190" i="1"/>
  <c r="AC190" i="1"/>
  <c r="AB190" i="1"/>
  <c r="M191" i="1" s="1"/>
  <c r="AH189" i="1"/>
  <c r="AG189" i="1"/>
  <c r="AF189" i="1"/>
  <c r="AE189" i="1"/>
  <c r="AD189" i="1"/>
  <c r="AC189" i="1"/>
  <c r="AB189" i="1"/>
  <c r="M190" i="1" s="1"/>
  <c r="L190" i="1"/>
  <c r="AI203" i="1" l="1"/>
  <c r="AM203" i="1"/>
  <c r="AK203" i="1"/>
  <c r="AN203" i="1"/>
  <c r="AL203" i="1"/>
  <c r="AL199" i="1"/>
  <c r="AN192" i="1"/>
  <c r="AK200" i="1"/>
  <c r="AN200" i="1"/>
  <c r="AN196" i="1"/>
  <c r="AI200" i="1"/>
  <c r="AJ191" i="1"/>
  <c r="AK192" i="1"/>
  <c r="AK195" i="1"/>
  <c r="AL192" i="1"/>
  <c r="AN201" i="1"/>
  <c r="AI189" i="1"/>
  <c r="AJ189" i="1"/>
  <c r="AM192" i="1"/>
  <c r="AK196" i="1"/>
  <c r="AK201" i="1"/>
  <c r="AL196" i="1"/>
  <c r="AI201" i="1"/>
  <c r="AM196" i="1"/>
  <c r="AM201" i="1"/>
  <c r="AI196" i="1"/>
  <c r="AJ194" i="1"/>
  <c r="AL201" i="1"/>
  <c r="AN189" i="1"/>
  <c r="AI191" i="1"/>
  <c r="AI193" i="1"/>
  <c r="AL191" i="1"/>
  <c r="AJ193" i="1"/>
  <c r="AJ195" i="1"/>
  <c r="AN199" i="1"/>
  <c r="AI195" i="1"/>
  <c r="AL193" i="1"/>
  <c r="AK193" i="1"/>
  <c r="AJ192" i="1"/>
  <c r="AL195" i="1"/>
  <c r="M194" i="1"/>
  <c r="AN193" i="1"/>
  <c r="M195" i="1"/>
  <c r="AN195" i="1"/>
  <c r="AJ196" i="1"/>
  <c r="AJ198" i="1"/>
  <c r="AK199" i="1"/>
  <c r="M193" i="1"/>
  <c r="AL200" i="1"/>
  <c r="AM193" i="1"/>
  <c r="M196" i="1"/>
  <c r="M199" i="1"/>
  <c r="AJ201" i="1"/>
  <c r="AJ199" i="1"/>
  <c r="AM200" i="1"/>
  <c r="AJ200" i="1"/>
  <c r="AM191" i="1"/>
  <c r="AI199" i="1"/>
  <c r="AN191" i="1"/>
  <c r="AM199" i="1"/>
  <c r="AM189" i="1"/>
  <c r="AL189" i="1"/>
  <c r="AI192" i="1"/>
  <c r="AK189" i="1"/>
  <c r="M192" i="1"/>
  <c r="AL198" i="1"/>
  <c r="AN198" i="1"/>
  <c r="AM198" i="1"/>
  <c r="AK198" i="1"/>
  <c r="AI198" i="1"/>
  <c r="AJ197" i="1"/>
  <c r="AN197" i="1"/>
  <c r="AL197" i="1"/>
  <c r="AK197" i="1"/>
  <c r="AI197" i="1"/>
  <c r="AM197" i="1"/>
  <c r="AM194" i="1"/>
  <c r="AN194" i="1"/>
  <c r="AL194" i="1"/>
  <c r="AK194" i="1"/>
  <c r="AI194" i="1"/>
  <c r="AK191" i="1"/>
  <c r="AL190" i="1"/>
  <c r="AI190" i="1"/>
  <c r="AN190" i="1"/>
  <c r="AJ190" i="1"/>
  <c r="AM190" i="1"/>
  <c r="AK190" i="1"/>
  <c r="AH188" i="1"/>
  <c r="AN188" i="1" s="1"/>
  <c r="AG188" i="1"/>
  <c r="AF188" i="1"/>
  <c r="AE188" i="1"/>
  <c r="AD188" i="1"/>
  <c r="AC188" i="1"/>
  <c r="AB188" i="1"/>
  <c r="M189" i="1" s="1"/>
  <c r="L189" i="1"/>
  <c r="L188" i="1"/>
  <c r="AH187" i="1"/>
  <c r="AG187" i="1"/>
  <c r="AF187" i="1"/>
  <c r="AE187" i="1"/>
  <c r="AD187" i="1"/>
  <c r="AC187" i="1"/>
  <c r="AB187" i="1"/>
  <c r="M188" i="1" s="1"/>
  <c r="AY187" i="1"/>
  <c r="BG187" i="1"/>
  <c r="L187" i="1"/>
  <c r="AH186" i="1"/>
  <c r="AG186" i="1"/>
  <c r="AF186" i="1"/>
  <c r="AE186" i="1"/>
  <c r="AD186" i="1"/>
  <c r="AC186" i="1"/>
  <c r="AB186" i="1"/>
  <c r="M187" i="1" s="1"/>
  <c r="C462" i="4"/>
  <c r="D462" i="4"/>
  <c r="E462" i="4"/>
  <c r="F462" i="4"/>
  <c r="G462" i="4"/>
  <c r="H462" i="4"/>
  <c r="B462" i="4"/>
  <c r="L186" i="1"/>
  <c r="AH185" i="1"/>
  <c r="AG185" i="1"/>
  <c r="AF185" i="1"/>
  <c r="AE185" i="1"/>
  <c r="AD185" i="1"/>
  <c r="AC185" i="1"/>
  <c r="AB185" i="1"/>
  <c r="M186" i="1" s="1"/>
  <c r="C457" i="4"/>
  <c r="D457" i="4"/>
  <c r="E457" i="4"/>
  <c r="F457" i="4"/>
  <c r="G457" i="4"/>
  <c r="H457" i="4"/>
  <c r="B457" i="4"/>
  <c r="L185" i="1"/>
  <c r="AH184" i="1"/>
  <c r="AG184" i="1"/>
  <c r="AF184" i="1"/>
  <c r="AE184" i="1"/>
  <c r="AD184" i="1"/>
  <c r="AC184" i="1"/>
  <c r="AB184" i="1"/>
  <c r="L184" i="1"/>
  <c r="AH183" i="1"/>
  <c r="AG183" i="1"/>
  <c r="AF183" i="1"/>
  <c r="AE183" i="1"/>
  <c r="AD183" i="1"/>
  <c r="AC183" i="1"/>
  <c r="AB183" i="1"/>
  <c r="M184" i="1" s="1"/>
  <c r="C454" i="4"/>
  <c r="D454" i="4"/>
  <c r="E454" i="4"/>
  <c r="F454" i="4"/>
  <c r="G454" i="4"/>
  <c r="H454" i="4"/>
  <c r="B454" i="4"/>
  <c r="L183" i="1"/>
  <c r="AH182" i="1"/>
  <c r="AG182" i="1"/>
  <c r="AF182" i="1"/>
  <c r="AE182" i="1"/>
  <c r="AD182" i="1"/>
  <c r="AJ182" i="1" s="1"/>
  <c r="AC182" i="1"/>
  <c r="AB182" i="1"/>
  <c r="M183" i="1" s="1"/>
  <c r="C453" i="4"/>
  <c r="D453" i="4"/>
  <c r="E453" i="4"/>
  <c r="F453" i="4"/>
  <c r="G453" i="4"/>
  <c r="H453" i="4"/>
  <c r="B453" i="4"/>
  <c r="C452" i="4"/>
  <c r="D452" i="4"/>
  <c r="E452" i="4"/>
  <c r="F452" i="4"/>
  <c r="G452" i="4"/>
  <c r="H452" i="4"/>
  <c r="B452" i="4"/>
  <c r="L182" i="1"/>
  <c r="AH181" i="1"/>
  <c r="AG181" i="1"/>
  <c r="AF181" i="1"/>
  <c r="AE181" i="1"/>
  <c r="AD181" i="1"/>
  <c r="AC181" i="1"/>
  <c r="AB181" i="1"/>
  <c r="M182" i="1" s="1"/>
  <c r="L181" i="1"/>
  <c r="AH180" i="1"/>
  <c r="AG180" i="1"/>
  <c r="AF180" i="1"/>
  <c r="AE180" i="1"/>
  <c r="AD180" i="1"/>
  <c r="AC180" i="1"/>
  <c r="AB180" i="1"/>
  <c r="AH179" i="1"/>
  <c r="AG179" i="1"/>
  <c r="AF179" i="1"/>
  <c r="AE179" i="1"/>
  <c r="AD179" i="1"/>
  <c r="AC179" i="1"/>
  <c r="AB179" i="1"/>
  <c r="L180" i="1"/>
  <c r="C451" i="4"/>
  <c r="D451" i="4"/>
  <c r="E451" i="4"/>
  <c r="F451" i="4"/>
  <c r="G451" i="4"/>
  <c r="H451" i="4"/>
  <c r="B451" i="4"/>
  <c r="C450" i="4"/>
  <c r="D450" i="4"/>
  <c r="E450" i="4"/>
  <c r="F450" i="4"/>
  <c r="G450" i="4"/>
  <c r="H450" i="4"/>
  <c r="B450" i="4"/>
  <c r="H449" i="4"/>
  <c r="G449" i="4"/>
  <c r="F449" i="4"/>
  <c r="E449" i="4"/>
  <c r="D449" i="4"/>
  <c r="C449" i="4"/>
  <c r="B449" i="4"/>
  <c r="C447" i="4"/>
  <c r="D447" i="4"/>
  <c r="E447" i="4"/>
  <c r="F447" i="4"/>
  <c r="G447" i="4"/>
  <c r="H447" i="4"/>
  <c r="B447" i="4"/>
  <c r="L179" i="1"/>
  <c r="AH178" i="1"/>
  <c r="AG178" i="1"/>
  <c r="AF178" i="1"/>
  <c r="AE178" i="1"/>
  <c r="AD178" i="1"/>
  <c r="AC178" i="1"/>
  <c r="AB178" i="1"/>
  <c r="M179" i="1" s="1"/>
  <c r="C444" i="4"/>
  <c r="C445" i="4" s="1"/>
  <c r="L178" i="1"/>
  <c r="AH177" i="1"/>
  <c r="AG177" i="1"/>
  <c r="AF177" i="1"/>
  <c r="AE177" i="1"/>
  <c r="AD177" i="1"/>
  <c r="AC177" i="1"/>
  <c r="AB177" i="1"/>
  <c r="M178" i="1" s="1"/>
  <c r="C443" i="4"/>
  <c r="D443" i="4"/>
  <c r="E443" i="4"/>
  <c r="F443" i="4"/>
  <c r="G443" i="4"/>
  <c r="H443" i="4"/>
  <c r="B443" i="4"/>
  <c r="L177" i="1"/>
  <c r="AY177" i="1"/>
  <c r="AH176" i="1"/>
  <c r="AG176" i="1"/>
  <c r="AF176" i="1"/>
  <c r="AE176" i="1"/>
  <c r="AD176" i="1"/>
  <c r="AC176" i="1"/>
  <c r="AB176" i="1"/>
  <c r="AH175" i="1"/>
  <c r="AG175" i="1"/>
  <c r="AF175" i="1"/>
  <c r="AE175" i="1"/>
  <c r="AD175" i="1"/>
  <c r="AC175" i="1"/>
  <c r="AB175" i="1"/>
  <c r="AL175" i="1" s="1"/>
  <c r="L176" i="1"/>
  <c r="L175" i="1"/>
  <c r="AH174" i="1"/>
  <c r="AG174" i="1"/>
  <c r="AF174" i="1"/>
  <c r="AE174" i="1"/>
  <c r="AD174" i="1"/>
  <c r="AC174" i="1"/>
  <c r="AB174" i="1"/>
  <c r="M175" i="1" s="1"/>
  <c r="L174" i="1"/>
  <c r="AH173" i="1"/>
  <c r="AG173" i="1"/>
  <c r="AF173" i="1"/>
  <c r="AE173" i="1"/>
  <c r="AD173" i="1"/>
  <c r="AC173" i="1"/>
  <c r="AB173" i="1"/>
  <c r="M174" i="1" s="1"/>
  <c r="D436" i="4"/>
  <c r="L173" i="1"/>
  <c r="AH172" i="1"/>
  <c r="AG172" i="1"/>
  <c r="AF172" i="1"/>
  <c r="AE172" i="1"/>
  <c r="AD172" i="1"/>
  <c r="AC172" i="1"/>
  <c r="AB172" i="1"/>
  <c r="M173" i="1" s="1"/>
  <c r="L172" i="1"/>
  <c r="AH171" i="1"/>
  <c r="AG171" i="1"/>
  <c r="AF171" i="1"/>
  <c r="AE171" i="1"/>
  <c r="AD171" i="1"/>
  <c r="AC171" i="1"/>
  <c r="AB171" i="1"/>
  <c r="M172" i="1" s="1"/>
  <c r="AH170" i="1"/>
  <c r="AG170" i="1"/>
  <c r="AF170" i="1"/>
  <c r="AE170" i="1"/>
  <c r="AD170" i="1"/>
  <c r="AC170" i="1"/>
  <c r="AB170" i="1"/>
  <c r="L171" i="1"/>
  <c r="L170" i="1"/>
  <c r="AH169" i="1"/>
  <c r="AG169" i="1"/>
  <c r="AF169" i="1"/>
  <c r="AE169" i="1"/>
  <c r="AD169" i="1"/>
  <c r="AC169" i="1"/>
  <c r="AB169" i="1"/>
  <c r="L169" i="1"/>
  <c r="AH168" i="1"/>
  <c r="AG168" i="1"/>
  <c r="AF168" i="1"/>
  <c r="AE168" i="1"/>
  <c r="AD168" i="1"/>
  <c r="AC168" i="1"/>
  <c r="AB168" i="1"/>
  <c r="M169" i="1" s="1"/>
  <c r="L168" i="1"/>
  <c r="AH167" i="1"/>
  <c r="AG167" i="1"/>
  <c r="AF167" i="1"/>
  <c r="AE167" i="1"/>
  <c r="AD167" i="1"/>
  <c r="AC167" i="1"/>
  <c r="AB167" i="1"/>
  <c r="M168" i="1" s="1"/>
  <c r="H428" i="4"/>
  <c r="G428" i="4"/>
  <c r="F428" i="4"/>
  <c r="E428" i="4"/>
  <c r="D428" i="4"/>
  <c r="C428" i="4"/>
  <c r="B428" i="4"/>
  <c r="L167" i="1"/>
  <c r="AH166" i="1"/>
  <c r="AG166" i="1"/>
  <c r="AF166" i="1"/>
  <c r="AE166" i="1"/>
  <c r="AD166" i="1"/>
  <c r="AC166" i="1"/>
  <c r="AB166" i="1"/>
  <c r="L166" i="1"/>
  <c r="AH165" i="1"/>
  <c r="AG165" i="1"/>
  <c r="AF165" i="1"/>
  <c r="AE165" i="1"/>
  <c r="AD165" i="1"/>
  <c r="AC165" i="1"/>
  <c r="AB165" i="1"/>
  <c r="M166" i="1" s="1"/>
  <c r="L165" i="1"/>
  <c r="AH164" i="1"/>
  <c r="AG164" i="1"/>
  <c r="AF164" i="1"/>
  <c r="AE164" i="1"/>
  <c r="AD164" i="1"/>
  <c r="AC164" i="1"/>
  <c r="AB164" i="1"/>
  <c r="M165" i="1" s="1"/>
  <c r="AH163" i="1"/>
  <c r="AG163" i="1"/>
  <c r="AF163" i="1"/>
  <c r="AE163" i="1"/>
  <c r="AD163" i="1"/>
  <c r="AC163" i="1"/>
  <c r="AB163" i="1"/>
  <c r="M164" i="1" s="1"/>
  <c r="H424" i="4"/>
  <c r="G424" i="4"/>
  <c r="F424" i="4"/>
  <c r="E424" i="4"/>
  <c r="D424" i="4"/>
  <c r="C424" i="4"/>
  <c r="B424" i="4"/>
  <c r="L164" i="1"/>
  <c r="C423" i="4"/>
  <c r="D423" i="4"/>
  <c r="D444" i="4" s="1"/>
  <c r="D445" i="4" s="1"/>
  <c r="E423" i="4"/>
  <c r="E444" i="4" s="1"/>
  <c r="E445" i="4" s="1"/>
  <c r="F423" i="4"/>
  <c r="F444" i="4" s="1"/>
  <c r="F445" i="4" s="1"/>
  <c r="G423" i="4"/>
  <c r="G444" i="4" s="1"/>
  <c r="G445" i="4" s="1"/>
  <c r="H423" i="4"/>
  <c r="H444" i="4" s="1"/>
  <c r="H445" i="4" s="1"/>
  <c r="B423" i="4"/>
  <c r="B444" i="4" s="1"/>
  <c r="B445" i="4" s="1"/>
  <c r="H418" i="4"/>
  <c r="G418" i="4"/>
  <c r="F418" i="4"/>
  <c r="E418" i="4"/>
  <c r="D418" i="4"/>
  <c r="C418" i="4"/>
  <c r="B418" i="4"/>
  <c r="L163" i="1"/>
  <c r="AH162" i="1"/>
  <c r="AG162" i="1"/>
  <c r="AF162" i="1"/>
  <c r="AE162" i="1"/>
  <c r="AD162" i="1"/>
  <c r="AC162" i="1"/>
  <c r="AB162" i="1"/>
  <c r="M163" i="1" s="1"/>
  <c r="L162" i="1"/>
  <c r="AH161" i="1"/>
  <c r="AG161" i="1"/>
  <c r="AF161" i="1"/>
  <c r="AE161" i="1"/>
  <c r="AD161" i="1"/>
  <c r="AC161" i="1"/>
  <c r="AB161" i="1"/>
  <c r="M162" i="1" s="1"/>
  <c r="L161" i="1"/>
  <c r="AH160" i="1"/>
  <c r="AG160" i="1"/>
  <c r="AF160" i="1"/>
  <c r="AE160" i="1"/>
  <c r="AD160" i="1"/>
  <c r="AC160" i="1"/>
  <c r="AB160" i="1"/>
  <c r="L160" i="1"/>
  <c r="AH159" i="1"/>
  <c r="AG159" i="1"/>
  <c r="AF159" i="1"/>
  <c r="AE159" i="1"/>
  <c r="AD159" i="1"/>
  <c r="AC159" i="1"/>
  <c r="AB159" i="1"/>
  <c r="M160" i="1" s="1"/>
  <c r="AH158" i="1"/>
  <c r="AG158" i="1"/>
  <c r="AF158" i="1"/>
  <c r="AE158" i="1"/>
  <c r="AD158" i="1"/>
  <c r="AC158" i="1"/>
  <c r="AB158" i="1"/>
  <c r="M159" i="1" s="1"/>
  <c r="L159" i="1"/>
  <c r="L158" i="1"/>
  <c r="AH157" i="1"/>
  <c r="AG157" i="1"/>
  <c r="AF157" i="1"/>
  <c r="AE157" i="1"/>
  <c r="AD157" i="1"/>
  <c r="AC157" i="1"/>
  <c r="AB157" i="1"/>
  <c r="H405" i="4"/>
  <c r="G405" i="4"/>
  <c r="F405" i="4"/>
  <c r="E405" i="4"/>
  <c r="D405" i="4"/>
  <c r="C405" i="4"/>
  <c r="B405" i="4"/>
  <c r="L157" i="1"/>
  <c r="AH156" i="1"/>
  <c r="AG156" i="1"/>
  <c r="AF156" i="1"/>
  <c r="AE156" i="1"/>
  <c r="AD156" i="1"/>
  <c r="AC156" i="1"/>
  <c r="AB156" i="1"/>
  <c r="M157" i="1" s="1"/>
  <c r="AH155" i="1"/>
  <c r="AG155" i="1"/>
  <c r="AF155" i="1"/>
  <c r="AE155" i="1"/>
  <c r="AD155" i="1"/>
  <c r="AC155" i="1"/>
  <c r="AB155" i="1"/>
  <c r="L156" i="1"/>
  <c r="L155" i="1"/>
  <c r="AH154" i="1"/>
  <c r="AG154" i="1"/>
  <c r="AF154" i="1"/>
  <c r="AE154" i="1"/>
  <c r="AD154" i="1"/>
  <c r="AC154" i="1"/>
  <c r="AB154" i="1"/>
  <c r="M155" i="1" s="1"/>
  <c r="C400" i="4"/>
  <c r="D400" i="4"/>
  <c r="E400" i="4"/>
  <c r="F400" i="4"/>
  <c r="G400" i="4"/>
  <c r="H400" i="4"/>
  <c r="B400" i="4"/>
  <c r="L154" i="1"/>
  <c r="AH153" i="1"/>
  <c r="AG153" i="1"/>
  <c r="AF153" i="1"/>
  <c r="AE153" i="1"/>
  <c r="AD153" i="1"/>
  <c r="AC153" i="1"/>
  <c r="AB153" i="1"/>
  <c r="M154" i="1" s="1"/>
  <c r="L153" i="1"/>
  <c r="AH152" i="1"/>
  <c r="AG152" i="1"/>
  <c r="AF152" i="1"/>
  <c r="AE152" i="1"/>
  <c r="AD152" i="1"/>
  <c r="AC152" i="1"/>
  <c r="AB152" i="1"/>
  <c r="H397" i="4"/>
  <c r="G397" i="4"/>
  <c r="F397" i="4"/>
  <c r="E397" i="4"/>
  <c r="D397" i="4"/>
  <c r="C397" i="4"/>
  <c r="B397" i="4"/>
  <c r="L152" i="1"/>
  <c r="AH151" i="1"/>
  <c r="AF151" i="1"/>
  <c r="AG151" i="1"/>
  <c r="AE151" i="1"/>
  <c r="AD151" i="1"/>
  <c r="AC151" i="1"/>
  <c r="AB151" i="1"/>
  <c r="M152" i="1" s="1"/>
  <c r="L151" i="1"/>
  <c r="AH150" i="1"/>
  <c r="AG150" i="1"/>
  <c r="AF150" i="1"/>
  <c r="AE150" i="1"/>
  <c r="AD150" i="1"/>
  <c r="AC150" i="1"/>
  <c r="AB150" i="1"/>
  <c r="M151" i="1" s="1"/>
  <c r="L150" i="1"/>
  <c r="AH149" i="1"/>
  <c r="AG149" i="1"/>
  <c r="AF149" i="1"/>
  <c r="AE149" i="1"/>
  <c r="AD149" i="1"/>
  <c r="AC149" i="1"/>
  <c r="AB149" i="1"/>
  <c r="M150" i="1" s="1"/>
  <c r="L149" i="1"/>
  <c r="H392" i="4"/>
  <c r="G392" i="4"/>
  <c r="F392" i="4"/>
  <c r="E392" i="4"/>
  <c r="D392" i="4"/>
  <c r="C392" i="4"/>
  <c r="B392" i="4"/>
  <c r="AH147" i="1"/>
  <c r="AG147" i="1"/>
  <c r="AF147" i="1"/>
  <c r="AE147" i="1"/>
  <c r="AD147" i="1"/>
  <c r="AC147" i="1"/>
  <c r="AB147" i="1"/>
  <c r="M148" i="1" s="1"/>
  <c r="AH148" i="1"/>
  <c r="AG148" i="1"/>
  <c r="AF148" i="1"/>
  <c r="AE148" i="1"/>
  <c r="AD148" i="1"/>
  <c r="AC148" i="1"/>
  <c r="AB148" i="1"/>
  <c r="AG146" i="1"/>
  <c r="AH146" i="1"/>
  <c r="AF146" i="1"/>
  <c r="AE146" i="1"/>
  <c r="AD146" i="1"/>
  <c r="AC146" i="1"/>
  <c r="AB146" i="1"/>
  <c r="L148" i="1"/>
  <c r="L147" i="1"/>
  <c r="L146" i="1"/>
  <c r="AH145" i="1"/>
  <c r="AG145" i="1"/>
  <c r="AF145" i="1"/>
  <c r="AE145" i="1"/>
  <c r="AD145" i="1"/>
  <c r="AC145" i="1"/>
  <c r="AB145" i="1"/>
  <c r="M146" i="1" s="1"/>
  <c r="AH144" i="1"/>
  <c r="AG144" i="1"/>
  <c r="AF144" i="1"/>
  <c r="AE144" i="1"/>
  <c r="AD144" i="1"/>
  <c r="AC144" i="1"/>
  <c r="AB144" i="1"/>
  <c r="M145" i="1" s="1"/>
  <c r="L145" i="1"/>
  <c r="L144" i="1"/>
  <c r="AH143" i="1"/>
  <c r="AG143" i="1"/>
  <c r="AF143" i="1"/>
  <c r="AE143" i="1"/>
  <c r="AD143" i="1"/>
  <c r="AC143" i="1"/>
  <c r="AB143" i="1"/>
  <c r="M144" i="1" s="1"/>
  <c r="AH133" i="1"/>
  <c r="AH142" i="1"/>
  <c r="AG142" i="1"/>
  <c r="AF142" i="1"/>
  <c r="AE142" i="1"/>
  <c r="AD142" i="1"/>
  <c r="AC142" i="1"/>
  <c r="AB142" i="1"/>
  <c r="M143" i="1" s="1"/>
  <c r="L143" i="1"/>
  <c r="L142" i="1"/>
  <c r="AH141" i="1"/>
  <c r="AG141" i="1"/>
  <c r="AF141" i="1"/>
  <c r="AE141" i="1"/>
  <c r="AD141" i="1"/>
  <c r="AC141" i="1"/>
  <c r="AB141" i="1"/>
  <c r="L141" i="1"/>
  <c r="AD140" i="1"/>
  <c r="AH140" i="1"/>
  <c r="AG140" i="1"/>
  <c r="AF140" i="1"/>
  <c r="AE140" i="1"/>
  <c r="AC140" i="1"/>
  <c r="AB140" i="1"/>
  <c r="M141" i="1" s="1"/>
  <c r="B374" i="4"/>
  <c r="C373" i="4"/>
  <c r="C374" i="4" s="1"/>
  <c r="D373" i="4"/>
  <c r="D374" i="4" s="1"/>
  <c r="E373" i="4"/>
  <c r="E374" i="4" s="1"/>
  <c r="F373" i="4"/>
  <c r="F374" i="4" s="1"/>
  <c r="G373" i="4"/>
  <c r="G374" i="4" s="1"/>
  <c r="H373" i="4"/>
  <c r="H374" i="4" s="1"/>
  <c r="B373" i="4"/>
  <c r="L140" i="1"/>
  <c r="AF136" i="1"/>
  <c r="AH139" i="1"/>
  <c r="AG139" i="1"/>
  <c r="AF139" i="1"/>
  <c r="AE139" i="1"/>
  <c r="AD139" i="1"/>
  <c r="AC139" i="1"/>
  <c r="AB139" i="1"/>
  <c r="M140" i="1" s="1"/>
  <c r="AH138" i="1"/>
  <c r="AG138" i="1"/>
  <c r="AF138" i="1"/>
  <c r="AE138" i="1"/>
  <c r="AD138" i="1"/>
  <c r="AC138" i="1"/>
  <c r="AB138" i="1"/>
  <c r="M139" i="1" s="1"/>
  <c r="L138" i="1"/>
  <c r="L139" i="1"/>
  <c r="AH137" i="1"/>
  <c r="AG137" i="1"/>
  <c r="AF137" i="1"/>
  <c r="AE137" i="1"/>
  <c r="AD137" i="1"/>
  <c r="AC137" i="1"/>
  <c r="AB137" i="1"/>
  <c r="L137" i="1"/>
  <c r="AH136" i="1"/>
  <c r="AG136" i="1"/>
  <c r="AE136" i="1"/>
  <c r="AD136" i="1"/>
  <c r="AC136" i="1"/>
  <c r="AB136" i="1"/>
  <c r="C364" i="4"/>
  <c r="D364" i="4"/>
  <c r="E364" i="4"/>
  <c r="F364" i="4"/>
  <c r="G364" i="4"/>
  <c r="H364" i="4"/>
  <c r="B364" i="4"/>
  <c r="L136" i="1"/>
  <c r="AH135" i="1"/>
  <c r="AG135" i="1"/>
  <c r="AF135" i="1"/>
  <c r="AE135" i="1"/>
  <c r="AD135" i="1"/>
  <c r="AC135" i="1"/>
  <c r="AB135" i="1"/>
  <c r="M136" i="1" s="1"/>
  <c r="L135" i="1"/>
  <c r="AD134" i="1"/>
  <c r="AE134" i="1"/>
  <c r="AF134" i="1"/>
  <c r="AH134" i="1"/>
  <c r="AG134" i="1"/>
  <c r="AC134" i="1"/>
  <c r="AB134" i="1"/>
  <c r="C357" i="4"/>
  <c r="D357" i="4"/>
  <c r="E357" i="4"/>
  <c r="F357" i="4"/>
  <c r="G357" i="4"/>
  <c r="H357" i="4"/>
  <c r="B357" i="4"/>
  <c r="L134" i="1"/>
  <c r="AG133" i="1"/>
  <c r="AF133" i="1"/>
  <c r="AE133" i="1"/>
  <c r="AD133" i="1"/>
  <c r="AC133" i="1"/>
  <c r="AB133" i="1"/>
  <c r="M134" i="1" s="1"/>
  <c r="C356" i="4"/>
  <c r="D356" i="4"/>
  <c r="E356" i="4"/>
  <c r="F356" i="4"/>
  <c r="G356" i="4"/>
  <c r="H356" i="4"/>
  <c r="B356" i="4"/>
  <c r="AM186" i="1" l="1"/>
  <c r="AN157" i="1"/>
  <c r="AI186" i="1"/>
  <c r="AK142" i="1"/>
  <c r="AK143" i="1"/>
  <c r="AJ165" i="1"/>
  <c r="AJ166" i="1"/>
  <c r="AK177" i="1"/>
  <c r="AK186" i="1"/>
  <c r="AM142" i="1"/>
  <c r="AM143" i="1"/>
  <c r="AM145" i="1"/>
  <c r="AN176" i="1"/>
  <c r="AN177" i="1"/>
  <c r="AI172" i="1"/>
  <c r="AI175" i="1"/>
  <c r="AN152" i="1"/>
  <c r="AN153" i="1"/>
  <c r="AJ163" i="1"/>
  <c r="AL137" i="1"/>
  <c r="AN147" i="1"/>
  <c r="AM180" i="1"/>
  <c r="AK163" i="1"/>
  <c r="AL141" i="1"/>
  <c r="AM175" i="1"/>
  <c r="AI143" i="1"/>
  <c r="AL166" i="1"/>
  <c r="AJ136" i="1"/>
  <c r="AN150" i="1"/>
  <c r="AN148" i="1"/>
  <c r="AJ152" i="1"/>
  <c r="AJ155" i="1"/>
  <c r="AI156" i="1"/>
  <c r="AI157" i="1"/>
  <c r="AN158" i="1"/>
  <c r="AN160" i="1"/>
  <c r="AN161" i="1"/>
  <c r="AI170" i="1"/>
  <c r="AL172" i="1"/>
  <c r="AK160" i="1"/>
  <c r="AK173" i="1"/>
  <c r="AI178" i="1"/>
  <c r="AJ144" i="1"/>
  <c r="AI161" i="1"/>
  <c r="AL165" i="1"/>
  <c r="AM172" i="1"/>
  <c r="AI183" i="1"/>
  <c r="AK136" i="1"/>
  <c r="AI147" i="1"/>
  <c r="AL169" i="1"/>
  <c r="AL138" i="1"/>
  <c r="AM138" i="1"/>
  <c r="AK147" i="1"/>
  <c r="AM156" i="1"/>
  <c r="AJ161" i="1"/>
  <c r="AN167" i="1"/>
  <c r="AK178" i="1"/>
  <c r="AJ183" i="1"/>
  <c r="AL186" i="1"/>
  <c r="AM147" i="1"/>
  <c r="AM149" i="1"/>
  <c r="AK169" i="1"/>
  <c r="AM178" i="1"/>
  <c r="M170" i="1"/>
  <c r="AJ174" i="1"/>
  <c r="AJ135" i="1"/>
  <c r="AJ138" i="1"/>
  <c r="AJ142" i="1"/>
  <c r="AN142" i="1"/>
  <c r="AN143" i="1"/>
  <c r="AK144" i="1"/>
  <c r="AJ147" i="1"/>
  <c r="AJ149" i="1"/>
  <c r="AI150" i="1"/>
  <c r="AJ154" i="1"/>
  <c r="AI155" i="1"/>
  <c r="AJ156" i="1"/>
  <c r="AJ157" i="1"/>
  <c r="AJ159" i="1"/>
  <c r="AI168" i="1"/>
  <c r="AI169" i="1"/>
  <c r="AM173" i="1"/>
  <c r="AI177" i="1"/>
  <c r="AN178" i="1"/>
  <c r="AK182" i="1"/>
  <c r="AN186" i="1"/>
  <c r="AJ187" i="1"/>
  <c r="AI188" i="1"/>
  <c r="AJ139" i="1"/>
  <c r="AL139" i="1"/>
  <c r="AJ148" i="1"/>
  <c r="AJ153" i="1"/>
  <c r="AL158" i="1"/>
  <c r="AJ167" i="1"/>
  <c r="AL174" i="1"/>
  <c r="AJ177" i="1"/>
  <c r="AL182" i="1"/>
  <c r="AN185" i="1"/>
  <c r="AL135" i="1"/>
  <c r="AM139" i="1"/>
  <c r="AM144" i="1"/>
  <c r="AK150" i="1"/>
  <c r="AM174" i="1"/>
  <c r="AN144" i="1"/>
  <c r="AN174" i="1"/>
  <c r="AN139" i="1"/>
  <c r="AL177" i="1"/>
  <c r="AN135" i="1"/>
  <c r="AJ143" i="1"/>
  <c r="AN145" i="1"/>
  <c r="AN149" i="1"/>
  <c r="AM150" i="1"/>
  <c r="AM153" i="1"/>
  <c r="AN154" i="1"/>
  <c r="AN156" i="1"/>
  <c r="AM169" i="1"/>
  <c r="AK172" i="1"/>
  <c r="AI173" i="1"/>
  <c r="AM177" i="1"/>
  <c r="AJ178" i="1"/>
  <c r="AL184" i="1"/>
  <c r="AJ186" i="1"/>
  <c r="AN187" i="1"/>
  <c r="AN181" i="1"/>
  <c r="AL142" i="1"/>
  <c r="AI144" i="1"/>
  <c r="AL156" i="1"/>
  <c r="AL178" i="1"/>
  <c r="AJ151" i="1"/>
  <c r="AM185" i="1"/>
  <c r="AN138" i="1"/>
  <c r="AL144" i="1"/>
  <c r="AL150" i="1"/>
  <c r="AI160" i="1"/>
  <c r="AM165" i="1"/>
  <c r="AJ168" i="1"/>
  <c r="AJ169" i="1"/>
  <c r="AN170" i="1"/>
  <c r="AN172" i="1"/>
  <c r="AJ173" i="1"/>
  <c r="AJ175" i="1"/>
  <c r="AM182" i="1"/>
  <c r="AK183" i="1"/>
  <c r="AI184" i="1"/>
  <c r="AI185" i="1"/>
  <c r="AJ188" i="1"/>
  <c r="M153" i="1"/>
  <c r="AM134" i="1"/>
  <c r="AK135" i="1"/>
  <c r="AM136" i="1"/>
  <c r="AJ145" i="1"/>
  <c r="AL148" i="1"/>
  <c r="AL149" i="1"/>
  <c r="AM151" i="1"/>
  <c r="AL153" i="1"/>
  <c r="AL155" i="1"/>
  <c r="AJ160" i="1"/>
  <c r="AI163" i="1"/>
  <c r="AN165" i="1"/>
  <c r="AI174" i="1"/>
  <c r="AK175" i="1"/>
  <c r="AL181" i="1"/>
  <c r="AN182" i="1"/>
  <c r="AL183" i="1"/>
  <c r="AJ184" i="1"/>
  <c r="AJ185" i="1"/>
  <c r="AJ137" i="1"/>
  <c r="AJ141" i="1"/>
  <c r="AI134" i="1"/>
  <c r="AI135" i="1"/>
  <c r="AI138" i="1"/>
  <c r="AI139" i="1"/>
  <c r="AI148" i="1"/>
  <c r="AI149" i="1"/>
  <c r="AL151" i="1"/>
  <c r="AK152" i="1"/>
  <c r="AI153" i="1"/>
  <c r="AI154" i="1"/>
  <c r="AM155" i="1"/>
  <c r="AI165" i="1"/>
  <c r="AM166" i="1"/>
  <c r="AK170" i="1"/>
  <c r="AL173" i="1"/>
  <c r="M181" i="1"/>
  <c r="AM181" i="1"/>
  <c r="AM183" i="1"/>
  <c r="M137" i="1"/>
  <c r="AN166" i="1"/>
  <c r="AN183" i="1"/>
  <c r="AK133" i="1"/>
  <c r="AN137" i="1"/>
  <c r="AN141" i="1"/>
  <c r="AL145" i="1"/>
  <c r="AN151" i="1"/>
  <c r="AL152" i="1"/>
  <c r="M156" i="1"/>
  <c r="AI182" i="1"/>
  <c r="AN134" i="1"/>
  <c r="AL136" i="1"/>
  <c r="AK138" i="1"/>
  <c r="AK139" i="1"/>
  <c r="AL143" i="1"/>
  <c r="AL147" i="1"/>
  <c r="AK151" i="1"/>
  <c r="AM152" i="1"/>
  <c r="AK157" i="1"/>
  <c r="AM158" i="1"/>
  <c r="AM160" i="1"/>
  <c r="M167" i="1"/>
  <c r="AN168" i="1"/>
  <c r="AN169" i="1"/>
  <c r="AJ170" i="1"/>
  <c r="AJ172" i="1"/>
  <c r="AN173" i="1"/>
  <c r="AK174" i="1"/>
  <c r="M176" i="1"/>
  <c r="AN175" i="1"/>
  <c r="AL179" i="1"/>
  <c r="AM184" i="1"/>
  <c r="AN184" i="1"/>
  <c r="AI151" i="1"/>
  <c r="AM135" i="1"/>
  <c r="M138" i="1"/>
  <c r="AI141" i="1"/>
  <c r="AI145" i="1"/>
  <c r="AM148" i="1"/>
  <c r="AI152" i="1"/>
  <c r="M161" i="1"/>
  <c r="AK165" i="1"/>
  <c r="AI166" i="1"/>
  <c r="AI167" i="1"/>
  <c r="AI181" i="1"/>
  <c r="M185" i="1"/>
  <c r="AI187" i="1"/>
  <c r="AM141" i="1"/>
  <c r="AM168" i="1"/>
  <c r="AM187" i="1"/>
  <c r="AL134" i="1"/>
  <c r="AK148" i="1"/>
  <c r="M149" i="1"/>
  <c r="AM157" i="1"/>
  <c r="AM167" i="1"/>
  <c r="AL168" i="1"/>
  <c r="AM188" i="1"/>
  <c r="AI137" i="1"/>
  <c r="AL154" i="1"/>
  <c r="AL167" i="1"/>
  <c r="AK168" i="1"/>
  <c r="AK154" i="1"/>
  <c r="AK185" i="1"/>
  <c r="AM170" i="1"/>
  <c r="AJ133" i="1"/>
  <c r="AM154" i="1"/>
  <c r="AL187" i="1"/>
  <c r="AM137" i="1"/>
  <c r="AK187" i="1"/>
  <c r="AK167" i="1"/>
  <c r="AI158" i="1"/>
  <c r="AL160" i="1"/>
  <c r="AK161" i="1"/>
  <c r="M135" i="1"/>
  <c r="M142" i="1"/>
  <c r="AI142" i="1"/>
  <c r="AK149" i="1"/>
  <c r="AK153" i="1"/>
  <c r="AK156" i="1"/>
  <c r="AJ158" i="1"/>
  <c r="AK166" i="1"/>
  <c r="AK171" i="1"/>
  <c r="AK176" i="1"/>
  <c r="M177" i="1"/>
  <c r="AK184" i="1"/>
  <c r="AK134" i="1"/>
  <c r="AI136" i="1"/>
  <c r="AK141" i="1"/>
  <c r="AL157" i="1"/>
  <c r="AM161" i="1"/>
  <c r="AL185" i="1"/>
  <c r="AJ134" i="1"/>
  <c r="AK137" i="1"/>
  <c r="AK145" i="1"/>
  <c r="M158" i="1"/>
  <c r="AK158" i="1"/>
  <c r="M171" i="1"/>
  <c r="AI176" i="1"/>
  <c r="AL170" i="1"/>
  <c r="AL188" i="1"/>
  <c r="AL161" i="1"/>
  <c r="AK188" i="1"/>
  <c r="AN136" i="1"/>
  <c r="AJ150" i="1"/>
  <c r="AN162" i="1"/>
  <c r="AJ181" i="1"/>
  <c r="AK181" i="1"/>
  <c r="AI180" i="1"/>
  <c r="AK180" i="1"/>
  <c r="AJ179" i="1"/>
  <c r="AI179" i="1"/>
  <c r="AK179" i="1"/>
  <c r="M180" i="1"/>
  <c r="AN179" i="1"/>
  <c r="AM179" i="1"/>
  <c r="AN180" i="1"/>
  <c r="AL180" i="1"/>
  <c r="AJ180" i="1"/>
  <c r="AM176" i="1"/>
  <c r="AJ176" i="1"/>
  <c r="AL176" i="1"/>
  <c r="AM171" i="1"/>
  <c r="AN171" i="1"/>
  <c r="AL171" i="1"/>
  <c r="AJ171" i="1"/>
  <c r="AI171" i="1"/>
  <c r="AI164" i="1"/>
  <c r="AN164" i="1"/>
  <c r="AM164" i="1"/>
  <c r="AL164" i="1"/>
  <c r="AK164" i="1"/>
  <c r="AJ164" i="1"/>
  <c r="AN163" i="1"/>
  <c r="AM163" i="1"/>
  <c r="AL163" i="1"/>
  <c r="AK162" i="1"/>
  <c r="AI162" i="1"/>
  <c r="AJ162" i="1"/>
  <c r="AM162" i="1"/>
  <c r="AL162" i="1"/>
  <c r="AI159" i="1"/>
  <c r="AN159" i="1"/>
  <c r="AM159" i="1"/>
  <c r="AL159" i="1"/>
  <c r="AK159" i="1"/>
  <c r="AN155" i="1"/>
  <c r="AK155" i="1"/>
  <c r="AN146" i="1"/>
  <c r="AL146" i="1"/>
  <c r="AK146" i="1"/>
  <c r="AJ146" i="1"/>
  <c r="AM146" i="1"/>
  <c r="AI146" i="1"/>
  <c r="M147" i="1"/>
  <c r="AL140" i="1"/>
  <c r="AI140" i="1"/>
  <c r="AN140" i="1"/>
  <c r="AK140" i="1"/>
  <c r="AM140" i="1"/>
  <c r="AJ140" i="1"/>
  <c r="AL133" i="1"/>
  <c r="AI133" i="1"/>
  <c r="AN133" i="1"/>
  <c r="AM133" i="1"/>
  <c r="L133" i="1"/>
  <c r="AH132" i="1"/>
  <c r="AG132" i="1"/>
  <c r="AF132" i="1"/>
  <c r="AE132" i="1"/>
  <c r="AD132" i="1"/>
  <c r="AC132" i="1"/>
  <c r="AB132" i="1"/>
  <c r="M133" i="1" s="1"/>
  <c r="L132" i="1"/>
  <c r="AH131" i="1"/>
  <c r="AG131" i="1"/>
  <c r="AF131" i="1"/>
  <c r="AE131" i="1"/>
  <c r="AD131" i="1"/>
  <c r="AC131" i="1"/>
  <c r="AB131" i="1"/>
  <c r="M132" i="1" s="1"/>
  <c r="L131" i="1"/>
  <c r="AH130" i="1"/>
  <c r="AG130" i="1"/>
  <c r="AF130" i="1"/>
  <c r="AE130" i="1"/>
  <c r="AD130" i="1"/>
  <c r="AC130" i="1"/>
  <c r="AB130" i="1"/>
  <c r="L130" i="1"/>
  <c r="AH128" i="1"/>
  <c r="AG128" i="1"/>
  <c r="AF128" i="1"/>
  <c r="AE128" i="1"/>
  <c r="AD128" i="1"/>
  <c r="AC128" i="1"/>
  <c r="AB128" i="1"/>
  <c r="AH129" i="1"/>
  <c r="AG129" i="1"/>
  <c r="AF129" i="1"/>
  <c r="AE129" i="1"/>
  <c r="AD129" i="1"/>
  <c r="AC129" i="1"/>
  <c r="AB129" i="1"/>
  <c r="B344" i="4"/>
  <c r="E344" i="4"/>
  <c r="F344" i="4"/>
  <c r="H344" i="4"/>
  <c r="G344" i="4"/>
  <c r="D344" i="4"/>
  <c r="C344" i="4"/>
  <c r="C343" i="4"/>
  <c r="D343" i="4"/>
  <c r="G343" i="4"/>
  <c r="H343" i="4"/>
  <c r="C342" i="4"/>
  <c r="H338" i="4"/>
  <c r="G338" i="4"/>
  <c r="F338" i="4"/>
  <c r="E338" i="4"/>
  <c r="D338" i="4"/>
  <c r="C338" i="4"/>
  <c r="B338" i="4"/>
  <c r="H337" i="4"/>
  <c r="H342" i="4" s="1"/>
  <c r="G337" i="4"/>
  <c r="G342" i="4" s="1"/>
  <c r="F337" i="4"/>
  <c r="F342" i="4" s="1"/>
  <c r="E337" i="4"/>
  <c r="E342" i="4" s="1"/>
  <c r="D337" i="4"/>
  <c r="D342" i="4" s="1"/>
  <c r="C337" i="4"/>
  <c r="B337" i="4"/>
  <c r="B342" i="4" s="1"/>
  <c r="H336" i="4"/>
  <c r="G336" i="4"/>
  <c r="F336" i="4"/>
  <c r="E336" i="4"/>
  <c r="D336" i="4"/>
  <c r="C336" i="4"/>
  <c r="B336" i="4"/>
  <c r="L129" i="1"/>
  <c r="L128" i="1"/>
  <c r="L127" i="1"/>
  <c r="AH127" i="1"/>
  <c r="AG127" i="1"/>
  <c r="AF127" i="1"/>
  <c r="AE127" i="1"/>
  <c r="AD127" i="1"/>
  <c r="AC127" i="1"/>
  <c r="AB127" i="1"/>
  <c r="M128" i="1" s="1"/>
  <c r="AH126" i="1"/>
  <c r="AG126" i="1"/>
  <c r="AF126" i="1"/>
  <c r="AE126" i="1"/>
  <c r="AD126" i="1"/>
  <c r="AC126" i="1"/>
  <c r="AB126" i="1"/>
  <c r="M127" i="1" s="1"/>
  <c r="L126" i="1"/>
  <c r="AH125" i="1"/>
  <c r="AG125" i="1"/>
  <c r="AF125" i="1"/>
  <c r="AE125" i="1"/>
  <c r="AD125" i="1"/>
  <c r="AC125" i="1"/>
  <c r="AB125" i="1"/>
  <c r="M126" i="1" s="1"/>
  <c r="C332" i="4"/>
  <c r="D332" i="4"/>
  <c r="E332" i="4"/>
  <c r="F332" i="4"/>
  <c r="G332" i="4"/>
  <c r="H332" i="4"/>
  <c r="B332" i="4"/>
  <c r="AH124" i="1"/>
  <c r="AG124" i="1"/>
  <c r="AF124" i="1"/>
  <c r="AE124" i="1"/>
  <c r="AD124" i="1"/>
  <c r="AC124" i="1"/>
  <c r="AB124" i="1"/>
  <c r="M125" i="1" s="1"/>
  <c r="L125" i="1"/>
  <c r="BG125" i="1"/>
  <c r="L124" i="1"/>
  <c r="AH123" i="1"/>
  <c r="AG123" i="1"/>
  <c r="AF123" i="1"/>
  <c r="AE123" i="1"/>
  <c r="AD123" i="1"/>
  <c r="AC123" i="1"/>
  <c r="AB123" i="1"/>
  <c r="M124" i="1" s="1"/>
  <c r="AH122" i="1"/>
  <c r="AG122" i="1"/>
  <c r="AF122" i="1"/>
  <c r="AE122" i="1"/>
  <c r="AD122" i="1"/>
  <c r="AC122" i="1"/>
  <c r="AB122" i="1"/>
  <c r="M123" i="1" s="1"/>
  <c r="C327" i="4"/>
  <c r="C328" i="4" s="1"/>
  <c r="D327" i="4"/>
  <c r="D328" i="4" s="1"/>
  <c r="E327" i="4"/>
  <c r="F327" i="4"/>
  <c r="F328" i="4" s="1"/>
  <c r="G327" i="4"/>
  <c r="G328" i="4" s="1"/>
  <c r="H327" i="4"/>
  <c r="H328" i="4" s="1"/>
  <c r="B327" i="4"/>
  <c r="B328" i="4" s="1"/>
  <c r="E328" i="4"/>
  <c r="L123" i="1"/>
  <c r="L122" i="1"/>
  <c r="AH121" i="1"/>
  <c r="AG121" i="1"/>
  <c r="AF121" i="1"/>
  <c r="AE121" i="1"/>
  <c r="AD121" i="1"/>
  <c r="AC121" i="1"/>
  <c r="AB121" i="1"/>
  <c r="M122" i="1" s="1"/>
  <c r="L121" i="1"/>
  <c r="AH120" i="1"/>
  <c r="AG120" i="1"/>
  <c r="AF120" i="1"/>
  <c r="AE120" i="1"/>
  <c r="AD120" i="1"/>
  <c r="AC120" i="1"/>
  <c r="AB120" i="1"/>
  <c r="M121" i="1" s="1"/>
  <c r="AL127" i="1" l="1"/>
  <c r="AJ128" i="1"/>
  <c r="AL122" i="1"/>
  <c r="AM122" i="1"/>
  <c r="AL121" i="1"/>
  <c r="AJ124" i="1"/>
  <c r="AJ132" i="1"/>
  <c r="AN122" i="1"/>
  <c r="AN127" i="1"/>
  <c r="AN125" i="1"/>
  <c r="AI123" i="1"/>
  <c r="AI122" i="1"/>
  <c r="AJ122" i="1"/>
  <c r="AN131" i="1"/>
  <c r="AI127" i="1"/>
  <c r="AK122" i="1"/>
  <c r="AJ125" i="1"/>
  <c r="AJ130" i="1"/>
  <c r="AL128" i="1"/>
  <c r="AI121" i="1"/>
  <c r="AK121" i="1"/>
  <c r="AK123" i="1"/>
  <c r="AJ121" i="1"/>
  <c r="AL124" i="1"/>
  <c r="AN124" i="1"/>
  <c r="AN128" i="1"/>
  <c r="AN130" i="1"/>
  <c r="AM131" i="1"/>
  <c r="AL120" i="1"/>
  <c r="AM121" i="1"/>
  <c r="AI125" i="1"/>
  <c r="AI126" i="1"/>
  <c r="AJ127" i="1"/>
  <c r="AN129" i="1"/>
  <c r="AN120" i="1"/>
  <c r="AN121" i="1"/>
  <c r="AI124" i="1"/>
  <c r="AK129" i="1"/>
  <c r="AI130" i="1"/>
  <c r="AN126" i="1"/>
  <c r="AI129" i="1"/>
  <c r="AK132" i="1"/>
  <c r="AJ120" i="1"/>
  <c r="AL123" i="1"/>
  <c r="AJ129" i="1"/>
  <c r="AI128" i="1"/>
  <c r="AL130" i="1"/>
  <c r="AL132" i="1"/>
  <c r="AJ123" i="1"/>
  <c r="AM123" i="1"/>
  <c r="M131" i="1"/>
  <c r="AM132" i="1"/>
  <c r="AN123" i="1"/>
  <c r="AN132" i="1"/>
  <c r="AM120" i="1"/>
  <c r="AK124" i="1"/>
  <c r="AJ126" i="1"/>
  <c r="AK127" i="1"/>
  <c r="AK130" i="1"/>
  <c r="AI132" i="1"/>
  <c r="AM124" i="1"/>
  <c r="AM127" i="1"/>
  <c r="AM130" i="1"/>
  <c r="AM126" i="1"/>
  <c r="AM125" i="1"/>
  <c r="AL126" i="1"/>
  <c r="AM129" i="1"/>
  <c r="M130" i="1"/>
  <c r="AL125" i="1"/>
  <c r="AK126" i="1"/>
  <c r="AL129" i="1"/>
  <c r="AK125" i="1"/>
  <c r="AL131" i="1"/>
  <c r="M129" i="1"/>
  <c r="AI120" i="1"/>
  <c r="AM128" i="1"/>
  <c r="F393" i="4"/>
  <c r="F390" i="4"/>
  <c r="G393" i="4"/>
  <c r="G390" i="4"/>
  <c r="H393" i="4"/>
  <c r="H390" i="4"/>
  <c r="B390" i="4"/>
  <c r="B393" i="4"/>
  <c r="C390" i="4"/>
  <c r="C393" i="4"/>
  <c r="D390" i="4"/>
  <c r="D393" i="4"/>
  <c r="E393" i="4"/>
  <c r="E390" i="4"/>
  <c r="AK131" i="1"/>
  <c r="AI131" i="1"/>
  <c r="AJ131" i="1"/>
  <c r="AK128" i="1"/>
  <c r="AK120" i="1"/>
  <c r="E325" i="4"/>
  <c r="F325" i="4"/>
  <c r="C324" i="4"/>
  <c r="C325" i="4" s="1"/>
  <c r="D324" i="4"/>
  <c r="D325" i="4" s="1"/>
  <c r="E324" i="4"/>
  <c r="F324" i="4"/>
  <c r="G324" i="4"/>
  <c r="G325" i="4" s="1"/>
  <c r="H324" i="4"/>
  <c r="H325" i="4" s="1"/>
  <c r="B324" i="4"/>
  <c r="B325" i="4" s="1"/>
  <c r="L120" i="1"/>
  <c r="AH119" i="1"/>
  <c r="AG119" i="1"/>
  <c r="AF119" i="1"/>
  <c r="AE119" i="1"/>
  <c r="AD119" i="1"/>
  <c r="AC119" i="1"/>
  <c r="AB119" i="1"/>
  <c r="M120" i="1" s="1"/>
  <c r="L119" i="1"/>
  <c r="AH118" i="1"/>
  <c r="AG118" i="1"/>
  <c r="AF118" i="1"/>
  <c r="AE118" i="1"/>
  <c r="AD118" i="1"/>
  <c r="AC118" i="1"/>
  <c r="AB118" i="1"/>
  <c r="M119" i="1" s="1"/>
  <c r="C320" i="4"/>
  <c r="D320" i="4"/>
  <c r="E320" i="4"/>
  <c r="F320" i="4"/>
  <c r="G320" i="4"/>
  <c r="H320" i="4"/>
  <c r="B320" i="4"/>
  <c r="L118" i="1"/>
  <c r="AH117" i="1"/>
  <c r="AG117" i="1"/>
  <c r="AF117" i="1"/>
  <c r="AE117" i="1"/>
  <c r="AD117" i="1"/>
  <c r="AC117" i="1"/>
  <c r="AB117" i="1"/>
  <c r="L117" i="1"/>
  <c r="AH116" i="1"/>
  <c r="AG116" i="1"/>
  <c r="AF116" i="1"/>
  <c r="AE116" i="1"/>
  <c r="AD116" i="1"/>
  <c r="AC116" i="1"/>
  <c r="AB116" i="1"/>
  <c r="M117" i="1" s="1"/>
  <c r="H315" i="4"/>
  <c r="G315" i="4"/>
  <c r="F315" i="4"/>
  <c r="E315" i="4"/>
  <c r="D315" i="4"/>
  <c r="C315" i="4"/>
  <c r="B315" i="4"/>
  <c r="L116" i="1"/>
  <c r="AH115" i="1"/>
  <c r="AG115" i="1"/>
  <c r="AF115" i="1"/>
  <c r="AE115" i="1"/>
  <c r="AD115" i="1"/>
  <c r="AC115" i="1"/>
  <c r="AB115" i="1"/>
  <c r="M116" i="1" s="1"/>
  <c r="B310" i="4"/>
  <c r="B311" i="4" s="1"/>
  <c r="C310" i="4"/>
  <c r="C311" i="4" s="1"/>
  <c r="D310" i="4"/>
  <c r="D311" i="4" s="1"/>
  <c r="E310" i="4"/>
  <c r="E311" i="4" s="1"/>
  <c r="F310" i="4"/>
  <c r="F311" i="4" s="1"/>
  <c r="G310" i="4"/>
  <c r="G311" i="4" s="1"/>
  <c r="H310" i="4"/>
  <c r="H311" i="4" s="1"/>
  <c r="L115" i="1"/>
  <c r="AH114" i="1"/>
  <c r="AG114" i="1"/>
  <c r="AF114" i="1"/>
  <c r="AE114" i="1"/>
  <c r="AD114" i="1"/>
  <c r="AC114" i="1"/>
  <c r="AB114" i="1"/>
  <c r="M115" i="1" s="1"/>
  <c r="H309" i="4"/>
  <c r="G309" i="4"/>
  <c r="F309" i="4"/>
  <c r="E309" i="4"/>
  <c r="D309" i="4"/>
  <c r="C309" i="4"/>
  <c r="B309" i="4"/>
  <c r="L114" i="1"/>
  <c r="AH113" i="1"/>
  <c r="AN113" i="1" s="1"/>
  <c r="AG113" i="1"/>
  <c r="AF113" i="1"/>
  <c r="AE113" i="1"/>
  <c r="AD113" i="1"/>
  <c r="AC113" i="1"/>
  <c r="AB113" i="1"/>
  <c r="M114" i="1" s="1"/>
  <c r="C308" i="4"/>
  <c r="D308" i="4"/>
  <c r="E308" i="4"/>
  <c r="F308" i="4"/>
  <c r="G308" i="4"/>
  <c r="H308" i="4"/>
  <c r="B308" i="4"/>
  <c r="L113" i="1"/>
  <c r="AH112" i="1"/>
  <c r="AG112" i="1"/>
  <c r="AF112" i="1"/>
  <c r="AE112" i="1"/>
  <c r="AD112" i="1"/>
  <c r="AC112" i="1"/>
  <c r="AB112" i="1"/>
  <c r="AI112" i="1" s="1"/>
  <c r="H307" i="4"/>
  <c r="G307" i="4"/>
  <c r="F307" i="4"/>
  <c r="E307" i="4"/>
  <c r="D307" i="4"/>
  <c r="C307" i="4"/>
  <c r="B307" i="4"/>
  <c r="L112" i="1"/>
  <c r="AH111" i="1"/>
  <c r="AG111" i="1"/>
  <c r="AF111" i="1"/>
  <c r="AE111" i="1"/>
  <c r="AD111" i="1"/>
  <c r="AC111" i="1"/>
  <c r="AB111" i="1"/>
  <c r="B306" i="4"/>
  <c r="H305" i="4"/>
  <c r="H306" i="4" s="1"/>
  <c r="G305" i="4"/>
  <c r="G306" i="4" s="1"/>
  <c r="F305" i="4"/>
  <c r="F306" i="4" s="1"/>
  <c r="E305" i="4"/>
  <c r="E306" i="4" s="1"/>
  <c r="D305" i="4"/>
  <c r="D306" i="4" s="1"/>
  <c r="C305" i="4"/>
  <c r="C306" i="4" s="1"/>
  <c r="B305" i="4"/>
  <c r="H304" i="4"/>
  <c r="G304" i="4"/>
  <c r="F304" i="4"/>
  <c r="E304" i="4"/>
  <c r="D304" i="4"/>
  <c r="C304" i="4"/>
  <c r="B304" i="4"/>
  <c r="H303" i="4"/>
  <c r="G303" i="4"/>
  <c r="F303" i="4"/>
  <c r="E303" i="4"/>
  <c r="D303" i="4"/>
  <c r="C303" i="4"/>
  <c r="B303" i="4"/>
  <c r="AK113" i="1" l="1"/>
  <c r="AN115" i="1"/>
  <c r="AN117" i="1"/>
  <c r="AN114" i="1"/>
  <c r="AK112" i="1"/>
  <c r="AL117" i="1"/>
  <c r="AL112" i="1"/>
  <c r="AN112" i="1"/>
  <c r="AM112" i="1"/>
  <c r="AN111" i="1"/>
  <c r="AK111" i="1"/>
  <c r="AN116" i="1"/>
  <c r="AN118" i="1"/>
  <c r="AN119" i="1"/>
  <c r="AI116" i="1"/>
  <c r="M112" i="1"/>
  <c r="AI115" i="1"/>
  <c r="AJ116" i="1"/>
  <c r="AI111" i="1"/>
  <c r="AL116" i="1"/>
  <c r="AJ111" i="1"/>
  <c r="AK116" i="1"/>
  <c r="AI113" i="1"/>
  <c r="AL115" i="1"/>
  <c r="AM116" i="1"/>
  <c r="AI117" i="1"/>
  <c r="AK115" i="1"/>
  <c r="AI118" i="1"/>
  <c r="AL111" i="1"/>
  <c r="M113" i="1"/>
  <c r="AJ118" i="1"/>
  <c r="AM111" i="1"/>
  <c r="AJ112" i="1"/>
  <c r="AI114" i="1"/>
  <c r="AJ115" i="1"/>
  <c r="AJ119" i="1"/>
  <c r="AJ117" i="1"/>
  <c r="AI119" i="1"/>
  <c r="AJ114" i="1"/>
  <c r="AM117" i="1"/>
  <c r="AM115" i="1"/>
  <c r="AK117" i="1"/>
  <c r="M118" i="1"/>
  <c r="AL114" i="1"/>
  <c r="AL119" i="1"/>
  <c r="AL118" i="1"/>
  <c r="AK119" i="1"/>
  <c r="AL113" i="1"/>
  <c r="AK118" i="1"/>
  <c r="AM114" i="1"/>
  <c r="AM119" i="1"/>
  <c r="AM118" i="1"/>
  <c r="AM113" i="1"/>
  <c r="AK114" i="1"/>
  <c r="AJ113" i="1"/>
  <c r="L111" i="1"/>
  <c r="AH110" i="1"/>
  <c r="AG110" i="1"/>
  <c r="AF110" i="1"/>
  <c r="AE110" i="1"/>
  <c r="AD110" i="1"/>
  <c r="AC110" i="1"/>
  <c r="AB110" i="1"/>
  <c r="M111" i="1" s="1"/>
  <c r="C301" i="4"/>
  <c r="D301" i="4"/>
  <c r="E301" i="4"/>
  <c r="F301" i="4"/>
  <c r="G301" i="4"/>
  <c r="H301" i="4"/>
  <c r="B301" i="4"/>
  <c r="L110" i="1"/>
  <c r="AH109" i="1"/>
  <c r="AG109" i="1"/>
  <c r="AF109" i="1"/>
  <c r="AE109" i="1"/>
  <c r="AD109" i="1"/>
  <c r="AC109" i="1"/>
  <c r="AB109" i="1"/>
  <c r="L109" i="1"/>
  <c r="AH108" i="1"/>
  <c r="AN108" i="1" s="1"/>
  <c r="AG108" i="1"/>
  <c r="AF108" i="1"/>
  <c r="AE108" i="1"/>
  <c r="AD108" i="1"/>
  <c r="AC108" i="1"/>
  <c r="AB108" i="1"/>
  <c r="M109" i="1" s="1"/>
  <c r="C299" i="4"/>
  <c r="D299" i="4"/>
  <c r="E299" i="4"/>
  <c r="F299" i="4"/>
  <c r="G299" i="4"/>
  <c r="H299" i="4"/>
  <c r="B299" i="4"/>
  <c r="L108" i="1"/>
  <c r="AH107" i="1"/>
  <c r="AG107" i="1"/>
  <c r="AF107" i="1"/>
  <c r="AE107" i="1"/>
  <c r="AD107" i="1"/>
  <c r="AC107" i="1"/>
  <c r="AB107" i="1"/>
  <c r="M108" i="1" s="1"/>
  <c r="L107" i="1"/>
  <c r="AH106" i="1"/>
  <c r="AG106" i="1"/>
  <c r="AF106" i="1"/>
  <c r="AE106" i="1"/>
  <c r="AD106" i="1"/>
  <c r="AC106" i="1"/>
  <c r="AB106" i="1"/>
  <c r="C290" i="4"/>
  <c r="C291" i="4" s="1"/>
  <c r="D290" i="4"/>
  <c r="D291" i="4" s="1"/>
  <c r="E290" i="4"/>
  <c r="E291" i="4" s="1"/>
  <c r="F290" i="4"/>
  <c r="F291" i="4" s="1"/>
  <c r="G290" i="4"/>
  <c r="G291" i="4" s="1"/>
  <c r="H290" i="4"/>
  <c r="H291" i="4" s="1"/>
  <c r="B290" i="4"/>
  <c r="B291" i="4" s="1"/>
  <c r="L106" i="1"/>
  <c r="AB105" i="1"/>
  <c r="M106" i="1" s="1"/>
  <c r="AC105" i="1"/>
  <c r="AD105" i="1"/>
  <c r="AE105" i="1"/>
  <c r="AF105" i="1"/>
  <c r="AH105" i="1"/>
  <c r="AG105" i="1"/>
  <c r="H288" i="4"/>
  <c r="G288" i="4"/>
  <c r="F288" i="4"/>
  <c r="E288" i="4"/>
  <c r="D288" i="4"/>
  <c r="C288" i="4"/>
  <c r="B288" i="4"/>
  <c r="L105" i="1"/>
  <c r="AH104" i="1"/>
  <c r="AG104" i="1"/>
  <c r="AF104" i="1"/>
  <c r="AE104" i="1"/>
  <c r="AD104" i="1"/>
  <c r="AC104" i="1"/>
  <c r="AB104" i="1"/>
  <c r="M105" i="1" s="1"/>
  <c r="H285" i="4"/>
  <c r="H286" i="4" s="1"/>
  <c r="C285" i="4"/>
  <c r="C286" i="4" s="1"/>
  <c r="D285" i="4"/>
  <c r="D286" i="4" s="1"/>
  <c r="E285" i="4"/>
  <c r="E286" i="4" s="1"/>
  <c r="F285" i="4"/>
  <c r="F286" i="4" s="1"/>
  <c r="G285" i="4"/>
  <c r="G286" i="4" s="1"/>
  <c r="B285" i="4"/>
  <c r="B286" i="4" s="1"/>
  <c r="L104" i="1"/>
  <c r="AH103" i="1"/>
  <c r="AG103" i="1"/>
  <c r="AF103" i="1"/>
  <c r="AE103" i="1"/>
  <c r="AD103" i="1"/>
  <c r="AC103" i="1"/>
  <c r="AB103" i="1"/>
  <c r="H282" i="4"/>
  <c r="H284" i="4" s="1"/>
  <c r="C282" i="4"/>
  <c r="C284" i="4" s="1"/>
  <c r="D282" i="4"/>
  <c r="D284" i="4" s="1"/>
  <c r="E282" i="4"/>
  <c r="E284" i="4" s="1"/>
  <c r="F282" i="4"/>
  <c r="F284" i="4" s="1"/>
  <c r="G282" i="4"/>
  <c r="G284" i="4" s="1"/>
  <c r="B282" i="4"/>
  <c r="B284" i="4" s="1"/>
  <c r="AN103" i="1" l="1"/>
  <c r="AK108" i="1"/>
  <c r="AN110" i="1"/>
  <c r="AI110" i="1"/>
  <c r="AJ108" i="1"/>
  <c r="AJ109" i="1"/>
  <c r="AL103" i="1"/>
  <c r="AL108" i="1"/>
  <c r="AI107" i="1"/>
  <c r="AJ106" i="1"/>
  <c r="AJ107" i="1"/>
  <c r="AJ104" i="1"/>
  <c r="AK105" i="1"/>
  <c r="AM108" i="1"/>
  <c r="AM110" i="1"/>
  <c r="AK103" i="1"/>
  <c r="AL104" i="1"/>
  <c r="AN106" i="1"/>
  <c r="AN107" i="1"/>
  <c r="AM104" i="1"/>
  <c r="AI109" i="1"/>
  <c r="AL110" i="1"/>
  <c r="AI103" i="1"/>
  <c r="AN104" i="1"/>
  <c r="M110" i="1"/>
  <c r="AJ103" i="1"/>
  <c r="M104" i="1"/>
  <c r="AI105" i="1"/>
  <c r="AI104" i="1"/>
  <c r="AK109" i="1"/>
  <c r="AM105" i="1"/>
  <c r="AK106" i="1"/>
  <c r="AI108" i="1"/>
  <c r="AM109" i="1"/>
  <c r="AK110" i="1"/>
  <c r="AL105" i="1"/>
  <c r="AL109" i="1"/>
  <c r="AM103" i="1"/>
  <c r="AK104" i="1"/>
  <c r="AI106" i="1"/>
  <c r="AN109" i="1"/>
  <c r="AM106" i="1"/>
  <c r="AL107" i="1"/>
  <c r="AL106" i="1"/>
  <c r="AJ105" i="1"/>
  <c r="M107" i="1"/>
  <c r="AJ110" i="1"/>
  <c r="AM107" i="1"/>
  <c r="AN105" i="1"/>
  <c r="AK107" i="1"/>
  <c r="L103" i="1"/>
  <c r="AH102" i="1"/>
  <c r="AG102" i="1"/>
  <c r="AF102" i="1"/>
  <c r="AE102" i="1"/>
  <c r="AD102" i="1"/>
  <c r="AC102" i="1"/>
  <c r="AB102" i="1"/>
  <c r="L102" i="1"/>
  <c r="AH101" i="1"/>
  <c r="AG101" i="1"/>
  <c r="AF101" i="1"/>
  <c r="AE101" i="1"/>
  <c r="AD101" i="1"/>
  <c r="AC101" i="1"/>
  <c r="AB101" i="1"/>
  <c r="M102" i="1" s="1"/>
  <c r="H272" i="4"/>
  <c r="H273" i="4" s="1"/>
  <c r="G272" i="4"/>
  <c r="G273" i="4" s="1"/>
  <c r="E272" i="4"/>
  <c r="E273" i="4" s="1"/>
  <c r="D272" i="4"/>
  <c r="D273" i="4" s="1"/>
  <c r="C272" i="4"/>
  <c r="C273" i="4" s="1"/>
  <c r="L101" i="1"/>
  <c r="AH100" i="1"/>
  <c r="AG100" i="1"/>
  <c r="AF100" i="1"/>
  <c r="AE100" i="1"/>
  <c r="AD100" i="1"/>
  <c r="AC100" i="1"/>
  <c r="AB100" i="1"/>
  <c r="M101" i="1" s="1"/>
  <c r="C269" i="4"/>
  <c r="D269" i="4"/>
  <c r="E269" i="4"/>
  <c r="F269" i="4"/>
  <c r="G269" i="4"/>
  <c r="H269" i="4"/>
  <c r="B269" i="4"/>
  <c r="AI100" i="1" l="1"/>
  <c r="AI102" i="1"/>
  <c r="AN101" i="1"/>
  <c r="AN102" i="1"/>
  <c r="AL100" i="1"/>
  <c r="AN100" i="1"/>
  <c r="AM100" i="1"/>
  <c r="AI101" i="1"/>
  <c r="AL102" i="1"/>
  <c r="AJ101" i="1"/>
  <c r="AJ100" i="1"/>
  <c r="AJ102" i="1"/>
  <c r="AK100" i="1"/>
  <c r="AM102" i="1"/>
  <c r="AK102" i="1"/>
  <c r="AK101" i="1"/>
  <c r="M103" i="1"/>
  <c r="AM101" i="1"/>
  <c r="AL101" i="1"/>
  <c r="AH99" i="1"/>
  <c r="AN99" i="1" s="1"/>
  <c r="AG99" i="1"/>
  <c r="AM99" i="1" s="1"/>
  <c r="AF99" i="1"/>
  <c r="AE99" i="1"/>
  <c r="AD99" i="1"/>
  <c r="AJ99" i="1" s="1"/>
  <c r="AC99" i="1"/>
  <c r="AI99" i="1" s="1"/>
  <c r="AB99" i="1"/>
  <c r="L100" i="1"/>
  <c r="M100" i="1"/>
  <c r="L99" i="1"/>
  <c r="AH98" i="1"/>
  <c r="AG98" i="1"/>
  <c r="AF98" i="1"/>
  <c r="AE98" i="1"/>
  <c r="AD98" i="1"/>
  <c r="AC98" i="1"/>
  <c r="AB98" i="1"/>
  <c r="D263" i="4"/>
  <c r="C262" i="4"/>
  <c r="C263" i="4" s="1"/>
  <c r="D262" i="4"/>
  <c r="E262" i="4"/>
  <c r="E263" i="4" s="1"/>
  <c r="F262" i="4"/>
  <c r="F263" i="4" s="1"/>
  <c r="G262" i="4"/>
  <c r="G263" i="4" s="1"/>
  <c r="H262" i="4"/>
  <c r="H263" i="4" s="1"/>
  <c r="B262" i="4"/>
  <c r="B263" i="4" s="1"/>
  <c r="AK98" i="1" l="1"/>
  <c r="AI98" i="1"/>
  <c r="AL99" i="1"/>
  <c r="M99" i="1"/>
  <c r="AJ98" i="1"/>
  <c r="AL98" i="1"/>
  <c r="AM98" i="1"/>
  <c r="AN98" i="1"/>
  <c r="AK99" i="1"/>
  <c r="L98" i="1"/>
  <c r="AH97" i="1"/>
  <c r="AG97" i="1"/>
  <c r="AF97" i="1"/>
  <c r="AE97" i="1"/>
  <c r="AD97" i="1"/>
  <c r="AC97" i="1"/>
  <c r="AB97" i="1"/>
  <c r="M98" i="1" s="1"/>
  <c r="L97" i="1"/>
  <c r="AH96" i="1"/>
  <c r="AG96" i="1"/>
  <c r="AF96" i="1"/>
  <c r="AE96" i="1"/>
  <c r="AD96" i="1"/>
  <c r="AC96" i="1"/>
  <c r="AB96" i="1"/>
  <c r="M97" i="1" s="1"/>
  <c r="AK97" i="1" l="1"/>
  <c r="AL96" i="1"/>
  <c r="AI97" i="1"/>
  <c r="AJ97" i="1"/>
  <c r="AN96" i="1"/>
  <c r="AM97" i="1"/>
  <c r="AI96" i="1"/>
  <c r="AN97" i="1"/>
  <c r="AJ96" i="1"/>
  <c r="AL97" i="1"/>
  <c r="AM96" i="1"/>
  <c r="AK96" i="1"/>
  <c r="AH95" i="1"/>
  <c r="AN95" i="1" s="1"/>
  <c r="AG95" i="1"/>
  <c r="AF95" i="1"/>
  <c r="AE95" i="1"/>
  <c r="AD95" i="1"/>
  <c r="AC95" i="1"/>
  <c r="AB95" i="1"/>
  <c r="L96" i="1"/>
  <c r="M96" i="1"/>
  <c r="G249" i="4"/>
  <c r="H248" i="4"/>
  <c r="G248" i="4"/>
  <c r="F248" i="4"/>
  <c r="E248" i="4"/>
  <c r="D248" i="4"/>
  <c r="C248" i="4"/>
  <c r="B248" i="4"/>
  <c r="H247" i="4"/>
  <c r="G247" i="4"/>
  <c r="F247" i="4"/>
  <c r="E247" i="4"/>
  <c r="D247" i="4"/>
  <c r="C247" i="4"/>
  <c r="B247" i="4"/>
  <c r="L95" i="1"/>
  <c r="AH94" i="1"/>
  <c r="AG94" i="1"/>
  <c r="AM94" i="1" s="1"/>
  <c r="AF94" i="1"/>
  <c r="AE94" i="1"/>
  <c r="AD94" i="1"/>
  <c r="AC94" i="1"/>
  <c r="AB94" i="1"/>
  <c r="AJ94" i="1" s="1"/>
  <c r="H245" i="4"/>
  <c r="H246" i="4" s="1"/>
  <c r="G245" i="4"/>
  <c r="G246" i="4" s="1"/>
  <c r="F245" i="4"/>
  <c r="F246" i="4" s="1"/>
  <c r="E245" i="4"/>
  <c r="E246" i="4" s="1"/>
  <c r="D245" i="4"/>
  <c r="D246" i="4" s="1"/>
  <c r="C245" i="4"/>
  <c r="C246" i="4" s="1"/>
  <c r="B245" i="4"/>
  <c r="B246" i="4" s="1"/>
  <c r="AI94" i="1" l="1"/>
  <c r="AJ95" i="1"/>
  <c r="AK94" i="1"/>
  <c r="M95" i="1"/>
  <c r="AI95" i="1"/>
  <c r="AL95" i="1"/>
  <c r="AM95" i="1"/>
  <c r="AK95" i="1"/>
  <c r="AN94" i="1"/>
  <c r="AL94" i="1"/>
  <c r="L94" i="1"/>
  <c r="AH93" i="1"/>
  <c r="AG93" i="1"/>
  <c r="AF93" i="1"/>
  <c r="AE93" i="1"/>
  <c r="AD93" i="1"/>
  <c r="AC93" i="1"/>
  <c r="AB93" i="1"/>
  <c r="AH92" i="1"/>
  <c r="AG92" i="1"/>
  <c r="AF92" i="1"/>
  <c r="AE92" i="1"/>
  <c r="AD92" i="1"/>
  <c r="AC92" i="1"/>
  <c r="AB92" i="1"/>
  <c r="C237" i="4"/>
  <c r="C238" i="4" s="1"/>
  <c r="D237" i="4"/>
  <c r="D238" i="4" s="1"/>
  <c r="E237" i="4"/>
  <c r="E238" i="4" s="1"/>
  <c r="F237" i="4"/>
  <c r="F238" i="4" s="1"/>
  <c r="G237" i="4"/>
  <c r="G238" i="4" s="1"/>
  <c r="H237" i="4"/>
  <c r="H238" i="4" s="1"/>
  <c r="B237" i="4"/>
  <c r="B238" i="4" s="1"/>
  <c r="H239" i="4"/>
  <c r="H241" i="4" s="1"/>
  <c r="H242" i="4" s="1"/>
  <c r="G239" i="4"/>
  <c r="G241" i="4" s="1"/>
  <c r="G242" i="4" s="1"/>
  <c r="F239" i="4"/>
  <c r="F241" i="4" s="1"/>
  <c r="F242" i="4" s="1"/>
  <c r="E239" i="4"/>
  <c r="E241" i="4" s="1"/>
  <c r="E242" i="4" s="1"/>
  <c r="D239" i="4"/>
  <c r="D241" i="4" s="1"/>
  <c r="D242" i="4" s="1"/>
  <c r="C239" i="4"/>
  <c r="C241" i="4" s="1"/>
  <c r="C242" i="4" s="1"/>
  <c r="B239" i="4"/>
  <c r="B241" i="4" s="1"/>
  <c r="B242" i="4" s="1"/>
  <c r="AK93" i="1" l="1"/>
  <c r="M94" i="1"/>
  <c r="AN93" i="1"/>
  <c r="AI93" i="1"/>
  <c r="AJ93" i="1"/>
  <c r="AM93" i="1"/>
  <c r="AL93" i="1"/>
  <c r="L93" i="1"/>
  <c r="M93" i="1"/>
  <c r="AI92" i="1"/>
  <c r="AJ92" i="1"/>
  <c r="AK92" i="1"/>
  <c r="AL92" i="1"/>
  <c r="AM92" i="1"/>
  <c r="AN92" i="1"/>
  <c r="L92" i="1"/>
  <c r="AH91" i="1"/>
  <c r="AG91" i="1"/>
  <c r="AF91" i="1"/>
  <c r="AE91" i="1"/>
  <c r="AD91" i="1"/>
  <c r="AC91" i="1"/>
  <c r="AB91" i="1"/>
  <c r="AN91" i="1" s="1"/>
  <c r="L91" i="1"/>
  <c r="AH90" i="1"/>
  <c r="AG90" i="1"/>
  <c r="AF90" i="1"/>
  <c r="AE90" i="1"/>
  <c r="AD90" i="1"/>
  <c r="AC90" i="1"/>
  <c r="AB90" i="1"/>
  <c r="L90" i="1"/>
  <c r="AH89" i="1"/>
  <c r="AG89" i="1"/>
  <c r="AF89" i="1"/>
  <c r="AE89" i="1"/>
  <c r="AD89" i="1"/>
  <c r="AC89" i="1"/>
  <c r="AB89" i="1"/>
  <c r="M90" i="1" s="1"/>
  <c r="L89" i="1"/>
  <c r="AI91" i="1" l="1"/>
  <c r="AM91" i="1"/>
  <c r="M92" i="1"/>
  <c r="AI89" i="1"/>
  <c r="AJ90" i="1"/>
  <c r="AI90" i="1"/>
  <c r="AJ89" i="1"/>
  <c r="AK89" i="1"/>
  <c r="AN90" i="1"/>
  <c r="AN89" i="1"/>
  <c r="AJ91" i="1"/>
  <c r="AK91" i="1"/>
  <c r="AK90" i="1"/>
  <c r="AL91" i="1"/>
  <c r="AL89" i="1"/>
  <c r="AM90" i="1"/>
  <c r="AL90" i="1"/>
  <c r="M91" i="1"/>
  <c r="AM89" i="1"/>
  <c r="AH88" i="1"/>
  <c r="AG88" i="1"/>
  <c r="AF88" i="1"/>
  <c r="AE88" i="1"/>
  <c r="AD88" i="1"/>
  <c r="AC88" i="1"/>
  <c r="AB88" i="1"/>
  <c r="C229" i="4"/>
  <c r="C230" i="4" s="1"/>
  <c r="D229" i="4"/>
  <c r="D230" i="4" s="1"/>
  <c r="E229" i="4"/>
  <c r="E230" i="4" s="1"/>
  <c r="F229" i="4"/>
  <c r="F230" i="4" s="1"/>
  <c r="G229" i="4"/>
  <c r="G230" i="4" s="1"/>
  <c r="H229" i="4"/>
  <c r="H230" i="4" s="1"/>
  <c r="B229" i="4"/>
  <c r="B230" i="4" s="1"/>
  <c r="L88" i="1"/>
  <c r="AH87" i="1"/>
  <c r="AG87" i="1"/>
  <c r="AF87" i="1"/>
  <c r="AE87" i="1"/>
  <c r="AD87" i="1"/>
  <c r="AC87" i="1"/>
  <c r="AB87" i="1"/>
  <c r="M88" i="1" s="1"/>
  <c r="L87" i="1"/>
  <c r="AH86" i="1"/>
  <c r="AG86" i="1"/>
  <c r="AF86" i="1"/>
  <c r="AE86" i="1"/>
  <c r="AD86" i="1"/>
  <c r="AC86" i="1"/>
  <c r="AB86" i="1"/>
  <c r="L86" i="1"/>
  <c r="AH85" i="1"/>
  <c r="AG85" i="1"/>
  <c r="AF85" i="1"/>
  <c r="AE85" i="1"/>
  <c r="AD85" i="1"/>
  <c r="AC85" i="1"/>
  <c r="AB85" i="1"/>
  <c r="M86" i="1" s="1"/>
  <c r="L85" i="1"/>
  <c r="AJ86" i="1" l="1"/>
  <c r="AL85" i="1"/>
  <c r="AJ87" i="1"/>
  <c r="AK85" i="1"/>
  <c r="AI87" i="1"/>
  <c r="AJ88" i="1"/>
  <c r="AK87" i="1"/>
  <c r="AM85" i="1"/>
  <c r="AL86" i="1"/>
  <c r="AL87" i="1"/>
  <c r="AN85" i="1"/>
  <c r="AM86" i="1"/>
  <c r="AM87" i="1"/>
  <c r="AJ85" i="1"/>
  <c r="AN86" i="1"/>
  <c r="AN87" i="1"/>
  <c r="AI86" i="1"/>
  <c r="AI85" i="1"/>
  <c r="AN88" i="1"/>
  <c r="M87" i="1"/>
  <c r="AK86" i="1"/>
  <c r="AI88" i="1"/>
  <c r="M89" i="1"/>
  <c r="AL88" i="1"/>
  <c r="AM88" i="1"/>
  <c r="AK88" i="1"/>
  <c r="AH84" i="1"/>
  <c r="AG84" i="1"/>
  <c r="AF84" i="1"/>
  <c r="AE84" i="1"/>
  <c r="AD84" i="1"/>
  <c r="AC84" i="1"/>
  <c r="AB84" i="1"/>
  <c r="M85" i="1" s="1"/>
  <c r="L84" i="1"/>
  <c r="AN84" i="1" l="1"/>
  <c r="AI84" i="1"/>
  <c r="AM84" i="1"/>
  <c r="AJ84" i="1"/>
  <c r="AK84" i="1"/>
  <c r="AL84" i="1"/>
  <c r="AH83" i="1"/>
  <c r="AG83" i="1"/>
  <c r="AF83" i="1"/>
  <c r="AE83" i="1"/>
  <c r="AD83" i="1"/>
  <c r="AC83" i="1"/>
  <c r="AB83" i="1"/>
  <c r="M84" i="1" s="1"/>
  <c r="AI83" i="1"/>
  <c r="C218" i="4"/>
  <c r="C219" i="4" s="1"/>
  <c r="D218" i="4"/>
  <c r="D219" i="4" s="1"/>
  <c r="E218" i="4"/>
  <c r="E219" i="4" s="1"/>
  <c r="F218" i="4"/>
  <c r="F219" i="4" s="1"/>
  <c r="G218" i="4"/>
  <c r="G219" i="4" s="1"/>
  <c r="H218" i="4"/>
  <c r="H219" i="4" s="1"/>
  <c r="B218" i="4"/>
  <c r="B219" i="4" s="1"/>
  <c r="L83" i="1"/>
  <c r="AH82" i="1"/>
  <c r="AG82" i="1"/>
  <c r="AM82" i="1" s="1"/>
  <c r="AF82" i="1"/>
  <c r="AE82" i="1"/>
  <c r="AD82" i="1"/>
  <c r="AC82" i="1"/>
  <c r="AB82" i="1"/>
  <c r="M83" i="1" s="1"/>
  <c r="L82" i="1"/>
  <c r="AK83" i="1" l="1"/>
  <c r="AK82" i="1"/>
  <c r="AL82" i="1"/>
  <c r="AN82" i="1"/>
  <c r="AJ82" i="1"/>
  <c r="AJ83" i="1"/>
  <c r="AI82" i="1"/>
  <c r="AM83" i="1"/>
  <c r="AN83" i="1"/>
  <c r="AL83" i="1"/>
  <c r="AH81" i="1"/>
  <c r="AG81" i="1"/>
  <c r="AF81" i="1"/>
  <c r="AE81" i="1"/>
  <c r="AD81" i="1"/>
  <c r="AC81" i="1"/>
  <c r="AB81" i="1"/>
  <c r="M82" i="1" s="1"/>
  <c r="L81" i="1"/>
  <c r="AM81" i="1" l="1"/>
  <c r="AL81" i="1"/>
  <c r="AI81" i="1"/>
  <c r="AJ81" i="1"/>
  <c r="AN81" i="1"/>
  <c r="AK81" i="1"/>
  <c r="AH80" i="1"/>
  <c r="AN80" i="1" s="1"/>
  <c r="AG80" i="1"/>
  <c r="AM80" i="1" s="1"/>
  <c r="AF80" i="1"/>
  <c r="AE80" i="1"/>
  <c r="AD80" i="1"/>
  <c r="AC80" i="1"/>
  <c r="AB80" i="1"/>
  <c r="M81" i="1" s="1"/>
  <c r="L80" i="1"/>
  <c r="AH79" i="1"/>
  <c r="AG79" i="1"/>
  <c r="AF79" i="1"/>
  <c r="AE79" i="1"/>
  <c r="AD79" i="1"/>
  <c r="AC79" i="1"/>
  <c r="AB79" i="1"/>
  <c r="M80" i="1" s="1"/>
  <c r="AL80" i="1" l="1"/>
  <c r="AI79" i="1"/>
  <c r="AJ79" i="1"/>
  <c r="AK80" i="1"/>
  <c r="AM79" i="1"/>
  <c r="AJ80" i="1"/>
  <c r="AI80" i="1"/>
  <c r="AN79" i="1"/>
  <c r="AL79" i="1"/>
  <c r="AK79" i="1"/>
  <c r="L79" i="1"/>
  <c r="AH78" i="1"/>
  <c r="AG78" i="1"/>
  <c r="AF78" i="1"/>
  <c r="AE78" i="1"/>
  <c r="AD78" i="1"/>
  <c r="AC78" i="1"/>
  <c r="AB78" i="1"/>
  <c r="H208" i="4"/>
  <c r="G208" i="4"/>
  <c r="F208" i="4"/>
  <c r="E208" i="4"/>
  <c r="C208" i="4"/>
  <c r="B208" i="4"/>
  <c r="L78" i="1"/>
  <c r="AH77" i="1"/>
  <c r="AG77" i="1"/>
  <c r="AF77" i="1"/>
  <c r="AE77" i="1"/>
  <c r="AD77" i="1"/>
  <c r="AC77" i="1"/>
  <c r="AB77" i="1"/>
  <c r="M78" i="1" s="1"/>
  <c r="AL78" i="1" l="1"/>
  <c r="AM78" i="1"/>
  <c r="AN78" i="1"/>
  <c r="AJ78" i="1"/>
  <c r="AK78" i="1"/>
  <c r="AI78" i="1"/>
  <c r="M79" i="1"/>
  <c r="AI77" i="1"/>
  <c r="AJ77" i="1"/>
  <c r="AK77" i="1"/>
  <c r="AL77" i="1"/>
  <c r="AM77" i="1"/>
  <c r="AN77" i="1"/>
  <c r="L77" i="1"/>
  <c r="AH76" i="1"/>
  <c r="AG76" i="1"/>
  <c r="AF76" i="1"/>
  <c r="AE76" i="1"/>
  <c r="AD76" i="1"/>
  <c r="AC76" i="1"/>
  <c r="AB76" i="1"/>
  <c r="M77" i="1" s="1"/>
  <c r="H204" i="4"/>
  <c r="F204" i="4"/>
  <c r="F209" i="4" s="1"/>
  <c r="F210" i="4" s="1"/>
  <c r="G204" i="4"/>
  <c r="E204" i="4"/>
  <c r="E209" i="4" s="1"/>
  <c r="E210" i="4" s="1"/>
  <c r="D204" i="4"/>
  <c r="C204" i="4"/>
  <c r="C209" i="4" s="1"/>
  <c r="C210" i="4" s="1"/>
  <c r="B204" i="4"/>
  <c r="H203" i="4"/>
  <c r="G203" i="4"/>
  <c r="F203" i="4"/>
  <c r="E203" i="4"/>
  <c r="D203" i="4"/>
  <c r="C203" i="4"/>
  <c r="B203" i="4"/>
  <c r="H202" i="4"/>
  <c r="H214" i="4" s="1"/>
  <c r="H215" i="4" s="1"/>
  <c r="G202" i="4"/>
  <c r="G214" i="4" s="1"/>
  <c r="G215" i="4" s="1"/>
  <c r="F202" i="4"/>
  <c r="E202" i="4"/>
  <c r="E214" i="4" s="1"/>
  <c r="E215" i="4" s="1"/>
  <c r="D202" i="4"/>
  <c r="D214" i="4" s="1"/>
  <c r="D215" i="4" s="1"/>
  <c r="C202" i="4"/>
  <c r="C214" i="4" s="1"/>
  <c r="C215" i="4" s="1"/>
  <c r="B202" i="4"/>
  <c r="B214" i="4" s="1"/>
  <c r="B215" i="4" s="1"/>
  <c r="L76" i="1"/>
  <c r="AH75" i="1"/>
  <c r="AG75" i="1"/>
  <c r="AF75" i="1"/>
  <c r="AE75" i="1"/>
  <c r="AD75" i="1"/>
  <c r="AC75" i="1"/>
  <c r="AB75" i="1"/>
  <c r="AL76" i="1" l="1"/>
  <c r="AJ76" i="1"/>
  <c r="AM75" i="1"/>
  <c r="AK76" i="1"/>
  <c r="AN76" i="1"/>
  <c r="AN75" i="1"/>
  <c r="AJ75" i="1"/>
  <c r="AL75" i="1"/>
  <c r="AI76" i="1"/>
  <c r="AK75" i="1"/>
  <c r="M76" i="1"/>
  <c r="AI75" i="1"/>
  <c r="AM76" i="1"/>
  <c r="F206" i="4"/>
  <c r="F207" i="4" s="1"/>
  <c r="F214" i="4"/>
  <c r="F215" i="4" s="1"/>
  <c r="B206" i="4"/>
  <c r="B207" i="4" s="1"/>
  <c r="D206" i="4"/>
  <c r="D207" i="4" s="1"/>
  <c r="D209" i="4"/>
  <c r="D210" i="4" s="1"/>
  <c r="G206" i="4"/>
  <c r="G207" i="4" s="1"/>
  <c r="H206" i="4"/>
  <c r="H207" i="4" s="1"/>
  <c r="H209" i="4"/>
  <c r="H210" i="4" s="1"/>
  <c r="C206" i="4"/>
  <c r="C207" i="4" s="1"/>
  <c r="E206" i="4"/>
  <c r="E207" i="4" s="1"/>
  <c r="G209" i="4"/>
  <c r="G210" i="4" s="1"/>
  <c r="B209" i="4"/>
  <c r="B210" i="4" s="1"/>
  <c r="AB74" i="1"/>
  <c r="AC74" i="1"/>
  <c r="AD74" i="1"/>
  <c r="AJ74" i="1" s="1"/>
  <c r="AE74" i="1"/>
  <c r="AF74" i="1"/>
  <c r="AG74" i="1"/>
  <c r="AH74" i="1"/>
  <c r="L75" i="1"/>
  <c r="M75" i="1"/>
  <c r="L74" i="1"/>
  <c r="AH73" i="1"/>
  <c r="AG73" i="1"/>
  <c r="AF73" i="1"/>
  <c r="AE73" i="1"/>
  <c r="AD73" i="1"/>
  <c r="AC73" i="1"/>
  <c r="AB73" i="1"/>
  <c r="L73" i="1"/>
  <c r="C190" i="4"/>
  <c r="C191" i="4" s="1"/>
  <c r="D190" i="4"/>
  <c r="D191" i="4" s="1"/>
  <c r="E190" i="4"/>
  <c r="E191" i="4" s="1"/>
  <c r="F190" i="4"/>
  <c r="F191" i="4" s="1"/>
  <c r="G190" i="4"/>
  <c r="G191" i="4" s="1"/>
  <c r="H190" i="4"/>
  <c r="H191" i="4" s="1"/>
  <c r="B190" i="4"/>
  <c r="B191" i="4" s="1"/>
  <c r="AH72" i="1"/>
  <c r="AG72" i="1"/>
  <c r="AF72" i="1"/>
  <c r="AE72" i="1"/>
  <c r="AD72" i="1"/>
  <c r="AC72" i="1"/>
  <c r="AB72" i="1"/>
  <c r="AH71" i="1"/>
  <c r="AG71" i="1"/>
  <c r="AF71" i="1"/>
  <c r="AE71" i="1"/>
  <c r="AD71" i="1"/>
  <c r="AC71" i="1"/>
  <c r="AB71" i="1"/>
  <c r="M72" i="1" s="1"/>
  <c r="L72" i="1"/>
  <c r="G189" i="4"/>
  <c r="C186" i="4"/>
  <c r="D186" i="4"/>
  <c r="E186" i="4"/>
  <c r="F186" i="4"/>
  <c r="G186" i="4"/>
  <c r="H186" i="4"/>
  <c r="B186" i="4"/>
  <c r="C184" i="4"/>
  <c r="C198" i="4" s="1"/>
  <c r="C199" i="4" s="1"/>
  <c r="D184" i="4"/>
  <c r="D198" i="4" s="1"/>
  <c r="D199" i="4" s="1"/>
  <c r="E184" i="4"/>
  <c r="E198" i="4" s="1"/>
  <c r="E199" i="4" s="1"/>
  <c r="F184" i="4"/>
  <c r="F198" i="4" s="1"/>
  <c r="F199" i="4" s="1"/>
  <c r="G184" i="4"/>
  <c r="G198" i="4" s="1"/>
  <c r="G199" i="4" s="1"/>
  <c r="H184" i="4"/>
  <c r="H198" i="4" s="1"/>
  <c r="H199" i="4" s="1"/>
  <c r="B184" i="4"/>
  <c r="B198" i="4" s="1"/>
  <c r="B199" i="4" s="1"/>
  <c r="L71" i="1"/>
  <c r="AL71" i="1" l="1"/>
  <c r="AN71" i="1"/>
  <c r="AI72" i="1"/>
  <c r="AL74" i="1"/>
  <c r="AK72" i="1"/>
  <c r="M73" i="1"/>
  <c r="AJ72" i="1"/>
  <c r="AI73" i="1"/>
  <c r="AI74" i="1"/>
  <c r="AM72" i="1"/>
  <c r="AK73" i="1"/>
  <c r="AN74" i="1"/>
  <c r="AJ71" i="1"/>
  <c r="AL72" i="1"/>
  <c r="AJ73" i="1"/>
  <c r="AN72" i="1"/>
  <c r="AL73" i="1"/>
  <c r="AI71" i="1"/>
  <c r="AN73" i="1"/>
  <c r="AM73" i="1"/>
  <c r="M74" i="1"/>
  <c r="AM74" i="1"/>
  <c r="AK74" i="1"/>
  <c r="AM71" i="1"/>
  <c r="AK71" i="1"/>
  <c r="AH70" i="1"/>
  <c r="AG70" i="1"/>
  <c r="AF70" i="1"/>
  <c r="AE70" i="1"/>
  <c r="AD70" i="1"/>
  <c r="AC70" i="1"/>
  <c r="AB70" i="1"/>
  <c r="M71" i="1" s="1"/>
  <c r="C179" i="4"/>
  <c r="C180" i="4" s="1"/>
  <c r="D179" i="4"/>
  <c r="D180" i="4" s="1"/>
  <c r="E179" i="4"/>
  <c r="E180" i="4" s="1"/>
  <c r="F179" i="4"/>
  <c r="F180" i="4" s="1"/>
  <c r="G179" i="4"/>
  <c r="G180" i="4" s="1"/>
  <c r="H179" i="4"/>
  <c r="H180" i="4" s="1"/>
  <c r="B179" i="4"/>
  <c r="B180" i="4" s="1"/>
  <c r="H181" i="4"/>
  <c r="F181" i="4"/>
  <c r="D181" i="4"/>
  <c r="C181" i="4"/>
  <c r="B181" i="4"/>
  <c r="L70" i="1"/>
  <c r="AN70" i="1" l="1"/>
  <c r="AI70" i="1"/>
  <c r="AK70" i="1"/>
  <c r="AL70" i="1"/>
  <c r="AM70" i="1"/>
  <c r="AJ70" i="1"/>
  <c r="AH69" i="1"/>
  <c r="AG69" i="1"/>
  <c r="AF69" i="1"/>
  <c r="AE69" i="1"/>
  <c r="AD69" i="1"/>
  <c r="AC69" i="1"/>
  <c r="AB69" i="1"/>
  <c r="M70" i="1" s="1"/>
  <c r="L69" i="1"/>
  <c r="AH68" i="1"/>
  <c r="AG68" i="1"/>
  <c r="AF68" i="1"/>
  <c r="AE68" i="1"/>
  <c r="AD68" i="1"/>
  <c r="AC68" i="1"/>
  <c r="AB68" i="1"/>
  <c r="C178" i="4"/>
  <c r="D178" i="4"/>
  <c r="L68" i="1"/>
  <c r="AH67" i="1"/>
  <c r="AG67" i="1"/>
  <c r="AF67" i="1"/>
  <c r="AE67" i="1"/>
  <c r="AD67" i="1"/>
  <c r="AC67" i="1"/>
  <c r="AB67" i="1"/>
  <c r="M68" i="1" s="1"/>
  <c r="H175" i="4"/>
  <c r="H176" i="4" s="1"/>
  <c r="C175" i="4"/>
  <c r="C176" i="4" s="1"/>
  <c r="D175" i="4"/>
  <c r="D176" i="4" s="1"/>
  <c r="E175" i="4"/>
  <c r="E176" i="4" s="1"/>
  <c r="F175" i="4"/>
  <c r="F176" i="4" s="1"/>
  <c r="G175" i="4"/>
  <c r="G176" i="4" s="1"/>
  <c r="B175" i="4"/>
  <c r="B176" i="4" s="1"/>
  <c r="L67" i="1"/>
  <c r="AH66" i="1"/>
  <c r="AG66" i="1"/>
  <c r="AF66" i="1"/>
  <c r="AE66" i="1"/>
  <c r="AD66" i="1"/>
  <c r="AC66" i="1"/>
  <c r="AB66" i="1"/>
  <c r="AK66" i="1" s="1"/>
  <c r="C170" i="4"/>
  <c r="D170" i="4"/>
  <c r="E170" i="4"/>
  <c r="F170" i="4"/>
  <c r="G170" i="4"/>
  <c r="H170" i="4"/>
  <c r="B170" i="4"/>
  <c r="C168" i="4"/>
  <c r="D168" i="4"/>
  <c r="E168" i="4"/>
  <c r="F168" i="4"/>
  <c r="G168" i="4"/>
  <c r="H168" i="4"/>
  <c r="B168" i="4"/>
  <c r="C166" i="4"/>
  <c r="D166" i="4"/>
  <c r="E166" i="4"/>
  <c r="F166" i="4"/>
  <c r="G166" i="4"/>
  <c r="H166" i="4"/>
  <c r="B166" i="4"/>
  <c r="L66" i="1"/>
  <c r="AH65" i="1"/>
  <c r="AG65" i="1"/>
  <c r="AF65" i="1"/>
  <c r="AE65" i="1"/>
  <c r="AD65" i="1"/>
  <c r="AC65" i="1"/>
  <c r="AB65" i="1"/>
  <c r="M66" i="1" s="1"/>
  <c r="AL66" i="1" l="1"/>
  <c r="AM67" i="1"/>
  <c r="AL67" i="1"/>
  <c r="AM66" i="1"/>
  <c r="AL68" i="1"/>
  <c r="AL69" i="1"/>
  <c r="AN68" i="1"/>
  <c r="AK67" i="1"/>
  <c r="AN66" i="1"/>
  <c r="AJ67" i="1"/>
  <c r="M67" i="1"/>
  <c r="AI66" i="1"/>
  <c r="AJ66" i="1"/>
  <c r="AN67" i="1"/>
  <c r="AJ68" i="1"/>
  <c r="AK69" i="1"/>
  <c r="AI68" i="1"/>
  <c r="AN69" i="1"/>
  <c r="AI67" i="1"/>
  <c r="AM69" i="1"/>
  <c r="AJ69" i="1"/>
  <c r="AI69" i="1"/>
  <c r="M69" i="1"/>
  <c r="D281" i="4"/>
  <c r="D345" i="4"/>
  <c r="B281" i="4"/>
  <c r="B345" i="4"/>
  <c r="H281" i="4"/>
  <c r="H345" i="4"/>
  <c r="G281" i="4"/>
  <c r="G345" i="4"/>
  <c r="E281" i="4"/>
  <c r="E345" i="4"/>
  <c r="C281" i="4"/>
  <c r="C345" i="4"/>
  <c r="F281" i="4"/>
  <c r="F345" i="4"/>
  <c r="H177" i="4"/>
  <c r="H196" i="4" s="1"/>
  <c r="F177" i="4"/>
  <c r="F196" i="4" s="1"/>
  <c r="D177" i="4"/>
  <c r="D196" i="4" s="1"/>
  <c r="B177" i="4"/>
  <c r="B196" i="4" s="1"/>
  <c r="G177" i="4"/>
  <c r="G196" i="4" s="1"/>
  <c r="E177" i="4"/>
  <c r="E196" i="4" s="1"/>
  <c r="C177" i="4"/>
  <c r="C196" i="4" s="1"/>
  <c r="AM68" i="1"/>
  <c r="AK68" i="1"/>
  <c r="AI65" i="1"/>
  <c r="AJ65" i="1"/>
  <c r="AK65" i="1"/>
  <c r="AL65" i="1"/>
  <c r="AM65" i="1"/>
  <c r="AN65" i="1"/>
  <c r="L65" i="1"/>
  <c r="AH64" i="1"/>
  <c r="AG64" i="1"/>
  <c r="AF64" i="1"/>
  <c r="AE64" i="1"/>
  <c r="AD64" i="1"/>
  <c r="AC64" i="1"/>
  <c r="AB64" i="1"/>
  <c r="M65" i="1" s="1"/>
  <c r="H158" i="4"/>
  <c r="H159" i="4" s="1"/>
  <c r="C158" i="4"/>
  <c r="C159" i="4" s="1"/>
  <c r="D158" i="4"/>
  <c r="D159" i="4" s="1"/>
  <c r="E158" i="4"/>
  <c r="E159" i="4" s="1"/>
  <c r="F158" i="4"/>
  <c r="F159" i="4" s="1"/>
  <c r="G158" i="4"/>
  <c r="G159" i="4" s="1"/>
  <c r="B158" i="4"/>
  <c r="B159" i="4" s="1"/>
  <c r="L64" i="1"/>
  <c r="AH63" i="1"/>
  <c r="AG63" i="1"/>
  <c r="AF63" i="1"/>
  <c r="AE63" i="1"/>
  <c r="AD63" i="1"/>
  <c r="AC63" i="1"/>
  <c r="AB63" i="1"/>
  <c r="M64" i="1" s="1"/>
  <c r="L63" i="1"/>
  <c r="AH62" i="1"/>
  <c r="AN62" i="1" s="1"/>
  <c r="AG62" i="1"/>
  <c r="AM62" i="1" s="1"/>
  <c r="AF62" i="1"/>
  <c r="AL62" i="1" s="1"/>
  <c r="AE62" i="1"/>
  <c r="AK62" i="1" s="1"/>
  <c r="AD62" i="1"/>
  <c r="AC62" i="1"/>
  <c r="AB62" i="1"/>
  <c r="M63" i="1" s="1"/>
  <c r="L62" i="1"/>
  <c r="AH61" i="1"/>
  <c r="AN61" i="1" s="1"/>
  <c r="AG61" i="1"/>
  <c r="AF61" i="1"/>
  <c r="AL61" i="1" s="1"/>
  <c r="AE61" i="1"/>
  <c r="AD61" i="1"/>
  <c r="AC61" i="1"/>
  <c r="AB61" i="1"/>
  <c r="M62" i="1" s="1"/>
  <c r="L61" i="1"/>
  <c r="AH60" i="1"/>
  <c r="AN60" i="1" s="1"/>
  <c r="AG60" i="1"/>
  <c r="AF60" i="1"/>
  <c r="AE60" i="1"/>
  <c r="AD60" i="1"/>
  <c r="AJ60" i="1" s="1"/>
  <c r="AC60" i="1"/>
  <c r="AB60" i="1"/>
  <c r="M61" i="1" s="1"/>
  <c r="L60" i="1"/>
  <c r="AG59" i="1"/>
  <c r="AH59" i="1"/>
  <c r="AF59" i="1"/>
  <c r="AE59" i="1"/>
  <c r="AD59" i="1"/>
  <c r="AC59" i="1"/>
  <c r="AB59" i="1"/>
  <c r="L59" i="1"/>
  <c r="AH58" i="1"/>
  <c r="AG58" i="1"/>
  <c r="AF58" i="1"/>
  <c r="AE58" i="1"/>
  <c r="AD58" i="1"/>
  <c r="AC58" i="1"/>
  <c r="AB58" i="1"/>
  <c r="L58" i="1"/>
  <c r="AH57" i="1"/>
  <c r="AG57" i="1"/>
  <c r="AF57" i="1"/>
  <c r="AE57" i="1"/>
  <c r="AD57" i="1"/>
  <c r="AC57" i="1"/>
  <c r="AB57" i="1"/>
  <c r="AJ57" i="1" s="1"/>
  <c r="C149" i="4"/>
  <c r="C151" i="4" s="1"/>
  <c r="D149" i="4"/>
  <c r="D151" i="4" s="1"/>
  <c r="E149" i="4"/>
  <c r="E151" i="4" s="1"/>
  <c r="F149" i="4"/>
  <c r="F151" i="4" s="1"/>
  <c r="G149" i="4"/>
  <c r="G151" i="4" s="1"/>
  <c r="H149" i="4"/>
  <c r="H151" i="4" s="1"/>
  <c r="B149" i="4"/>
  <c r="B151" i="4" s="1"/>
  <c r="AM60" i="1" l="1"/>
  <c r="AI60" i="1"/>
  <c r="AL60" i="1"/>
  <c r="AJ59" i="1"/>
  <c r="AK59" i="1"/>
  <c r="AL59" i="1"/>
  <c r="AM57" i="1"/>
  <c r="AN59" i="1"/>
  <c r="AI59" i="1"/>
  <c r="AJ58" i="1"/>
  <c r="AL58" i="1"/>
  <c r="AJ62" i="1"/>
  <c r="AK63" i="1"/>
  <c r="AI64" i="1"/>
  <c r="AI63" i="1"/>
  <c r="AJ63" i="1"/>
  <c r="AK64" i="1"/>
  <c r="AI58" i="1"/>
  <c r="AM59" i="1"/>
  <c r="AL63" i="1"/>
  <c r="AL64" i="1"/>
  <c r="AK60" i="1"/>
  <c r="AM63" i="1"/>
  <c r="AM64" i="1"/>
  <c r="AJ61" i="1"/>
  <c r="AI62" i="1"/>
  <c r="AN63" i="1"/>
  <c r="AN64" i="1"/>
  <c r="AK57" i="1"/>
  <c r="M58" i="1"/>
  <c r="AJ64" i="1"/>
  <c r="AN58" i="1"/>
  <c r="M60" i="1"/>
  <c r="M59" i="1"/>
  <c r="AI57" i="1"/>
  <c r="AI61" i="1"/>
  <c r="AM61" i="1"/>
  <c r="AK61" i="1"/>
  <c r="AM58" i="1"/>
  <c r="AK58" i="1"/>
  <c r="AN57" i="1"/>
  <c r="AL57" i="1"/>
  <c r="L57" i="1"/>
  <c r="AH56" i="1"/>
  <c r="AG56" i="1"/>
  <c r="AF56" i="1"/>
  <c r="AE56" i="1"/>
  <c r="AD56" i="1"/>
  <c r="AJ56" i="1" s="1"/>
  <c r="AC56" i="1"/>
  <c r="AB56" i="1"/>
  <c r="AI56" i="1" s="1"/>
  <c r="L56" i="1"/>
  <c r="AH55" i="1"/>
  <c r="AG55" i="1"/>
  <c r="AF55" i="1"/>
  <c r="AE55" i="1"/>
  <c r="AD55" i="1"/>
  <c r="AC55" i="1"/>
  <c r="AB55" i="1"/>
  <c r="M56" i="1" s="1"/>
  <c r="AI55" i="1" l="1"/>
  <c r="AL55" i="1"/>
  <c r="AK55" i="1"/>
  <c r="AJ55" i="1"/>
  <c r="AM55" i="1"/>
  <c r="AN55" i="1"/>
  <c r="AL56" i="1"/>
  <c r="M57" i="1"/>
  <c r="AN56" i="1"/>
  <c r="AM56" i="1"/>
  <c r="AK56" i="1"/>
  <c r="L55" i="1"/>
  <c r="BG43" i="1"/>
  <c r="BG54" i="1"/>
  <c r="AH54" i="1"/>
  <c r="AG54" i="1"/>
  <c r="AF54" i="1"/>
  <c r="AE54" i="1"/>
  <c r="AD54" i="1"/>
  <c r="AC54" i="1"/>
  <c r="AB54" i="1"/>
  <c r="C144" i="4"/>
  <c r="D144" i="4"/>
  <c r="E144" i="4"/>
  <c r="F144" i="4"/>
  <c r="G144" i="4"/>
  <c r="H144" i="4"/>
  <c r="B144" i="4"/>
  <c r="AJ54" i="1"/>
  <c r="AH53" i="1"/>
  <c r="AN53" i="1" s="1"/>
  <c r="AG53" i="1"/>
  <c r="AF53" i="1"/>
  <c r="AL53" i="1" s="1"/>
  <c r="AE53" i="1"/>
  <c r="AD53" i="1"/>
  <c r="AC53" i="1"/>
  <c r="AB53" i="1"/>
  <c r="L54" i="1"/>
  <c r="M54" i="1"/>
  <c r="L53" i="1"/>
  <c r="AH52" i="1"/>
  <c r="AG52" i="1"/>
  <c r="AF52" i="1"/>
  <c r="AE52" i="1"/>
  <c r="AD52" i="1"/>
  <c r="AC52" i="1"/>
  <c r="AB52" i="1"/>
  <c r="M53" i="1" s="1"/>
  <c r="L52" i="1"/>
  <c r="AH51" i="1"/>
  <c r="AG51" i="1"/>
  <c r="AF51" i="1"/>
  <c r="AE51" i="1"/>
  <c r="AD51" i="1"/>
  <c r="AC51" i="1"/>
  <c r="AB51" i="1"/>
  <c r="L51" i="1"/>
  <c r="AH50" i="1"/>
  <c r="AG50" i="1"/>
  <c r="AF50" i="1"/>
  <c r="AE50" i="1"/>
  <c r="AD50" i="1"/>
  <c r="AC50" i="1"/>
  <c r="AB50" i="1"/>
  <c r="M51" i="1" s="1"/>
  <c r="AE49" i="1"/>
  <c r="L50" i="1"/>
  <c r="AH49" i="1"/>
  <c r="AF49" i="1"/>
  <c r="AG49" i="1"/>
  <c r="AD49" i="1"/>
  <c r="AC49" i="1"/>
  <c r="AB49" i="1"/>
  <c r="M50" i="1" s="1"/>
  <c r="H130" i="4"/>
  <c r="G130" i="4"/>
  <c r="F130" i="4"/>
  <c r="E130" i="4"/>
  <c r="D130" i="4"/>
  <c r="C130" i="4"/>
  <c r="B130" i="4"/>
  <c r="C127" i="4"/>
  <c r="C128" i="4" s="1"/>
  <c r="C129" i="4" s="1"/>
  <c r="D127" i="4"/>
  <c r="D128" i="4" s="1"/>
  <c r="D129" i="4" s="1"/>
  <c r="E127" i="4"/>
  <c r="E128" i="4" s="1"/>
  <c r="E129" i="4" s="1"/>
  <c r="F127" i="4"/>
  <c r="F128" i="4" s="1"/>
  <c r="F129" i="4" s="1"/>
  <c r="G127" i="4"/>
  <c r="G128" i="4" s="1"/>
  <c r="G129" i="4" s="1"/>
  <c r="H127" i="4"/>
  <c r="H128" i="4" s="1"/>
  <c r="H129" i="4" s="1"/>
  <c r="B127" i="4"/>
  <c r="B128" i="4" s="1"/>
  <c r="B129" i="4" s="1"/>
  <c r="L49" i="1"/>
  <c r="AH48" i="1"/>
  <c r="AG48" i="1"/>
  <c r="AF48" i="1"/>
  <c r="AE48" i="1"/>
  <c r="AD48" i="1"/>
  <c r="AC48" i="1"/>
  <c r="AB48" i="1"/>
  <c r="M49" i="1" s="1"/>
  <c r="AI52" i="1" l="1"/>
  <c r="AK51" i="1"/>
  <c r="AN49" i="1"/>
  <c r="AK49" i="1"/>
  <c r="AN51" i="1"/>
  <c r="AN54" i="1"/>
  <c r="AL52" i="1"/>
  <c r="AM52" i="1"/>
  <c r="AJ52" i="1"/>
  <c r="AI50" i="1"/>
  <c r="AI51" i="1"/>
  <c r="M52" i="1"/>
  <c r="AJ53" i="1"/>
  <c r="AK50" i="1"/>
  <c r="AL54" i="1"/>
  <c r="AI49" i="1"/>
  <c r="AM49" i="1"/>
  <c r="AJ51" i="1"/>
  <c r="AM50" i="1"/>
  <c r="AL51" i="1"/>
  <c r="AK52" i="1"/>
  <c r="AJ50" i="1"/>
  <c r="AM51" i="1"/>
  <c r="AN52" i="1"/>
  <c r="AI54" i="1"/>
  <c r="M55" i="1"/>
  <c r="AI53" i="1"/>
  <c r="AM54" i="1"/>
  <c r="AK54" i="1"/>
  <c r="AM53" i="1"/>
  <c r="AK53" i="1"/>
  <c r="AN50" i="1"/>
  <c r="AL50" i="1"/>
  <c r="AL49" i="1"/>
  <c r="AJ49" i="1"/>
  <c r="AI48" i="1"/>
  <c r="L48" i="1"/>
  <c r="AH47" i="1"/>
  <c r="AG47" i="1"/>
  <c r="AF47" i="1"/>
  <c r="AE47" i="1"/>
  <c r="AD47" i="1"/>
  <c r="AC47" i="1"/>
  <c r="AB47" i="1"/>
  <c r="AI47" i="1" s="1"/>
  <c r="L47" i="1"/>
  <c r="AH46" i="1"/>
  <c r="AG46" i="1"/>
  <c r="AM46" i="1" s="1"/>
  <c r="AF46" i="1"/>
  <c r="AE46" i="1"/>
  <c r="AD46" i="1"/>
  <c r="AC46" i="1"/>
  <c r="AB46" i="1"/>
  <c r="M47" i="1" s="1"/>
  <c r="H121" i="4"/>
  <c r="H133" i="4" s="1"/>
  <c r="G121" i="4"/>
  <c r="G133" i="4" s="1"/>
  <c r="F121" i="4"/>
  <c r="F133" i="4" s="1"/>
  <c r="E121" i="4"/>
  <c r="E133" i="4" s="1"/>
  <c r="D121" i="4"/>
  <c r="D133" i="4" s="1"/>
  <c r="C121" i="4"/>
  <c r="C133" i="4" s="1"/>
  <c r="B121" i="4"/>
  <c r="B133" i="4" s="1"/>
  <c r="AH45" i="1"/>
  <c r="AG45" i="1"/>
  <c r="AF45" i="1"/>
  <c r="AE45" i="1"/>
  <c r="AD45" i="1"/>
  <c r="AC45" i="1"/>
  <c r="AB45" i="1"/>
  <c r="M46" i="1" s="1"/>
  <c r="L46" i="1"/>
  <c r="AK46" i="1" l="1"/>
  <c r="AL47" i="1"/>
  <c r="AN47" i="1"/>
  <c r="M48" i="1"/>
  <c r="AI46" i="1"/>
  <c r="AJ46" i="1"/>
  <c r="B122" i="4"/>
  <c r="B123" i="4" s="1"/>
  <c r="C135" i="4"/>
  <c r="C134" i="4"/>
  <c r="E135" i="4"/>
  <c r="E134" i="4"/>
  <c r="G135" i="4"/>
  <c r="G134" i="4"/>
  <c r="G122" i="4"/>
  <c r="G123" i="4" s="1"/>
  <c r="E122" i="4"/>
  <c r="E123" i="4" s="1"/>
  <c r="C122" i="4"/>
  <c r="C123" i="4" s="1"/>
  <c r="B135" i="4"/>
  <c r="B134" i="4"/>
  <c r="D135" i="4"/>
  <c r="D134" i="4"/>
  <c r="F135" i="4"/>
  <c r="F134" i="4"/>
  <c r="H135" i="4"/>
  <c r="H134" i="4"/>
  <c r="H122" i="4"/>
  <c r="H123" i="4" s="1"/>
  <c r="F122" i="4"/>
  <c r="F123" i="4" s="1"/>
  <c r="D122" i="4"/>
  <c r="D123" i="4" s="1"/>
  <c r="AN48" i="1"/>
  <c r="AL48" i="1"/>
  <c r="AJ48" i="1"/>
  <c r="AM48" i="1"/>
  <c r="AK48" i="1"/>
  <c r="AJ47" i="1"/>
  <c r="AM47" i="1"/>
  <c r="AK47" i="1"/>
  <c r="AN46" i="1"/>
  <c r="AL46" i="1"/>
  <c r="AI45" i="1"/>
  <c r="AJ45" i="1"/>
  <c r="AN45" i="1"/>
  <c r="L45" i="1"/>
  <c r="AH44" i="1"/>
  <c r="AG44" i="1"/>
  <c r="AF44" i="1"/>
  <c r="AE44" i="1"/>
  <c r="AD44" i="1"/>
  <c r="AC44" i="1"/>
  <c r="AB44" i="1"/>
  <c r="AI44" i="1" s="1"/>
  <c r="L44" i="1"/>
  <c r="AH43" i="1"/>
  <c r="AG43" i="1"/>
  <c r="AF43" i="1"/>
  <c r="AE43" i="1"/>
  <c r="AD43" i="1"/>
  <c r="AC43" i="1"/>
  <c r="AB43" i="1"/>
  <c r="M44" i="1" s="1"/>
  <c r="L43" i="1"/>
  <c r="M43" i="1"/>
  <c r="AH42" i="1"/>
  <c r="AG42" i="1"/>
  <c r="AF42" i="1"/>
  <c r="AL42" i="1" s="1"/>
  <c r="AE42" i="1"/>
  <c r="AD42" i="1"/>
  <c r="AC42" i="1"/>
  <c r="AB42" i="1"/>
  <c r="C116" i="4"/>
  <c r="C118" i="4" s="1"/>
  <c r="D116" i="4"/>
  <c r="D118" i="4" s="1"/>
  <c r="E116" i="4"/>
  <c r="E118" i="4" s="1"/>
  <c r="F116" i="4"/>
  <c r="F118" i="4" s="1"/>
  <c r="G116" i="4"/>
  <c r="G118" i="4" s="1"/>
  <c r="H116" i="4"/>
  <c r="H118" i="4" s="1"/>
  <c r="B116" i="4"/>
  <c r="B118" i="4" s="1"/>
  <c r="L42" i="1"/>
  <c r="M42" i="1"/>
  <c r="AH41" i="1"/>
  <c r="AG41" i="1"/>
  <c r="AF41" i="1"/>
  <c r="AE41" i="1"/>
  <c r="AD41" i="1"/>
  <c r="AC41" i="1"/>
  <c r="AB41" i="1"/>
  <c r="AI42" i="1" l="1"/>
  <c r="AN43" i="1"/>
  <c r="AJ43" i="1"/>
  <c r="AI43" i="1"/>
  <c r="AN44" i="1"/>
  <c r="AJ42" i="1"/>
  <c r="AJ44" i="1"/>
  <c r="M45" i="1"/>
  <c r="AN42" i="1"/>
  <c r="AL43" i="1"/>
  <c r="AL45" i="1"/>
  <c r="AM45" i="1"/>
  <c r="AK45" i="1"/>
  <c r="AL44" i="1"/>
  <c r="AM44" i="1"/>
  <c r="AK44" i="1"/>
  <c r="AM43" i="1"/>
  <c r="AK43" i="1"/>
  <c r="AM42" i="1"/>
  <c r="AK42" i="1"/>
  <c r="AI41" i="1"/>
  <c r="AJ41" i="1"/>
  <c r="AK41" i="1"/>
  <c r="AL41" i="1"/>
  <c r="AM41" i="1"/>
  <c r="AN41" i="1"/>
  <c r="L41" i="1"/>
  <c r="AH40" i="1"/>
  <c r="AG40" i="1"/>
  <c r="AF40" i="1"/>
  <c r="AE40" i="1"/>
  <c r="AD40" i="1"/>
  <c r="AC40" i="1"/>
  <c r="AB40" i="1"/>
  <c r="C113" i="4"/>
  <c r="C114" i="4" s="1"/>
  <c r="D113" i="4"/>
  <c r="D114" i="4" s="1"/>
  <c r="E113" i="4"/>
  <c r="E114" i="4" s="1"/>
  <c r="F113" i="4"/>
  <c r="F114" i="4" s="1"/>
  <c r="G113" i="4"/>
  <c r="G114" i="4" s="1"/>
  <c r="H113" i="4"/>
  <c r="H114" i="4" s="1"/>
  <c r="B113" i="4"/>
  <c r="B114" i="4" s="1"/>
  <c r="L40" i="1"/>
  <c r="AH39" i="1"/>
  <c r="AG39" i="1"/>
  <c r="AF39" i="1"/>
  <c r="AE39" i="1"/>
  <c r="AD39" i="1"/>
  <c r="AC39" i="1"/>
  <c r="AB39" i="1"/>
  <c r="M40" i="1" s="1"/>
  <c r="AH38" i="1"/>
  <c r="AG38" i="1"/>
  <c r="AF38" i="1"/>
  <c r="AE38" i="1"/>
  <c r="AD38" i="1"/>
  <c r="AC38" i="1"/>
  <c r="AB38" i="1"/>
  <c r="L39" i="1"/>
  <c r="C109" i="4"/>
  <c r="C110" i="4" s="1"/>
  <c r="D109" i="4"/>
  <c r="D110" i="4" s="1"/>
  <c r="E109" i="4"/>
  <c r="E110" i="4" s="1"/>
  <c r="F109" i="4"/>
  <c r="F110" i="4" s="1"/>
  <c r="G109" i="4"/>
  <c r="G110" i="4" s="1"/>
  <c r="H109" i="4"/>
  <c r="H110" i="4" s="1"/>
  <c r="B109" i="4"/>
  <c r="B110" i="4" s="1"/>
  <c r="L38" i="1"/>
  <c r="AH37" i="1"/>
  <c r="AG37" i="1"/>
  <c r="AF37" i="1"/>
  <c r="AE37" i="1"/>
  <c r="AD37" i="1"/>
  <c r="AC37" i="1"/>
  <c r="AB37" i="1"/>
  <c r="M38" i="1" s="1"/>
  <c r="AH36" i="1"/>
  <c r="AG36" i="1"/>
  <c r="AF36" i="1"/>
  <c r="AE36" i="1"/>
  <c r="AD36" i="1"/>
  <c r="AC36" i="1"/>
  <c r="AB36" i="1"/>
  <c r="M37" i="1" s="1"/>
  <c r="L36" i="1"/>
  <c r="L37" i="1"/>
  <c r="AH35" i="1"/>
  <c r="AG35" i="1"/>
  <c r="AF35" i="1"/>
  <c r="AE35" i="1"/>
  <c r="AD35" i="1"/>
  <c r="AC35" i="1"/>
  <c r="AB35" i="1"/>
  <c r="H105" i="4"/>
  <c r="G105" i="4"/>
  <c r="F105" i="4"/>
  <c r="E105" i="4"/>
  <c r="D105" i="4"/>
  <c r="C105" i="4"/>
  <c r="B105" i="4"/>
  <c r="H106" i="4"/>
  <c r="G106" i="4"/>
  <c r="F106" i="4"/>
  <c r="E106" i="4"/>
  <c r="D106" i="4"/>
  <c r="C106" i="4"/>
  <c r="B106" i="4"/>
  <c r="L35" i="1"/>
  <c r="AH34" i="1"/>
  <c r="AG34" i="1"/>
  <c r="AF34" i="1"/>
  <c r="AE34" i="1"/>
  <c r="AD34" i="1"/>
  <c r="AC34" i="1"/>
  <c r="AB34" i="1"/>
  <c r="H104" i="4"/>
  <c r="G104" i="4"/>
  <c r="F104" i="4"/>
  <c r="E104" i="4"/>
  <c r="C104" i="4"/>
  <c r="B104" i="4"/>
  <c r="F102" i="4"/>
  <c r="B102" i="4"/>
  <c r="F101" i="4"/>
  <c r="F272" i="4" s="1"/>
  <c r="F273" i="4" s="1"/>
  <c r="B101" i="4"/>
  <c r="B272" i="4" s="1"/>
  <c r="B273" i="4" s="1"/>
  <c r="AH33" i="1"/>
  <c r="AG33" i="1"/>
  <c r="AF33" i="1"/>
  <c r="AE33" i="1"/>
  <c r="AD33" i="1"/>
  <c r="AC33" i="1"/>
  <c r="AB33" i="1"/>
  <c r="M34" i="1" s="1"/>
  <c r="L34" i="1"/>
  <c r="C100" i="4"/>
  <c r="D100" i="4"/>
  <c r="E100" i="4"/>
  <c r="F100" i="4"/>
  <c r="G100" i="4"/>
  <c r="H100" i="4"/>
  <c r="B100" i="4"/>
  <c r="AI37" i="1" l="1"/>
  <c r="AJ39" i="1"/>
  <c r="AK35" i="1"/>
  <c r="AK39" i="1"/>
  <c r="AL37" i="1"/>
  <c r="AL39" i="1"/>
  <c r="AM37" i="1"/>
  <c r="AM39" i="1"/>
  <c r="AN39" i="1"/>
  <c r="AI34" i="1"/>
  <c r="AJ35" i="1"/>
  <c r="AK38" i="1"/>
  <c r="AK36" i="1"/>
  <c r="AM36" i="1"/>
  <c r="AJ38" i="1"/>
  <c r="AI40" i="1"/>
  <c r="AM35" i="1"/>
  <c r="AL40" i="1"/>
  <c r="AJ34" i="1"/>
  <c r="AI38" i="1"/>
  <c r="AI39" i="1"/>
  <c r="AI35" i="1"/>
  <c r="AI36" i="1"/>
  <c r="AJ37" i="1"/>
  <c r="AL38" i="1"/>
  <c r="AN34" i="1"/>
  <c r="AK37" i="1"/>
  <c r="AM38" i="1"/>
  <c r="M36" i="1"/>
  <c r="M39" i="1"/>
  <c r="AN40" i="1"/>
  <c r="AJ40" i="1"/>
  <c r="AN38" i="1"/>
  <c r="M35" i="1"/>
  <c r="AN37" i="1"/>
  <c r="M41" i="1"/>
  <c r="B107" i="4"/>
  <c r="D107" i="4"/>
  <c r="F107" i="4"/>
  <c r="H107" i="4"/>
  <c r="C107" i="4"/>
  <c r="E107" i="4"/>
  <c r="G107" i="4"/>
  <c r="AM40" i="1"/>
  <c r="AK40" i="1"/>
  <c r="AN36" i="1"/>
  <c r="AL36" i="1"/>
  <c r="AJ36" i="1"/>
  <c r="AN35" i="1"/>
  <c r="AL35" i="1"/>
  <c r="AL34" i="1"/>
  <c r="AM34" i="1"/>
  <c r="AK34" i="1"/>
  <c r="AI33" i="1"/>
  <c r="AJ33" i="1"/>
  <c r="AK33" i="1"/>
  <c r="AL33" i="1"/>
  <c r="AM33" i="1"/>
  <c r="AN33" i="1"/>
  <c r="AH32" i="1"/>
  <c r="AG32" i="1"/>
  <c r="AF32" i="1"/>
  <c r="AE32" i="1"/>
  <c r="AD32" i="1"/>
  <c r="AC32" i="1"/>
  <c r="AB32" i="1"/>
  <c r="L33" i="1"/>
  <c r="AI32" i="1" l="1"/>
  <c r="AJ32" i="1"/>
  <c r="AM32" i="1"/>
  <c r="M33" i="1"/>
  <c r="AN32" i="1"/>
  <c r="AK32" i="1"/>
  <c r="AL32" i="1"/>
  <c r="L32" i="1"/>
  <c r="AH31" i="1"/>
  <c r="AG31" i="1"/>
  <c r="AF31" i="1"/>
  <c r="AE31" i="1"/>
  <c r="AD31" i="1"/>
  <c r="AC31" i="1"/>
  <c r="AB31" i="1"/>
  <c r="M32" i="1" s="1"/>
  <c r="AN31" i="1" l="1"/>
  <c r="AM31" i="1"/>
  <c r="AJ31" i="1"/>
  <c r="AK31" i="1"/>
  <c r="AL31" i="1"/>
  <c r="AI31" i="1"/>
  <c r="L31" i="1"/>
  <c r="AH30" i="1"/>
  <c r="AG30" i="1"/>
  <c r="AM30" i="1" s="1"/>
  <c r="AF30" i="1"/>
  <c r="AE30" i="1"/>
  <c r="AD30" i="1"/>
  <c r="AC30" i="1"/>
  <c r="AB30" i="1"/>
  <c r="M31" i="1" s="1"/>
  <c r="AH29" i="1"/>
  <c r="AH28" i="1"/>
  <c r="AH27" i="1"/>
  <c r="AB29" i="1"/>
  <c r="AB28" i="1"/>
  <c r="M29" i="1" s="1"/>
  <c r="AB27" i="1"/>
  <c r="C90" i="4"/>
  <c r="D90" i="4"/>
  <c r="E90" i="4"/>
  <c r="F90" i="4"/>
  <c r="G90" i="4"/>
  <c r="H90" i="4"/>
  <c r="B90" i="4"/>
  <c r="L30" i="1"/>
  <c r="M30" i="1"/>
  <c r="L29" i="1"/>
  <c r="AG29" i="1"/>
  <c r="AF29" i="1"/>
  <c r="AE29" i="1"/>
  <c r="AD29" i="1"/>
  <c r="AJ29" i="1" s="1"/>
  <c r="AC29" i="1"/>
  <c r="AG28" i="1"/>
  <c r="AF28" i="1"/>
  <c r="AE28" i="1"/>
  <c r="AK28" i="1" s="1"/>
  <c r="AD28" i="1"/>
  <c r="AJ28" i="1" s="1"/>
  <c r="AC28" i="1"/>
  <c r="AG27" i="1"/>
  <c r="AF27" i="1"/>
  <c r="AE27" i="1"/>
  <c r="AD27" i="1"/>
  <c r="AC27" i="1"/>
  <c r="AU29" i="1"/>
  <c r="AU28" i="1"/>
  <c r="AU27" i="1"/>
  <c r="L28" i="1"/>
  <c r="L27" i="1"/>
  <c r="AH26" i="1"/>
  <c r="AG26" i="1"/>
  <c r="AF26" i="1"/>
  <c r="AE26" i="1"/>
  <c r="AD26" i="1"/>
  <c r="AC26" i="1"/>
  <c r="AB26" i="1"/>
  <c r="M27" i="1" s="1"/>
  <c r="L26" i="1"/>
  <c r="AH25" i="1"/>
  <c r="AG25" i="1"/>
  <c r="AF25" i="1"/>
  <c r="AE25" i="1"/>
  <c r="AD25" i="1"/>
  <c r="AC25" i="1"/>
  <c r="AB25" i="1"/>
  <c r="L25" i="1"/>
  <c r="AH24" i="1"/>
  <c r="AG24" i="1"/>
  <c r="AF24" i="1"/>
  <c r="AE24" i="1"/>
  <c r="AD24" i="1"/>
  <c r="AC24" i="1"/>
  <c r="AH23" i="1"/>
  <c r="AG23" i="1"/>
  <c r="AF23" i="1"/>
  <c r="AE23" i="1"/>
  <c r="AD23" i="1"/>
  <c r="AC23" i="1"/>
  <c r="AB24" i="1"/>
  <c r="M25" i="1" s="1"/>
  <c r="AB23" i="1"/>
  <c r="M24" i="1" s="1"/>
  <c r="L24" i="1"/>
  <c r="L23" i="1"/>
  <c r="AH22" i="1"/>
  <c r="AG22" i="1"/>
  <c r="AF22" i="1"/>
  <c r="AE22" i="1"/>
  <c r="AD22" i="1"/>
  <c r="AC22" i="1"/>
  <c r="AB22" i="1"/>
  <c r="AC21" i="1"/>
  <c r="AD21" i="1"/>
  <c r="AE21" i="1"/>
  <c r="AF21" i="1"/>
  <c r="AH21" i="1"/>
  <c r="AG21" i="1"/>
  <c r="AB21" i="1"/>
  <c r="M22" i="1" s="1"/>
  <c r="L22" i="1"/>
  <c r="C82" i="4"/>
  <c r="D82" i="4"/>
  <c r="E82" i="4"/>
  <c r="F82" i="4"/>
  <c r="G82" i="4"/>
  <c r="H82" i="4"/>
  <c r="B82" i="4"/>
  <c r="C81" i="4"/>
  <c r="D81" i="4"/>
  <c r="E81" i="4"/>
  <c r="F81" i="4"/>
  <c r="G81" i="4"/>
  <c r="H81" i="4"/>
  <c r="B81" i="4"/>
  <c r="AL24" i="1" l="1"/>
  <c r="AL28" i="1"/>
  <c r="AM28" i="1"/>
  <c r="AN30" i="1"/>
  <c r="AI25" i="1"/>
  <c r="AI27" i="1"/>
  <c r="AI30" i="1"/>
  <c r="AI29" i="1"/>
  <c r="AN24" i="1"/>
  <c r="AK29" i="1"/>
  <c r="AN27" i="1"/>
  <c r="AJ30" i="1"/>
  <c r="AJ24" i="1"/>
  <c r="AM23" i="1"/>
  <c r="AN28" i="1"/>
  <c r="AI28" i="1"/>
  <c r="AL29" i="1"/>
  <c r="AK30" i="1"/>
  <c r="AK22" i="1"/>
  <c r="AM29" i="1"/>
  <c r="AN29" i="1"/>
  <c r="AL30" i="1"/>
  <c r="AI24" i="1"/>
  <c r="AN21" i="1"/>
  <c r="M26" i="1"/>
  <c r="AM27" i="1"/>
  <c r="AK27" i="1"/>
  <c r="AJ25" i="1"/>
  <c r="AJ26" i="1"/>
  <c r="M28" i="1"/>
  <c r="AL21" i="1"/>
  <c r="AI23" i="1"/>
  <c r="AK24" i="1"/>
  <c r="AK26" i="1"/>
  <c r="AJ27" i="1"/>
  <c r="AM22" i="1"/>
  <c r="AN25" i="1"/>
  <c r="AL26" i="1"/>
  <c r="AL27" i="1"/>
  <c r="AM21" i="1"/>
  <c r="AI26" i="1"/>
  <c r="AJ21" i="1"/>
  <c r="AN22" i="1"/>
  <c r="AK23" i="1"/>
  <c r="AM24" i="1"/>
  <c r="AL25" i="1"/>
  <c r="AM26" i="1"/>
  <c r="AN26" i="1"/>
  <c r="AM25" i="1"/>
  <c r="AK25" i="1"/>
  <c r="AI22" i="1"/>
  <c r="M23" i="1"/>
  <c r="AN23" i="1"/>
  <c r="AL23" i="1"/>
  <c r="AJ23" i="1"/>
  <c r="AK21" i="1"/>
  <c r="AI21" i="1"/>
  <c r="AJ22" i="1"/>
  <c r="AL22" i="1"/>
  <c r="L13" i="1"/>
  <c r="L14" i="1"/>
  <c r="L15" i="1"/>
  <c r="L16" i="1"/>
  <c r="L17" i="1"/>
  <c r="L18" i="1"/>
  <c r="L19" i="1"/>
  <c r="L20" i="1"/>
  <c r="L21" i="1"/>
  <c r="L9" i="1"/>
  <c r="L10" i="1"/>
  <c r="L11" i="1"/>
  <c r="L12" i="1"/>
  <c r="AH20" i="1"/>
  <c r="AG20" i="1"/>
  <c r="AF20" i="1"/>
  <c r="AE20" i="1"/>
  <c r="AD20" i="1"/>
  <c r="AC20" i="1"/>
  <c r="AB20" i="1"/>
  <c r="M21" i="1" s="1"/>
  <c r="AH19" i="1"/>
  <c r="AG19" i="1"/>
  <c r="AF19" i="1"/>
  <c r="AE19" i="1"/>
  <c r="AD19" i="1"/>
  <c r="AC19" i="1"/>
  <c r="AB19" i="1"/>
  <c r="M20" i="1" s="1"/>
  <c r="AH18" i="1"/>
  <c r="AG18" i="1"/>
  <c r="AF18" i="1"/>
  <c r="AE18" i="1"/>
  <c r="AD18" i="1"/>
  <c r="AC18" i="1"/>
  <c r="AB18" i="1"/>
  <c r="M19" i="1" s="1"/>
  <c r="H15" i="4"/>
  <c r="G15" i="4"/>
  <c r="F15" i="4"/>
  <c r="E15" i="4"/>
  <c r="D15" i="4"/>
  <c r="C15" i="4"/>
  <c r="B15" i="4"/>
  <c r="AN19" i="1" l="1"/>
  <c r="AN18" i="1"/>
  <c r="AI19" i="1"/>
  <c r="AK19" i="1"/>
  <c r="AM19" i="1"/>
  <c r="AN20" i="1"/>
  <c r="AJ18" i="1"/>
  <c r="AL18" i="1"/>
  <c r="AJ20" i="1"/>
  <c r="AL20" i="1"/>
  <c r="AI18" i="1"/>
  <c r="AK18" i="1"/>
  <c r="AM18" i="1"/>
  <c r="AJ19" i="1"/>
  <c r="AL19" i="1"/>
  <c r="AI20" i="1"/>
  <c r="AK20" i="1"/>
  <c r="AM20" i="1"/>
  <c r="AH17" i="1"/>
  <c r="AG17" i="1"/>
  <c r="AF17" i="1"/>
  <c r="AE17" i="1"/>
  <c r="AD17" i="1"/>
  <c r="AC17" i="1"/>
  <c r="AB17" i="1"/>
  <c r="M18" i="1" s="1"/>
  <c r="AH16" i="1"/>
  <c r="AG16" i="1"/>
  <c r="AF16" i="1"/>
  <c r="AE16" i="1"/>
  <c r="AD16" i="1"/>
  <c r="AC16" i="1"/>
  <c r="AB16" i="1"/>
  <c r="M17" i="1" s="1"/>
  <c r="AH15" i="1"/>
  <c r="AG15" i="1"/>
  <c r="AF15" i="1"/>
  <c r="AE15" i="1"/>
  <c r="AD6" i="1"/>
  <c r="AD15" i="1"/>
  <c r="AC15" i="1"/>
  <c r="AB15" i="1"/>
  <c r="M16" i="1" s="1"/>
  <c r="AU16" i="1"/>
  <c r="AU15" i="1"/>
  <c r="AH14" i="1"/>
  <c r="AG14" i="1"/>
  <c r="AF14" i="1"/>
  <c r="AE14" i="1"/>
  <c r="AD14" i="1"/>
  <c r="AC14" i="1"/>
  <c r="AB14" i="1"/>
  <c r="M15" i="1" s="1"/>
  <c r="AH13" i="1"/>
  <c r="AG13" i="1"/>
  <c r="AF13" i="1"/>
  <c r="AE13" i="1"/>
  <c r="AD13" i="1"/>
  <c r="AC13" i="1"/>
  <c r="AB13" i="1"/>
  <c r="M14" i="1" s="1"/>
  <c r="AH12" i="1"/>
  <c r="AG12" i="1"/>
  <c r="AF12" i="1"/>
  <c r="AE12" i="1"/>
  <c r="AD12" i="1"/>
  <c r="AC12" i="1"/>
  <c r="AB12" i="1"/>
  <c r="M13" i="1" s="1"/>
  <c r="H74" i="4"/>
  <c r="F74" i="4"/>
  <c r="B74" i="4"/>
  <c r="AH11" i="1"/>
  <c r="AG11" i="1"/>
  <c r="AF11" i="1"/>
  <c r="AE11" i="1"/>
  <c r="AD11" i="1"/>
  <c r="AC11" i="1"/>
  <c r="AB11" i="1"/>
  <c r="M12" i="1" s="1"/>
  <c r="AH10" i="1"/>
  <c r="AG10" i="1"/>
  <c r="AF10" i="1"/>
  <c r="AE10" i="1"/>
  <c r="AD10" i="1"/>
  <c r="AC10" i="1"/>
  <c r="AB10" i="1"/>
  <c r="M11" i="1" s="1"/>
  <c r="AH9" i="1"/>
  <c r="AG9" i="1"/>
  <c r="AF9" i="1"/>
  <c r="AE9" i="1"/>
  <c r="AD9" i="1"/>
  <c r="AC9" i="1"/>
  <c r="AB9" i="1"/>
  <c r="M10" i="1" s="1"/>
  <c r="AH8" i="1"/>
  <c r="AG8" i="1"/>
  <c r="AF8" i="1"/>
  <c r="AE8" i="1"/>
  <c r="AD8" i="1"/>
  <c r="AC8" i="1"/>
  <c r="AB8" i="1"/>
  <c r="M9" i="1" s="1"/>
  <c r="AI11" i="1" l="1"/>
  <c r="AI14" i="1"/>
  <c r="AI17" i="1"/>
  <c r="AK11" i="1"/>
  <c r="AK14" i="1"/>
  <c r="AK17" i="1"/>
  <c r="AM11" i="1"/>
  <c r="AM14" i="1"/>
  <c r="AM17" i="1"/>
  <c r="AI12" i="1"/>
  <c r="AK12" i="1"/>
  <c r="AI9" i="1"/>
  <c r="AK9" i="1"/>
  <c r="AM9" i="1"/>
  <c r="AM12" i="1"/>
  <c r="AN8" i="1"/>
  <c r="AN10" i="1"/>
  <c r="AN13" i="1"/>
  <c r="AN16" i="1"/>
  <c r="AN9" i="1"/>
  <c r="AN11" i="1"/>
  <c r="AN12" i="1"/>
  <c r="AN14" i="1"/>
  <c r="AN15" i="1"/>
  <c r="AN17" i="1"/>
  <c r="AJ8" i="1"/>
  <c r="AL8" i="1"/>
  <c r="AJ10" i="1"/>
  <c r="AL10" i="1"/>
  <c r="AJ13" i="1"/>
  <c r="AL13" i="1"/>
  <c r="AJ15" i="1"/>
  <c r="AK15" i="1"/>
  <c r="AM15" i="1"/>
  <c r="AJ16" i="1"/>
  <c r="AL16" i="1"/>
  <c r="AI8" i="1"/>
  <c r="AK8" i="1"/>
  <c r="AM8" i="1"/>
  <c r="AJ9" i="1"/>
  <c r="AL9" i="1"/>
  <c r="AI10" i="1"/>
  <c r="AK10" i="1"/>
  <c r="AM10" i="1"/>
  <c r="AJ11" i="1"/>
  <c r="AL11" i="1"/>
  <c r="AJ12" i="1"/>
  <c r="AL12" i="1"/>
  <c r="AI13" i="1"/>
  <c r="AK13" i="1"/>
  <c r="AM13" i="1"/>
  <c r="AJ14" i="1"/>
  <c r="AL14" i="1"/>
  <c r="AI15" i="1"/>
  <c r="AL15" i="1"/>
  <c r="AI16" i="1"/>
  <c r="AK16" i="1"/>
  <c r="AM16" i="1"/>
  <c r="AJ17" i="1"/>
  <c r="AL17" i="1"/>
  <c r="AH7" i="1"/>
  <c r="AG7" i="1"/>
  <c r="AF7" i="1"/>
  <c r="AE7" i="1"/>
  <c r="AD7" i="1"/>
  <c r="AC7" i="1"/>
  <c r="L8" i="1"/>
  <c r="AB7" i="1"/>
  <c r="M8" i="1" s="1"/>
  <c r="AU7" i="1"/>
  <c r="AH6" i="1"/>
  <c r="AG6" i="1"/>
  <c r="AF6" i="1"/>
  <c r="AL6" i="1" s="1"/>
  <c r="AE6" i="1"/>
  <c r="AC6" i="1"/>
  <c r="AB6" i="1"/>
  <c r="M7" i="1" s="1"/>
  <c r="L7" i="1"/>
  <c r="H64" i="4"/>
  <c r="F64" i="4"/>
  <c r="B64" i="4"/>
  <c r="AH5" i="1"/>
  <c r="AG5" i="1"/>
  <c r="AF5" i="1"/>
  <c r="AE5" i="1"/>
  <c r="AD5" i="1"/>
  <c r="AC5" i="1"/>
  <c r="AB5" i="1"/>
  <c r="M6" i="1" s="1"/>
  <c r="AH4" i="1"/>
  <c r="AG4" i="1"/>
  <c r="AF4" i="1"/>
  <c r="AB4" i="1"/>
  <c r="M5" i="1" s="1"/>
  <c r="AE4" i="1"/>
  <c r="AD4" i="1"/>
  <c r="AJ4" i="1" s="1"/>
  <c r="AC4" i="1"/>
  <c r="G60" i="4"/>
  <c r="F60" i="4"/>
  <c r="E60" i="4"/>
  <c r="D60" i="4"/>
  <c r="C60" i="4"/>
  <c r="B60" i="4"/>
  <c r="L4" i="1"/>
  <c r="AV2" i="1"/>
  <c r="L3" i="1"/>
  <c r="M2" i="1"/>
  <c r="F43" i="4"/>
  <c r="E43" i="4"/>
  <c r="F35" i="4"/>
  <c r="AF3" i="1"/>
  <c r="AF2" i="1"/>
  <c r="AH3" i="1"/>
  <c r="AG3" i="1"/>
  <c r="AE3" i="1"/>
  <c r="AD3" i="1"/>
  <c r="AC3" i="1"/>
  <c r="AB3" i="1"/>
  <c r="M4" i="1" s="1"/>
  <c r="AH2" i="1"/>
  <c r="AG2" i="1"/>
  <c r="AE2" i="1"/>
  <c r="AD2" i="1"/>
  <c r="AC2" i="1"/>
  <c r="AB2" i="1"/>
  <c r="M3" i="1" s="1"/>
  <c r="C43" i="4"/>
  <c r="D43" i="4"/>
  <c r="G43" i="4"/>
  <c r="H43" i="4"/>
  <c r="B43" i="4"/>
  <c r="H35" i="4"/>
  <c r="D35" i="4"/>
  <c r="E35" i="4"/>
  <c r="G35" i="4"/>
  <c r="C35" i="4"/>
  <c r="B35" i="4"/>
  <c r="AN6" i="1" l="1"/>
  <c r="AJ6" i="1"/>
  <c r="AI6" i="1"/>
  <c r="AN5" i="1"/>
  <c r="AN2" i="1"/>
  <c r="AN3" i="1"/>
  <c r="AN4" i="1"/>
  <c r="AN7" i="1"/>
  <c r="AJ2" i="1"/>
  <c r="AM2" i="1"/>
  <c r="AJ3" i="1"/>
  <c r="AM3" i="1"/>
  <c r="AL2" i="1"/>
  <c r="AM4" i="1"/>
  <c r="AJ5" i="1"/>
  <c r="AL5" i="1"/>
  <c r="AI7" i="1"/>
  <c r="AK7" i="1"/>
  <c r="AM7" i="1"/>
  <c r="AI2" i="1"/>
  <c r="AK2" i="1"/>
  <c r="AI3" i="1"/>
  <c r="AK3" i="1"/>
  <c r="AL3" i="1"/>
  <c r="AI4" i="1"/>
  <c r="AK4" i="1"/>
  <c r="AL4" i="1"/>
  <c r="AI5" i="1"/>
  <c r="AK5" i="1"/>
  <c r="AM5" i="1"/>
  <c r="AK6" i="1"/>
  <c r="AM6" i="1"/>
  <c r="AJ7" i="1"/>
  <c r="AL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E1" authorId="0" shapeId="0" xr:uid="{42CE3F0B-FAD3-4281-840A-654AC253C622}">
      <text>
        <r>
          <rPr>
            <b/>
            <sz val="9"/>
            <color indexed="81"/>
            <rFont val="Tahoma"/>
            <family val="2"/>
          </rPr>
          <t>Janis Corona:</t>
        </r>
        <r>
          <rPr>
            <sz val="9"/>
            <color indexed="81"/>
            <rFont val="Tahoma"/>
            <family val="2"/>
          </rPr>
          <t xml:space="preserve">
https://www.timeanddate.com/weather/usa/corona/historic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A5" authorId="0" shapeId="0" xr:uid="{78F9C2B7-20C4-4339-BDC1-F431844E816B}">
      <text>
        <r>
          <rPr>
            <b/>
            <sz val="9"/>
            <color indexed="81"/>
            <rFont val="Tahoma"/>
            <family val="2"/>
          </rPr>
          <t>Janis Corona:</t>
        </r>
        <r>
          <rPr>
            <sz val="9"/>
            <color indexed="81"/>
            <rFont val="Tahoma"/>
            <family val="2"/>
          </rPr>
          <t xml:space="preserve">
https://www.timeanddate.com/weather/usa/corona/historic
</t>
        </r>
      </text>
    </comment>
    <comment ref="A16390" authorId="0" shapeId="0" xr:uid="{B596867A-7126-4786-BD63-BB6661D8C430}">
      <text>
        <r>
          <rPr>
            <b/>
            <sz val="9"/>
            <color indexed="81"/>
            <rFont val="Tahoma"/>
            <family val="2"/>
          </rPr>
          <t>Janis Corona:</t>
        </r>
        <r>
          <rPr>
            <sz val="9"/>
            <color indexed="81"/>
            <rFont val="Tahoma"/>
            <family val="2"/>
          </rPr>
          <t xml:space="preserve">
https://www.timeanddate.com/weather/usa/corona/historic
</t>
        </r>
      </text>
    </comment>
    <comment ref="A32774" authorId="0" shapeId="0" xr:uid="{58C2E097-3A86-43E2-AECE-D2C0E15DAE89}">
      <text>
        <r>
          <rPr>
            <b/>
            <sz val="9"/>
            <color indexed="81"/>
            <rFont val="Tahoma"/>
            <family val="2"/>
          </rPr>
          <t>Janis Corona:</t>
        </r>
        <r>
          <rPr>
            <sz val="9"/>
            <color indexed="81"/>
            <rFont val="Tahoma"/>
            <family val="2"/>
          </rPr>
          <t xml:space="preserve">
https://www.timeanddate.com/weather/usa/corona/historic
</t>
        </r>
      </text>
    </comment>
    <comment ref="A49158" authorId="0" shapeId="0" xr:uid="{A577CBE8-4C4B-465D-B6EE-FA54F21E44E2}">
      <text>
        <r>
          <rPr>
            <b/>
            <sz val="9"/>
            <color indexed="81"/>
            <rFont val="Tahoma"/>
            <family val="2"/>
          </rPr>
          <t>Janis Corona:</t>
        </r>
        <r>
          <rPr>
            <sz val="9"/>
            <color indexed="81"/>
            <rFont val="Tahoma"/>
            <family val="2"/>
          </rPr>
          <t xml:space="preserve">
https://www.timeanddate.com/weather/usa/corona/historic
</t>
        </r>
      </text>
    </comment>
    <comment ref="A65542" authorId="0" shapeId="0" xr:uid="{3E54E5C9-51FC-4846-A04A-C082FA973A5D}">
      <text>
        <r>
          <rPr>
            <b/>
            <sz val="9"/>
            <color indexed="81"/>
            <rFont val="Tahoma"/>
            <family val="2"/>
          </rPr>
          <t>Janis Corona:</t>
        </r>
        <r>
          <rPr>
            <sz val="9"/>
            <color indexed="81"/>
            <rFont val="Tahoma"/>
            <family val="2"/>
          </rPr>
          <t xml:space="preserve">
https://www.timeanddate.com/weather/usa/corona/historic
</t>
        </r>
      </text>
    </comment>
    <comment ref="A81926" authorId="0" shapeId="0" xr:uid="{575FEB09-C1F0-4A0E-AB39-353927D9EC14}">
      <text>
        <r>
          <rPr>
            <b/>
            <sz val="9"/>
            <color indexed="81"/>
            <rFont val="Tahoma"/>
            <family val="2"/>
          </rPr>
          <t>Janis Corona:</t>
        </r>
        <r>
          <rPr>
            <sz val="9"/>
            <color indexed="81"/>
            <rFont val="Tahoma"/>
            <family val="2"/>
          </rPr>
          <t xml:space="preserve">
https://www.timeanddate.com/weather/usa/corona/historic
</t>
        </r>
      </text>
    </comment>
    <comment ref="A98310" authorId="0" shapeId="0" xr:uid="{339B8BB0-8805-461F-9D7E-A7BCE0E90819}">
      <text>
        <r>
          <rPr>
            <b/>
            <sz val="9"/>
            <color indexed="81"/>
            <rFont val="Tahoma"/>
            <family val="2"/>
          </rPr>
          <t>Janis Corona:</t>
        </r>
        <r>
          <rPr>
            <sz val="9"/>
            <color indexed="81"/>
            <rFont val="Tahoma"/>
            <family val="2"/>
          </rPr>
          <t xml:space="preserve">
https://www.timeanddate.com/weather/usa/corona/historic
</t>
        </r>
      </text>
    </comment>
    <comment ref="A114694" authorId="0" shapeId="0" xr:uid="{0DEFE4E9-903F-43C9-9234-D72515037C5B}">
      <text>
        <r>
          <rPr>
            <b/>
            <sz val="9"/>
            <color indexed="81"/>
            <rFont val="Tahoma"/>
            <family val="2"/>
          </rPr>
          <t>Janis Corona:</t>
        </r>
        <r>
          <rPr>
            <sz val="9"/>
            <color indexed="81"/>
            <rFont val="Tahoma"/>
            <family val="2"/>
          </rPr>
          <t xml:space="preserve">
https://www.timeanddate.com/weather/usa/corona/historic
</t>
        </r>
      </text>
    </comment>
    <comment ref="A131078" authorId="0" shapeId="0" xr:uid="{F9C7C340-9184-4690-B93E-3283C6322038}">
      <text>
        <r>
          <rPr>
            <b/>
            <sz val="9"/>
            <color indexed="81"/>
            <rFont val="Tahoma"/>
            <family val="2"/>
          </rPr>
          <t>Janis Corona:</t>
        </r>
        <r>
          <rPr>
            <sz val="9"/>
            <color indexed="81"/>
            <rFont val="Tahoma"/>
            <family val="2"/>
          </rPr>
          <t xml:space="preserve">
https://www.timeanddate.com/weather/usa/corona/historic
</t>
        </r>
      </text>
    </comment>
    <comment ref="A147462" authorId="0" shapeId="0" xr:uid="{D163125A-8015-4DE6-AC3C-9A73CD966ED6}">
      <text>
        <r>
          <rPr>
            <b/>
            <sz val="9"/>
            <color indexed="81"/>
            <rFont val="Tahoma"/>
            <family val="2"/>
          </rPr>
          <t>Janis Corona:</t>
        </r>
        <r>
          <rPr>
            <sz val="9"/>
            <color indexed="81"/>
            <rFont val="Tahoma"/>
            <family val="2"/>
          </rPr>
          <t xml:space="preserve">
https://www.timeanddate.com/weather/usa/corona/historic
</t>
        </r>
      </text>
    </comment>
    <comment ref="A163846" authorId="0" shapeId="0" xr:uid="{97E8A5E3-C0BD-4621-8494-4D1CE215E4DD}">
      <text>
        <r>
          <rPr>
            <b/>
            <sz val="9"/>
            <color indexed="81"/>
            <rFont val="Tahoma"/>
            <family val="2"/>
          </rPr>
          <t>Janis Corona:</t>
        </r>
        <r>
          <rPr>
            <sz val="9"/>
            <color indexed="81"/>
            <rFont val="Tahoma"/>
            <family val="2"/>
          </rPr>
          <t xml:space="preserve">
https://www.timeanddate.com/weather/usa/corona/historic
</t>
        </r>
      </text>
    </comment>
    <comment ref="A180230" authorId="0" shapeId="0" xr:uid="{4EF5F4B0-3DF2-4154-8C2F-0101D63D4F9A}">
      <text>
        <r>
          <rPr>
            <b/>
            <sz val="9"/>
            <color indexed="81"/>
            <rFont val="Tahoma"/>
            <family val="2"/>
          </rPr>
          <t>Janis Corona:</t>
        </r>
        <r>
          <rPr>
            <sz val="9"/>
            <color indexed="81"/>
            <rFont val="Tahoma"/>
            <family val="2"/>
          </rPr>
          <t xml:space="preserve">
https://www.timeanddate.com/weather/usa/corona/historic
</t>
        </r>
      </text>
    </comment>
    <comment ref="A196614" authorId="0" shapeId="0" xr:uid="{492A93F4-0181-417A-A3C7-E56DD80F7402}">
      <text>
        <r>
          <rPr>
            <b/>
            <sz val="9"/>
            <color indexed="81"/>
            <rFont val="Tahoma"/>
            <family val="2"/>
          </rPr>
          <t>Janis Corona:</t>
        </r>
        <r>
          <rPr>
            <sz val="9"/>
            <color indexed="81"/>
            <rFont val="Tahoma"/>
            <family val="2"/>
          </rPr>
          <t xml:space="preserve">
https://www.timeanddate.com/weather/usa/corona/historic
</t>
        </r>
      </text>
    </comment>
    <comment ref="A212998" authorId="0" shapeId="0" xr:uid="{1D0C9893-8944-4E4C-846E-74151C7AD511}">
      <text>
        <r>
          <rPr>
            <b/>
            <sz val="9"/>
            <color indexed="81"/>
            <rFont val="Tahoma"/>
            <family val="2"/>
          </rPr>
          <t>Janis Corona:</t>
        </r>
        <r>
          <rPr>
            <sz val="9"/>
            <color indexed="81"/>
            <rFont val="Tahoma"/>
            <family val="2"/>
          </rPr>
          <t xml:space="preserve">
https://www.timeanddate.com/weather/usa/corona/historic
</t>
        </r>
      </text>
    </comment>
    <comment ref="A229382" authorId="0" shapeId="0" xr:uid="{0873D764-A600-450F-8D96-FF7EE2185C8A}">
      <text>
        <r>
          <rPr>
            <b/>
            <sz val="9"/>
            <color indexed="81"/>
            <rFont val="Tahoma"/>
            <family val="2"/>
          </rPr>
          <t>Janis Corona:</t>
        </r>
        <r>
          <rPr>
            <sz val="9"/>
            <color indexed="81"/>
            <rFont val="Tahoma"/>
            <family val="2"/>
          </rPr>
          <t xml:space="preserve">
https://www.timeanddate.com/weather/usa/corona/historic
</t>
        </r>
      </text>
    </comment>
    <comment ref="A245766" authorId="0" shapeId="0" xr:uid="{B401F719-87D6-417F-8DD8-5C7EDB41DFB1}">
      <text>
        <r>
          <rPr>
            <b/>
            <sz val="9"/>
            <color indexed="81"/>
            <rFont val="Tahoma"/>
            <family val="2"/>
          </rPr>
          <t>Janis Corona:</t>
        </r>
        <r>
          <rPr>
            <sz val="9"/>
            <color indexed="81"/>
            <rFont val="Tahoma"/>
            <family val="2"/>
          </rPr>
          <t xml:space="preserve">
https://www.timeanddate.com/weather/usa/corona/historic
</t>
        </r>
      </text>
    </comment>
    <comment ref="A262150" authorId="0" shapeId="0" xr:uid="{B8950071-BF5C-4D04-9BA8-C4FA3CEA6835}">
      <text>
        <r>
          <rPr>
            <b/>
            <sz val="9"/>
            <color indexed="81"/>
            <rFont val="Tahoma"/>
            <family val="2"/>
          </rPr>
          <t>Janis Corona:</t>
        </r>
        <r>
          <rPr>
            <sz val="9"/>
            <color indexed="81"/>
            <rFont val="Tahoma"/>
            <family val="2"/>
          </rPr>
          <t xml:space="preserve">
https://www.timeanddate.com/weather/usa/corona/historic
</t>
        </r>
      </text>
    </comment>
    <comment ref="A278534" authorId="0" shapeId="0" xr:uid="{A0582BCE-6EA5-4CFF-8DA6-DB3781828BDA}">
      <text>
        <r>
          <rPr>
            <b/>
            <sz val="9"/>
            <color indexed="81"/>
            <rFont val="Tahoma"/>
            <family val="2"/>
          </rPr>
          <t>Janis Corona:</t>
        </r>
        <r>
          <rPr>
            <sz val="9"/>
            <color indexed="81"/>
            <rFont val="Tahoma"/>
            <family val="2"/>
          </rPr>
          <t xml:space="preserve">
https://www.timeanddate.com/weather/usa/corona/historic
</t>
        </r>
      </text>
    </comment>
    <comment ref="A294918" authorId="0" shapeId="0" xr:uid="{37628EAF-7F7D-4E55-B85A-507FA5C07F19}">
      <text>
        <r>
          <rPr>
            <b/>
            <sz val="9"/>
            <color indexed="81"/>
            <rFont val="Tahoma"/>
            <family val="2"/>
          </rPr>
          <t>Janis Corona:</t>
        </r>
        <r>
          <rPr>
            <sz val="9"/>
            <color indexed="81"/>
            <rFont val="Tahoma"/>
            <family val="2"/>
          </rPr>
          <t xml:space="preserve">
https://www.timeanddate.com/weather/usa/corona/historic
</t>
        </r>
      </text>
    </comment>
    <comment ref="A311302" authorId="0" shapeId="0" xr:uid="{EE7F27B1-F6D5-4F75-878C-0394070456AA}">
      <text>
        <r>
          <rPr>
            <b/>
            <sz val="9"/>
            <color indexed="81"/>
            <rFont val="Tahoma"/>
            <family val="2"/>
          </rPr>
          <t>Janis Corona:</t>
        </r>
        <r>
          <rPr>
            <sz val="9"/>
            <color indexed="81"/>
            <rFont val="Tahoma"/>
            <family val="2"/>
          </rPr>
          <t xml:space="preserve">
https://www.timeanddate.com/weather/usa/corona/historic
</t>
        </r>
      </text>
    </comment>
    <comment ref="A327686" authorId="0" shapeId="0" xr:uid="{9611FCBF-EDD3-4B79-99D2-C184AD0AFDDF}">
      <text>
        <r>
          <rPr>
            <b/>
            <sz val="9"/>
            <color indexed="81"/>
            <rFont val="Tahoma"/>
            <family val="2"/>
          </rPr>
          <t>Janis Corona:</t>
        </r>
        <r>
          <rPr>
            <sz val="9"/>
            <color indexed="81"/>
            <rFont val="Tahoma"/>
            <family val="2"/>
          </rPr>
          <t xml:space="preserve">
https://www.timeanddate.com/weather/usa/corona/historic
</t>
        </r>
      </text>
    </comment>
    <comment ref="A344070" authorId="0" shapeId="0" xr:uid="{6691900B-2A5F-4489-B08B-5CC91AEE27FD}">
      <text>
        <r>
          <rPr>
            <b/>
            <sz val="9"/>
            <color indexed="81"/>
            <rFont val="Tahoma"/>
            <family val="2"/>
          </rPr>
          <t>Janis Corona:</t>
        </r>
        <r>
          <rPr>
            <sz val="9"/>
            <color indexed="81"/>
            <rFont val="Tahoma"/>
            <family val="2"/>
          </rPr>
          <t xml:space="preserve">
https://www.timeanddate.com/weather/usa/corona/historic
</t>
        </r>
      </text>
    </comment>
    <comment ref="A360454" authorId="0" shapeId="0" xr:uid="{F4FBB12B-8E75-458A-867E-AD0279BC27A1}">
      <text>
        <r>
          <rPr>
            <b/>
            <sz val="9"/>
            <color indexed="81"/>
            <rFont val="Tahoma"/>
            <family val="2"/>
          </rPr>
          <t>Janis Corona:</t>
        </r>
        <r>
          <rPr>
            <sz val="9"/>
            <color indexed="81"/>
            <rFont val="Tahoma"/>
            <family val="2"/>
          </rPr>
          <t xml:space="preserve">
https://www.timeanddate.com/weather/usa/corona/historic
</t>
        </r>
      </text>
    </comment>
    <comment ref="A376838" authorId="0" shapeId="0" xr:uid="{A8C231C5-877E-41B7-87DC-B7C0E067693B}">
      <text>
        <r>
          <rPr>
            <b/>
            <sz val="9"/>
            <color indexed="81"/>
            <rFont val="Tahoma"/>
            <family val="2"/>
          </rPr>
          <t>Janis Corona:</t>
        </r>
        <r>
          <rPr>
            <sz val="9"/>
            <color indexed="81"/>
            <rFont val="Tahoma"/>
            <family val="2"/>
          </rPr>
          <t xml:space="preserve">
https://www.timeanddate.com/weather/usa/corona/historic
</t>
        </r>
      </text>
    </comment>
    <comment ref="A393222" authorId="0" shapeId="0" xr:uid="{660074BB-C20E-46D0-9DBF-1A3B8343651B}">
      <text>
        <r>
          <rPr>
            <b/>
            <sz val="9"/>
            <color indexed="81"/>
            <rFont val="Tahoma"/>
            <family val="2"/>
          </rPr>
          <t>Janis Corona:</t>
        </r>
        <r>
          <rPr>
            <sz val="9"/>
            <color indexed="81"/>
            <rFont val="Tahoma"/>
            <family val="2"/>
          </rPr>
          <t xml:space="preserve">
https://www.timeanddate.com/weather/usa/corona/historic
</t>
        </r>
      </text>
    </comment>
    <comment ref="A409606" authorId="0" shapeId="0" xr:uid="{E8A718BB-E858-4306-B5C3-CF31E3378DD4}">
      <text>
        <r>
          <rPr>
            <b/>
            <sz val="9"/>
            <color indexed="81"/>
            <rFont val="Tahoma"/>
            <family val="2"/>
          </rPr>
          <t>Janis Corona:</t>
        </r>
        <r>
          <rPr>
            <sz val="9"/>
            <color indexed="81"/>
            <rFont val="Tahoma"/>
            <family val="2"/>
          </rPr>
          <t xml:space="preserve">
https://www.timeanddate.com/weather/usa/corona/historic
</t>
        </r>
      </text>
    </comment>
    <comment ref="A425990" authorId="0" shapeId="0" xr:uid="{3200D286-0E99-4D06-AD48-18839975357B}">
      <text>
        <r>
          <rPr>
            <b/>
            <sz val="9"/>
            <color indexed="81"/>
            <rFont val="Tahoma"/>
            <family val="2"/>
          </rPr>
          <t>Janis Corona:</t>
        </r>
        <r>
          <rPr>
            <sz val="9"/>
            <color indexed="81"/>
            <rFont val="Tahoma"/>
            <family val="2"/>
          </rPr>
          <t xml:space="preserve">
https://www.timeanddate.com/weather/usa/corona/historic
</t>
        </r>
      </text>
    </comment>
    <comment ref="A442374" authorId="0" shapeId="0" xr:uid="{CDFC37A5-BC20-4352-86A9-2298CB9186FC}">
      <text>
        <r>
          <rPr>
            <b/>
            <sz val="9"/>
            <color indexed="81"/>
            <rFont val="Tahoma"/>
            <family val="2"/>
          </rPr>
          <t>Janis Corona:</t>
        </r>
        <r>
          <rPr>
            <sz val="9"/>
            <color indexed="81"/>
            <rFont val="Tahoma"/>
            <family val="2"/>
          </rPr>
          <t xml:space="preserve">
https://www.timeanddate.com/weather/usa/corona/historic
</t>
        </r>
      </text>
    </comment>
    <comment ref="A458758" authorId="0" shapeId="0" xr:uid="{6754A8D8-9C46-46A9-92C4-E621808EB390}">
      <text>
        <r>
          <rPr>
            <b/>
            <sz val="9"/>
            <color indexed="81"/>
            <rFont val="Tahoma"/>
            <family val="2"/>
          </rPr>
          <t>Janis Corona:</t>
        </r>
        <r>
          <rPr>
            <sz val="9"/>
            <color indexed="81"/>
            <rFont val="Tahoma"/>
            <family val="2"/>
          </rPr>
          <t xml:space="preserve">
https://www.timeanddate.com/weather/usa/corona/historic
</t>
        </r>
      </text>
    </comment>
    <comment ref="A475142" authorId="0" shapeId="0" xr:uid="{A71ECBF3-95B9-4863-B7E5-3EF33281DC28}">
      <text>
        <r>
          <rPr>
            <b/>
            <sz val="9"/>
            <color indexed="81"/>
            <rFont val="Tahoma"/>
            <family val="2"/>
          </rPr>
          <t>Janis Corona:</t>
        </r>
        <r>
          <rPr>
            <sz val="9"/>
            <color indexed="81"/>
            <rFont val="Tahoma"/>
            <family val="2"/>
          </rPr>
          <t xml:space="preserve">
https://www.timeanddate.com/weather/usa/corona/historic
</t>
        </r>
      </text>
    </comment>
    <comment ref="A491526" authorId="0" shapeId="0" xr:uid="{5EAABFF6-9073-44EC-8EF4-AFBBE2FBDE4C}">
      <text>
        <r>
          <rPr>
            <b/>
            <sz val="9"/>
            <color indexed="81"/>
            <rFont val="Tahoma"/>
            <family val="2"/>
          </rPr>
          <t>Janis Corona:</t>
        </r>
        <r>
          <rPr>
            <sz val="9"/>
            <color indexed="81"/>
            <rFont val="Tahoma"/>
            <family val="2"/>
          </rPr>
          <t xml:space="preserve">
https://www.timeanddate.com/weather/usa/corona/historic
</t>
        </r>
      </text>
    </comment>
    <comment ref="A507910" authorId="0" shapeId="0" xr:uid="{69B629E3-A813-4DC6-ADFE-D45FCED17F34}">
      <text>
        <r>
          <rPr>
            <b/>
            <sz val="9"/>
            <color indexed="81"/>
            <rFont val="Tahoma"/>
            <family val="2"/>
          </rPr>
          <t>Janis Corona:</t>
        </r>
        <r>
          <rPr>
            <sz val="9"/>
            <color indexed="81"/>
            <rFont val="Tahoma"/>
            <family val="2"/>
          </rPr>
          <t xml:space="preserve">
https://www.timeanddate.com/weather/usa/corona/historic
</t>
        </r>
      </text>
    </comment>
    <comment ref="A524294" authorId="0" shapeId="0" xr:uid="{FA7E5A96-236D-479A-9090-8B24B1064F5F}">
      <text>
        <r>
          <rPr>
            <b/>
            <sz val="9"/>
            <color indexed="81"/>
            <rFont val="Tahoma"/>
            <family val="2"/>
          </rPr>
          <t>Janis Corona:</t>
        </r>
        <r>
          <rPr>
            <sz val="9"/>
            <color indexed="81"/>
            <rFont val="Tahoma"/>
            <family val="2"/>
          </rPr>
          <t xml:space="preserve">
https://www.timeanddate.com/weather/usa/corona/historic
</t>
        </r>
      </text>
    </comment>
    <comment ref="A540678" authorId="0" shapeId="0" xr:uid="{2841D0D0-394B-4048-810E-62E0A0DFBC50}">
      <text>
        <r>
          <rPr>
            <b/>
            <sz val="9"/>
            <color indexed="81"/>
            <rFont val="Tahoma"/>
            <family val="2"/>
          </rPr>
          <t>Janis Corona:</t>
        </r>
        <r>
          <rPr>
            <sz val="9"/>
            <color indexed="81"/>
            <rFont val="Tahoma"/>
            <family val="2"/>
          </rPr>
          <t xml:space="preserve">
https://www.timeanddate.com/weather/usa/corona/historic
</t>
        </r>
      </text>
    </comment>
    <comment ref="A557062" authorId="0" shapeId="0" xr:uid="{844F957E-5BA0-4876-B73B-4E4EB0B8912C}">
      <text>
        <r>
          <rPr>
            <b/>
            <sz val="9"/>
            <color indexed="81"/>
            <rFont val="Tahoma"/>
            <family val="2"/>
          </rPr>
          <t>Janis Corona:</t>
        </r>
        <r>
          <rPr>
            <sz val="9"/>
            <color indexed="81"/>
            <rFont val="Tahoma"/>
            <family val="2"/>
          </rPr>
          <t xml:space="preserve">
https://www.timeanddate.com/weather/usa/corona/historic
</t>
        </r>
      </text>
    </comment>
    <comment ref="A573446" authorId="0" shapeId="0" xr:uid="{E408BC0C-88B6-4112-9949-41C815FEC3D5}">
      <text>
        <r>
          <rPr>
            <b/>
            <sz val="9"/>
            <color indexed="81"/>
            <rFont val="Tahoma"/>
            <family val="2"/>
          </rPr>
          <t>Janis Corona:</t>
        </r>
        <r>
          <rPr>
            <sz val="9"/>
            <color indexed="81"/>
            <rFont val="Tahoma"/>
            <family val="2"/>
          </rPr>
          <t xml:space="preserve">
https://www.timeanddate.com/weather/usa/corona/historic
</t>
        </r>
      </text>
    </comment>
    <comment ref="A589830" authorId="0" shapeId="0" xr:uid="{B8BEFDCA-3424-4BB5-81CB-57786B83674B}">
      <text>
        <r>
          <rPr>
            <b/>
            <sz val="9"/>
            <color indexed="81"/>
            <rFont val="Tahoma"/>
            <family val="2"/>
          </rPr>
          <t>Janis Corona:</t>
        </r>
        <r>
          <rPr>
            <sz val="9"/>
            <color indexed="81"/>
            <rFont val="Tahoma"/>
            <family val="2"/>
          </rPr>
          <t xml:space="preserve">
https://www.timeanddate.com/weather/usa/corona/historic
</t>
        </r>
      </text>
    </comment>
    <comment ref="A606214" authorId="0" shapeId="0" xr:uid="{D4E937EC-1F94-4646-A6A8-806FA035C265}">
      <text>
        <r>
          <rPr>
            <b/>
            <sz val="9"/>
            <color indexed="81"/>
            <rFont val="Tahoma"/>
            <family val="2"/>
          </rPr>
          <t>Janis Corona:</t>
        </r>
        <r>
          <rPr>
            <sz val="9"/>
            <color indexed="81"/>
            <rFont val="Tahoma"/>
            <family val="2"/>
          </rPr>
          <t xml:space="preserve">
https://www.timeanddate.com/weather/usa/corona/historic
</t>
        </r>
      </text>
    </comment>
    <comment ref="A622598" authorId="0" shapeId="0" xr:uid="{79F706AE-F38E-4970-BA88-C6A3927E7A59}">
      <text>
        <r>
          <rPr>
            <b/>
            <sz val="9"/>
            <color indexed="81"/>
            <rFont val="Tahoma"/>
            <family val="2"/>
          </rPr>
          <t>Janis Corona:</t>
        </r>
        <r>
          <rPr>
            <sz val="9"/>
            <color indexed="81"/>
            <rFont val="Tahoma"/>
            <family val="2"/>
          </rPr>
          <t xml:space="preserve">
https://www.timeanddate.com/weather/usa/corona/historic
</t>
        </r>
      </text>
    </comment>
    <comment ref="A638982" authorId="0" shapeId="0" xr:uid="{5290640C-4557-47DB-B67B-B5126E5C7FCC}">
      <text>
        <r>
          <rPr>
            <b/>
            <sz val="9"/>
            <color indexed="81"/>
            <rFont val="Tahoma"/>
            <family val="2"/>
          </rPr>
          <t>Janis Corona:</t>
        </r>
        <r>
          <rPr>
            <sz val="9"/>
            <color indexed="81"/>
            <rFont val="Tahoma"/>
            <family val="2"/>
          </rPr>
          <t xml:space="preserve">
https://www.timeanddate.com/weather/usa/corona/historic
</t>
        </r>
      </text>
    </comment>
    <comment ref="A655366" authorId="0" shapeId="0" xr:uid="{884B7899-F449-460D-9A07-067EF40ADB34}">
      <text>
        <r>
          <rPr>
            <b/>
            <sz val="9"/>
            <color indexed="81"/>
            <rFont val="Tahoma"/>
            <family val="2"/>
          </rPr>
          <t>Janis Corona:</t>
        </r>
        <r>
          <rPr>
            <sz val="9"/>
            <color indexed="81"/>
            <rFont val="Tahoma"/>
            <family val="2"/>
          </rPr>
          <t xml:space="preserve">
https://www.timeanddate.com/weather/usa/corona/historic
</t>
        </r>
      </text>
    </comment>
    <comment ref="A671750" authorId="0" shapeId="0" xr:uid="{153DB667-8669-4B8C-A003-E5BF0070EFFF}">
      <text>
        <r>
          <rPr>
            <b/>
            <sz val="9"/>
            <color indexed="81"/>
            <rFont val="Tahoma"/>
            <family val="2"/>
          </rPr>
          <t>Janis Corona:</t>
        </r>
        <r>
          <rPr>
            <sz val="9"/>
            <color indexed="81"/>
            <rFont val="Tahoma"/>
            <family val="2"/>
          </rPr>
          <t xml:space="preserve">
https://www.timeanddate.com/weather/usa/corona/historic
</t>
        </r>
      </text>
    </comment>
    <comment ref="A688134" authorId="0" shapeId="0" xr:uid="{9E07E630-BF42-4E91-A2D2-2B91F07A83C9}">
      <text>
        <r>
          <rPr>
            <b/>
            <sz val="9"/>
            <color indexed="81"/>
            <rFont val="Tahoma"/>
            <family val="2"/>
          </rPr>
          <t>Janis Corona:</t>
        </r>
        <r>
          <rPr>
            <sz val="9"/>
            <color indexed="81"/>
            <rFont val="Tahoma"/>
            <family val="2"/>
          </rPr>
          <t xml:space="preserve">
https://www.timeanddate.com/weather/usa/corona/historic
</t>
        </r>
      </text>
    </comment>
    <comment ref="A704518" authorId="0" shapeId="0" xr:uid="{D989BBA2-73C7-4FA0-8109-28D60F278770}">
      <text>
        <r>
          <rPr>
            <b/>
            <sz val="9"/>
            <color indexed="81"/>
            <rFont val="Tahoma"/>
            <family val="2"/>
          </rPr>
          <t>Janis Corona:</t>
        </r>
        <r>
          <rPr>
            <sz val="9"/>
            <color indexed="81"/>
            <rFont val="Tahoma"/>
            <family val="2"/>
          </rPr>
          <t xml:space="preserve">
https://www.timeanddate.com/weather/usa/corona/historic
</t>
        </r>
      </text>
    </comment>
    <comment ref="A720902" authorId="0" shapeId="0" xr:uid="{07FC0DBC-81AB-4EB1-B730-26936899C1FB}">
      <text>
        <r>
          <rPr>
            <b/>
            <sz val="9"/>
            <color indexed="81"/>
            <rFont val="Tahoma"/>
            <family val="2"/>
          </rPr>
          <t>Janis Corona:</t>
        </r>
        <r>
          <rPr>
            <sz val="9"/>
            <color indexed="81"/>
            <rFont val="Tahoma"/>
            <family val="2"/>
          </rPr>
          <t xml:space="preserve">
https://www.timeanddate.com/weather/usa/corona/historic
</t>
        </r>
      </text>
    </comment>
    <comment ref="A737286" authorId="0" shapeId="0" xr:uid="{028A1C19-ADC7-4139-ABCB-39C7526A8481}">
      <text>
        <r>
          <rPr>
            <b/>
            <sz val="9"/>
            <color indexed="81"/>
            <rFont val="Tahoma"/>
            <family val="2"/>
          </rPr>
          <t>Janis Corona:</t>
        </r>
        <r>
          <rPr>
            <sz val="9"/>
            <color indexed="81"/>
            <rFont val="Tahoma"/>
            <family val="2"/>
          </rPr>
          <t xml:space="preserve">
https://www.timeanddate.com/weather/usa/corona/historic
</t>
        </r>
      </text>
    </comment>
    <comment ref="A753670" authorId="0" shapeId="0" xr:uid="{26C0B414-4705-4602-8B69-71E07329CDBA}">
      <text>
        <r>
          <rPr>
            <b/>
            <sz val="9"/>
            <color indexed="81"/>
            <rFont val="Tahoma"/>
            <family val="2"/>
          </rPr>
          <t>Janis Corona:</t>
        </r>
        <r>
          <rPr>
            <sz val="9"/>
            <color indexed="81"/>
            <rFont val="Tahoma"/>
            <family val="2"/>
          </rPr>
          <t xml:space="preserve">
https://www.timeanddate.com/weather/usa/corona/historic
</t>
        </r>
      </text>
    </comment>
    <comment ref="A770054" authorId="0" shapeId="0" xr:uid="{6064043A-3DF1-4103-959C-FCAE7F0BECE9}">
      <text>
        <r>
          <rPr>
            <b/>
            <sz val="9"/>
            <color indexed="81"/>
            <rFont val="Tahoma"/>
            <family val="2"/>
          </rPr>
          <t>Janis Corona:</t>
        </r>
        <r>
          <rPr>
            <sz val="9"/>
            <color indexed="81"/>
            <rFont val="Tahoma"/>
            <family val="2"/>
          </rPr>
          <t xml:space="preserve">
https://www.timeanddate.com/weather/usa/corona/historic
</t>
        </r>
      </text>
    </comment>
    <comment ref="A786438" authorId="0" shapeId="0" xr:uid="{3BD4729B-1037-4613-A171-0C5E139C1434}">
      <text>
        <r>
          <rPr>
            <b/>
            <sz val="9"/>
            <color indexed="81"/>
            <rFont val="Tahoma"/>
            <family val="2"/>
          </rPr>
          <t>Janis Corona:</t>
        </r>
        <r>
          <rPr>
            <sz val="9"/>
            <color indexed="81"/>
            <rFont val="Tahoma"/>
            <family val="2"/>
          </rPr>
          <t xml:space="preserve">
https://www.timeanddate.com/weather/usa/corona/historic
</t>
        </r>
      </text>
    </comment>
    <comment ref="A802822" authorId="0" shapeId="0" xr:uid="{07385731-3ACB-4F7B-BCFA-DF2958A1D5E5}">
      <text>
        <r>
          <rPr>
            <b/>
            <sz val="9"/>
            <color indexed="81"/>
            <rFont val="Tahoma"/>
            <family val="2"/>
          </rPr>
          <t>Janis Corona:</t>
        </r>
        <r>
          <rPr>
            <sz val="9"/>
            <color indexed="81"/>
            <rFont val="Tahoma"/>
            <family val="2"/>
          </rPr>
          <t xml:space="preserve">
https://www.timeanddate.com/weather/usa/corona/historic
</t>
        </r>
      </text>
    </comment>
    <comment ref="A819206" authorId="0" shapeId="0" xr:uid="{C57D67EB-42A1-408B-A8A4-BC3295FF2AE8}">
      <text>
        <r>
          <rPr>
            <b/>
            <sz val="9"/>
            <color indexed="81"/>
            <rFont val="Tahoma"/>
            <family val="2"/>
          </rPr>
          <t>Janis Corona:</t>
        </r>
        <r>
          <rPr>
            <sz val="9"/>
            <color indexed="81"/>
            <rFont val="Tahoma"/>
            <family val="2"/>
          </rPr>
          <t xml:space="preserve">
https://www.timeanddate.com/weather/usa/corona/historic
</t>
        </r>
      </text>
    </comment>
    <comment ref="A835590" authorId="0" shapeId="0" xr:uid="{92661CF2-1D6D-49CE-9587-DE089E716937}">
      <text>
        <r>
          <rPr>
            <b/>
            <sz val="9"/>
            <color indexed="81"/>
            <rFont val="Tahoma"/>
            <family val="2"/>
          </rPr>
          <t>Janis Corona:</t>
        </r>
        <r>
          <rPr>
            <sz val="9"/>
            <color indexed="81"/>
            <rFont val="Tahoma"/>
            <family val="2"/>
          </rPr>
          <t xml:space="preserve">
https://www.timeanddate.com/weather/usa/corona/historic
</t>
        </r>
      </text>
    </comment>
    <comment ref="A851974" authorId="0" shapeId="0" xr:uid="{E1ECD962-0E34-4AA2-A56E-2060752FB74F}">
      <text>
        <r>
          <rPr>
            <b/>
            <sz val="9"/>
            <color indexed="81"/>
            <rFont val="Tahoma"/>
            <family val="2"/>
          </rPr>
          <t>Janis Corona:</t>
        </r>
        <r>
          <rPr>
            <sz val="9"/>
            <color indexed="81"/>
            <rFont val="Tahoma"/>
            <family val="2"/>
          </rPr>
          <t xml:space="preserve">
https://www.timeanddate.com/weather/usa/corona/historic
</t>
        </r>
      </text>
    </comment>
    <comment ref="A868358" authorId="0" shapeId="0" xr:uid="{7032219C-55E6-488D-882F-8824EFE38403}">
      <text>
        <r>
          <rPr>
            <b/>
            <sz val="9"/>
            <color indexed="81"/>
            <rFont val="Tahoma"/>
            <family val="2"/>
          </rPr>
          <t>Janis Corona:</t>
        </r>
        <r>
          <rPr>
            <sz val="9"/>
            <color indexed="81"/>
            <rFont val="Tahoma"/>
            <family val="2"/>
          </rPr>
          <t xml:space="preserve">
https://www.timeanddate.com/weather/usa/corona/historic
</t>
        </r>
      </text>
    </comment>
    <comment ref="A884742" authorId="0" shapeId="0" xr:uid="{38B2DFE2-7AE0-4D7D-A462-F91CADD2B0A3}">
      <text>
        <r>
          <rPr>
            <b/>
            <sz val="9"/>
            <color indexed="81"/>
            <rFont val="Tahoma"/>
            <family val="2"/>
          </rPr>
          <t>Janis Corona:</t>
        </r>
        <r>
          <rPr>
            <sz val="9"/>
            <color indexed="81"/>
            <rFont val="Tahoma"/>
            <family val="2"/>
          </rPr>
          <t xml:space="preserve">
https://www.timeanddate.com/weather/usa/corona/historic
</t>
        </r>
      </text>
    </comment>
    <comment ref="A901126" authorId="0" shapeId="0" xr:uid="{613F64A1-31D0-4EAD-84FB-4495FB97AA40}">
      <text>
        <r>
          <rPr>
            <b/>
            <sz val="9"/>
            <color indexed="81"/>
            <rFont val="Tahoma"/>
            <family val="2"/>
          </rPr>
          <t>Janis Corona:</t>
        </r>
        <r>
          <rPr>
            <sz val="9"/>
            <color indexed="81"/>
            <rFont val="Tahoma"/>
            <family val="2"/>
          </rPr>
          <t xml:space="preserve">
https://www.timeanddate.com/weather/usa/corona/historic
</t>
        </r>
      </text>
    </comment>
    <comment ref="A917510" authorId="0" shapeId="0" xr:uid="{A3DAC8D0-DFBB-4EB8-921D-AA00FBF268A0}">
      <text>
        <r>
          <rPr>
            <b/>
            <sz val="9"/>
            <color indexed="81"/>
            <rFont val="Tahoma"/>
            <family val="2"/>
          </rPr>
          <t>Janis Corona:</t>
        </r>
        <r>
          <rPr>
            <sz val="9"/>
            <color indexed="81"/>
            <rFont val="Tahoma"/>
            <family val="2"/>
          </rPr>
          <t xml:space="preserve">
https://www.timeanddate.com/weather/usa/corona/historic
</t>
        </r>
      </text>
    </comment>
    <comment ref="A933894" authorId="0" shapeId="0" xr:uid="{31DEF9CD-77A1-4B72-B98A-511E31F50B0E}">
      <text>
        <r>
          <rPr>
            <b/>
            <sz val="9"/>
            <color indexed="81"/>
            <rFont val="Tahoma"/>
            <family val="2"/>
          </rPr>
          <t>Janis Corona:</t>
        </r>
        <r>
          <rPr>
            <sz val="9"/>
            <color indexed="81"/>
            <rFont val="Tahoma"/>
            <family val="2"/>
          </rPr>
          <t xml:space="preserve">
https://www.timeanddate.com/weather/usa/corona/historic
</t>
        </r>
      </text>
    </comment>
    <comment ref="A950278" authorId="0" shapeId="0" xr:uid="{17756A7E-A8C6-4A58-B987-AB78F8C04FDD}">
      <text>
        <r>
          <rPr>
            <b/>
            <sz val="9"/>
            <color indexed="81"/>
            <rFont val="Tahoma"/>
            <family val="2"/>
          </rPr>
          <t>Janis Corona:</t>
        </r>
        <r>
          <rPr>
            <sz val="9"/>
            <color indexed="81"/>
            <rFont val="Tahoma"/>
            <family val="2"/>
          </rPr>
          <t xml:space="preserve">
https://www.timeanddate.com/weather/usa/corona/historic
</t>
        </r>
      </text>
    </comment>
    <comment ref="A966662" authorId="0" shapeId="0" xr:uid="{9F72BDEA-0A13-48DD-B566-58C1486F33A9}">
      <text>
        <r>
          <rPr>
            <b/>
            <sz val="9"/>
            <color indexed="81"/>
            <rFont val="Tahoma"/>
            <family val="2"/>
          </rPr>
          <t>Janis Corona:</t>
        </r>
        <r>
          <rPr>
            <sz val="9"/>
            <color indexed="81"/>
            <rFont val="Tahoma"/>
            <family val="2"/>
          </rPr>
          <t xml:space="preserve">
https://www.timeanddate.com/weather/usa/corona/historic
</t>
        </r>
      </text>
    </comment>
    <comment ref="A983046" authorId="0" shapeId="0" xr:uid="{68A6368B-561C-4C55-AC9F-E6F58B8C4E10}">
      <text>
        <r>
          <rPr>
            <b/>
            <sz val="9"/>
            <color indexed="81"/>
            <rFont val="Tahoma"/>
            <family val="2"/>
          </rPr>
          <t>Janis Corona:</t>
        </r>
        <r>
          <rPr>
            <sz val="9"/>
            <color indexed="81"/>
            <rFont val="Tahoma"/>
            <family val="2"/>
          </rPr>
          <t xml:space="preserve">
https://www.timeanddate.com/weather/usa/corona/historic
</t>
        </r>
      </text>
    </comment>
    <comment ref="A999430" authorId="0" shapeId="0" xr:uid="{5265A974-17B5-4BD7-9C4A-8536525A55B2}">
      <text>
        <r>
          <rPr>
            <b/>
            <sz val="9"/>
            <color indexed="81"/>
            <rFont val="Tahoma"/>
            <family val="2"/>
          </rPr>
          <t>Janis Corona:</t>
        </r>
        <r>
          <rPr>
            <sz val="9"/>
            <color indexed="81"/>
            <rFont val="Tahoma"/>
            <family val="2"/>
          </rPr>
          <t xml:space="preserve">
https://www.timeanddate.com/weather/usa/corona/historic
</t>
        </r>
      </text>
    </comment>
    <comment ref="A1015814" authorId="0" shapeId="0" xr:uid="{543261D1-FCD6-4B23-AE98-906BBF8F1400}">
      <text>
        <r>
          <rPr>
            <b/>
            <sz val="9"/>
            <color indexed="81"/>
            <rFont val="Tahoma"/>
            <family val="2"/>
          </rPr>
          <t>Janis Corona:</t>
        </r>
        <r>
          <rPr>
            <sz val="9"/>
            <color indexed="81"/>
            <rFont val="Tahoma"/>
            <family val="2"/>
          </rPr>
          <t xml:space="preserve">
https://www.timeanddate.com/weather/usa/corona/historic
</t>
        </r>
      </text>
    </comment>
    <comment ref="A1032198" authorId="0" shapeId="0" xr:uid="{49B0DDF1-422C-4E93-935C-C75D4D6BE43C}">
      <text>
        <r>
          <rPr>
            <b/>
            <sz val="9"/>
            <color indexed="81"/>
            <rFont val="Tahoma"/>
            <family val="2"/>
          </rPr>
          <t>Janis Corona:</t>
        </r>
        <r>
          <rPr>
            <sz val="9"/>
            <color indexed="81"/>
            <rFont val="Tahoma"/>
            <family val="2"/>
          </rPr>
          <t xml:space="preserve">
https://www.timeanddate.com/weather/usa/corona/historic
</t>
        </r>
      </text>
    </comment>
  </commentList>
</comments>
</file>

<file path=xl/sharedStrings.xml><?xml version="1.0" encoding="utf-8"?>
<sst xmlns="http://schemas.openxmlformats.org/spreadsheetml/2006/main" count="5264" uniqueCount="1328">
  <si>
    <t>weekDay Date</t>
  </si>
  <si>
    <t>Date</t>
  </si>
  <si>
    <t>time</t>
  </si>
  <si>
    <t>weightScaleMeasurement</t>
  </si>
  <si>
    <t>waistlineMeasurement-BellyButton</t>
  </si>
  <si>
    <t>armMeasurementInches-R</t>
  </si>
  <si>
    <t>armMeasurementInches-L</t>
  </si>
  <si>
    <t>thighMeasurementInches-R</t>
  </si>
  <si>
    <t>thighMeasurementInches-L</t>
  </si>
  <si>
    <t>absFat-MM-R</t>
  </si>
  <si>
    <t>absFat-MM-L</t>
  </si>
  <si>
    <t>tricepsFat-MM-R</t>
  </si>
  <si>
    <t>tricepsFat-MM-L</t>
  </si>
  <si>
    <t>innerThighFat-MM-R</t>
  </si>
  <si>
    <t>innerThighFat-MM-L</t>
  </si>
  <si>
    <t>Mon</t>
  </si>
  <si>
    <t>Tue</t>
  </si>
  <si>
    <t>Wed</t>
  </si>
  <si>
    <t>Thur</t>
  </si>
  <si>
    <t>Sat</t>
  </si>
  <si>
    <t>NA</t>
  </si>
  <si>
    <t>exercisesSetRepsLbs</t>
  </si>
  <si>
    <t>timeMeasurementsTaken</t>
  </si>
  <si>
    <t>Sun</t>
  </si>
  <si>
    <t>waistTrimmer</t>
  </si>
  <si>
    <t>weatherAtWorkoutTime</t>
  </si>
  <si>
    <t>fat_gram</t>
  </si>
  <si>
    <t>saturatedFat_gram</t>
  </si>
  <si>
    <t>protein_gram</t>
  </si>
  <si>
    <t>fiber_grams</t>
  </si>
  <si>
    <t>dailyCalories</t>
  </si>
  <si>
    <t>notes_diet_mood_etc</t>
  </si>
  <si>
    <t>sodium</t>
  </si>
  <si>
    <t>calories</t>
  </si>
  <si>
    <t>Nutrition</t>
  </si>
  <si>
    <t>Dill_Bread_2slices</t>
  </si>
  <si>
    <t>eggs_2</t>
  </si>
  <si>
    <t>grapefruit</t>
  </si>
  <si>
    <t>tomato_soup_1cup</t>
  </si>
  <si>
    <t>orange</t>
  </si>
  <si>
    <t>green_beans_canned</t>
  </si>
  <si>
    <t>Wheat_Bread_allGrain_2slices</t>
  </si>
  <si>
    <t>Avocado_half</t>
  </si>
  <si>
    <t>corn_tortilla_3tortillas_Mission</t>
  </si>
  <si>
    <t>gingerCarrotCashew_soup_Pacific</t>
  </si>
  <si>
    <t>corn_tortilla_2tortillas_Mission</t>
  </si>
  <si>
    <t>Mozzarella_lowSkim_WincoBrand_quarterCup</t>
  </si>
  <si>
    <t>coffee_cups</t>
  </si>
  <si>
    <t>Ramen_cupNoodles_Shrimp_Maruchan</t>
  </si>
  <si>
    <t>blackberries_1cup</t>
  </si>
  <si>
    <t>blueberries_1cup</t>
  </si>
  <si>
    <t>roastedRedPepperTomatoSoup_Pacific_1cup</t>
  </si>
  <si>
    <t>Avocado_whole</t>
  </si>
  <si>
    <t>greenGrapes_40</t>
  </si>
  <si>
    <t>strawberries_halfCup</t>
  </si>
  <si>
    <t>almond_mild_quarter_cup</t>
  </si>
  <si>
    <t>Wheat_Bread_allGrain_1andHalfSlices</t>
  </si>
  <si>
    <t>Wheat_Bread_allGrain_1Slice</t>
  </si>
  <si>
    <t>pear</t>
  </si>
  <si>
    <t>pickle_4slices</t>
  </si>
  <si>
    <t>cheese_American_slice1</t>
  </si>
  <si>
    <t>oatsAndHoney_mix_CascadianFarms2_3rdcup</t>
  </si>
  <si>
    <t>pineapple_1cup</t>
  </si>
  <si>
    <t>ruffles_zestyCheddar_28gserving</t>
  </si>
  <si>
    <t>spaghettiGlutenFreeBeyondBroccoliRedPepperPriano4cheese</t>
  </si>
  <si>
    <t>broccoli_2crowns</t>
  </si>
  <si>
    <t>red_bell_pepper</t>
  </si>
  <si>
    <t>banana_organic</t>
  </si>
  <si>
    <t>edemamePastaBeyondMeatBalls</t>
  </si>
  <si>
    <t>edemamePasta</t>
  </si>
  <si>
    <t>soyMeatballsFrozenDeli</t>
  </si>
  <si>
    <t>DelMonte4cheesePastaSauce</t>
  </si>
  <si>
    <t xml:space="preserve">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t>
  </si>
  <si>
    <t>red grapes serving 1 cup</t>
  </si>
  <si>
    <t>Priano 4 Cheese Pasta Sauce</t>
  </si>
  <si>
    <t>Extra Virgin Olive Oil Aldi brand 1 tbsp</t>
  </si>
  <si>
    <t>Progresso Garden Vegetable Soup</t>
  </si>
  <si>
    <t>mango</t>
  </si>
  <si>
    <t>Mission Tortilla Chips 10 chips</t>
  </si>
  <si>
    <t>jack cheese Winco brand 2 servings 2/3 cup</t>
  </si>
  <si>
    <t xml:space="preserve">Lentil Soup Simply Pure brand organic </t>
  </si>
  <si>
    <t>Chex cereal Winco General Mills 1 1/4 cup serving</t>
  </si>
  <si>
    <t>compressionSocks</t>
  </si>
  <si>
    <t xml:space="preserve">1 egg over medium the regular way 
1 corn tortilla quesadilla with mozzarella 
15 green grapes 
1 lg danjou pear 
15 red grapes 
1 mango sliced 
1 orange 
2 cups of the tomato soup with roasted red pepper from Pacific brand of soups 
2 mozzarella quesadillas normal style 
bowl of lentil soup by Progresso 
bowl of gluten free spaghetti by Barilla and 4 cheese pasta sauce by Priano with 
2 tbls parmesan Winco brand cheese and about 
1/4 cup Mozzarella cheese also Winco brand
1 orange </t>
  </si>
  <si>
    <t xml:space="preserve">bowl of gluten free spaghetti 
2 tbls parmesan  
1/4 cup Jack cheese 
25-30 green grapes 
1 lg danjou pear 
1 mango 
1 orange 
2 cups of chex cereal 
bowl of the gluten free spaghetti
2 tbls parmesan 
1/4 cup jack cheese 
1 orange 
1 pear </t>
  </si>
  <si>
    <t>Menstruation</t>
  </si>
  <si>
    <t>dailyFoodConsumed</t>
  </si>
  <si>
    <t>minutesOfCardioKickBoxing</t>
  </si>
  <si>
    <t>carbs_grams</t>
  </si>
  <si>
    <t>fiber_grams_from_carbs</t>
  </si>
  <si>
    <t>corn tortillas Guerrero Brand-2 tortillas</t>
  </si>
  <si>
    <t>weight_lifting_increase</t>
  </si>
  <si>
    <t>weight_lifting_decrease</t>
  </si>
  <si>
    <t>calories_consumed_dayPrior</t>
  </si>
  <si>
    <t>weightChangeFromDayPrior</t>
  </si>
  <si>
    <t>Woke up at 3:45 am and laid in bed till 4 am couldn't go back to sleep. Noticed mensa spotting and it is about time to start my monthly cycle of uterine lining shedding. Had a cup of coffee then a lg BM. Then had another cup of coffee for the 2nd cup of coffee before and while doing the lipocavitation around 510 am and the measurements. Made 2 eggs over medium the regular way with a quesadilla mozzarella (tortillas serving size 2 corn tortillas: calories 100, fat 1 g includes polyunsaturated fat 0.5 g, sodium 20 mg, carbs 21 g includes fiber 2 g and sugars 2 g, protein 2 g, calcium 20 mg, potassium 80 mg) with low skim mozzarella cheese (serving 1/4 cup: calories 80, fat 5 g includes saturated fat 3.5 g, cholesterol 15 mg, sodium 190 mg, carbs 1 g not fiber not sugar, protein 6 g, calcium 193 mg) one but only ate one egg (calories 70, total fat 5 g of which saturated fat is 1.5 g, cholesterol is 185 mg, sodium is 70 mg, protein 6 g, no carbs, vitamin D 1 mcg, iron1 mg, calcium 28 mg, potassium 69 mg) and gave the other to the pups. Packed about 15 green grapes (serving sz 10 grapes: calories 12.75, sodium 2 mg, carbs 13.5 includes fiber 0 and sugars 3 g, protein 0 g, vit A 1.5%, vit C 3%, iron 1.5%), and a lg danjou pear (calories 57, potassium 116 mg, sodium 1 mg, carbs 15 g of fiber 3 g and sugars 10 g, vit A 0.5%, vit C 7%, iron 1%, protein 0.36%) and 15 red grapes (calories 105, fat 0, saturated fat 0, sodium 3 mg, carbs 27 g includes fiber 1 g and sugars 23 g, protein 1 g, vit A 2%, vit C 27%, calcium 2%, iron 3%) for lunch with a mango sliced (calories 107, sodium 3 mg, carbs 28 g includes fiber 3 g and sugars 24 g, protein 1 g, vit A 25%, vit C 76%, calcium 2%, iron 1%), and an orange (calories 81, sodium 2 mg, carbs 21 g including fiber 4 g and sugars 14 g, protein 2 g, vit A 8%, vit C 163%, calcium 7%, iron 1%), and two cups of the tomato soup with roasted red pepper from Pacific brand of soups (serving size 1 cup, 2 cups: calories 240, fat 6 g includes saturated fat 4 g, cholesterol 20 mg, sodium 660 mg, carbs 38 g includes fiber 4 g and sugars 28 g, protein 12 g, calcium 144 mg, potassium 514 mg, iron 1 mg). Have a workout later today the last one of this research as tomorrow is day 21 and this research is for 21 days. Raining at work, wet outside and raining on the way back home and outside. Stopped raining when I got home around 2:30 pm. Had 2 mozzarella quesadillas normal style (tortillas serving size 2 corn tortillas, for 4 tortillas: calories 200, fat 2 g includes polyunsaturated fat 1 g, sodium 40 mg, carbs 42 g includes fiber 4 g and sugars 4 g, protein 4 g, calcium 40 mg, potassium 160 mg) with low skim mozzarella cheese (serving 1/4 cup for 2 servings: calories 160, fat 10 g includes saturated fat 7 g, cholesterol 30 mg, sodium 380 mg, carbs 2 g not fiber not sugar, protein 12 g, calcium 386 mg) and then worked out around 4 pm. It stopped raining for a little while up till the last group of exercises. Had a bowl of lentil soup by Progresso (1 can: calories 310, fat 3.5 g includes saturated fat 0.5 g, sodium 1630 mg, carbs 52 g includes fiber 8 g and sugars 4 g, protein 16 g, calcium 40 mg, iron 4.4 mg, potassium 590 mg) at around 6 pm after my workout, then made some gluten free spaghetti by Barilla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Had a bowl of that pasta with 2 tbls parmesan Winco brand cheese (serving 2 tbsp: calories 20, fat 1.5 g includes saturated fat 1 g, cholesterol 5 mg, sodium 100 mg, protein 2 g, carbs 0 g includes fiber and sugars 0 g each) and about 1/4 cup Mozzarella cheese (serving 1/4 cup: calories 80, fat 5 g includes saturated fat 3.5 g, cholesterol 15 mg, sodium 190 mg, carbs 1 g not fiber not sugar, protein 6 g, calcium 193 mg)  around 635 pm, and an orange (calories 81, sodium 2 mg, carbs 21 g including fiber 4 g and sugars 14 g, protein 2 g, vit A 8 %, vit C 163 %, calcium 7 %, iron 1 %) around 7 pm. Wore compression socks again today. Went to bed around 9 pm, woke up at 10 pm for a bit then on and off at 3 am, 430 am, and didn't sleep just laid in bed till 615 am. I probably got about 7 hours of sleep total. Day 1 of mensa shedding medium flow changed once during night.</t>
  </si>
  <si>
    <t>Woke up at 5:30 am but laid in bed till 615 am. Had a cup of coffee then a lg BM. Then another cup of coffee. Ankles aren't swollen, bruises on thighs are very light and not very noticeable. Compression socks help, and will wear again today. This is last day of 21 days of research into the 5xwk exercise, dieting, and 3xwk lipocavitation. This is the rest day, so measurements will be taken but the results will be analyzed tomorrow after 21 days are completed with images and measurements. For breakfast around 7:20 am I had a bowl of gluten free spaghetti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with parmesan  (serving 2 tbsp: calories 20, fat 1.5 g includes saturated fat 1 g, cholesterol 5 mg, sodium 100 mg, protein 2 g, carbs 0 g includes fiber and sugars 0 g each) and Jack cheese (calories 200, fat 9 g includes saturated fat 9 g, protein 12 g, 0 fiber, and sodium 340 mg). At work for lunch I had about 25-30 green grapes (serving sz 10 grape for 30 grapes: calories 38.25, sodium 6 mg, carbs 40.5 includes fiber 0 and sugars 9 g, protein 0 g, vit A 4.5%, vit C 9%, iron 4.5%), and a lg danjou pear (calories 57, potassium 116 mg, sodium 1 mg, carbs 15 g of fiber 3 g and sugars 10 g, vit A 0.5%, vit C 7%, iron 1%, protein 0.36%) , a mango (calories 107, sodium 3 mg, carbs 28 g includes fiber 3 g and sugars 24 g, protein 1 g, vit A 25%, vit C 76%, calcium 2%, iron 1%), and an orange (calories 81, sodium 2 mg, carbs 21 g including fiber 4 g and sugars 14 g, protein 2 g, vit A 8%, vit C 163%, calcium 7%, iron 1%), and about 2 cups of chex cereal (calories 240, fat 1.6 g includes saturated fat 0 g, protein 4.8 g, carbs 33 g includes fiber 3.2 g, and sodium 448 mg) as a snack. Not raining today but wet out and cloudy. I got a raise $2 per service hour unexpectedly and very thankful for. I went to Winco after work to get more oranges, grapefruits, red, orange, green bell peppers, danjou sm pears, gluten free spaghetti and red lentil penne pasta, and beyond meat is there cheaper at $8/pkg, and paper towels , toilet paper, wet cat food, and low skim Winco mozzarella cheese and avocados, and soup. Cannot find the ginger cashew carrot soup any more, it is either getting swiped up first or not being restocked even though the label is there. When I got home I started the laundry and changed the linens on bed and I ate a bowl of the spaghetti with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parmesan  (serving 2 tbsp: calories 20, fat 1.5 g includes saturated fat 1 g, cholesterol 5 mg, sodium 100 mg, protein 2 g, carbs 0 g includes fiber and sugars 0 g each) and jack cheese (calories 200, fat 9 g includes saturated fat 9 g, protein 12 g, 0 fiber, and sodium 340 mg) around 5 pm and an orange (calories 81, sodium 2 mg, carbs 21 g including fiber 4 g and sugars 14 g, protein 2 g, vit A 8%, vit C 163%, calcium 7%, iron 1%) around 6 pm. A pear (calories 57, potassium 116 mg, sodium 1 mg, carbs 15 g of fiber 3 g and sugars 10 g, vit A 0.5%, vit C 7%, iron 1%, protein 0.36%) around 6:30 pm. Mensa was 2nd day and med-heavy. Cramping around 9 pm slightly before. Maybe not enough water, feel it in lower back and abs. Went to bed at 9 pm but a call woke me at 10 that I didn't answer. And slept on and off getting up to pee and change pad for mensa and sleep through cramps that got better. Next day woke up at 6 am.</t>
  </si>
  <si>
    <t>pectoralis major/deltoid - 10 lb</t>
  </si>
  <si>
    <t>weightLiftingIncrease_lbs</t>
  </si>
  <si>
    <t>weightLiftingDecrease_lbs</t>
  </si>
  <si>
    <t>glutenFree</t>
  </si>
  <si>
    <t>alcoholFree</t>
  </si>
  <si>
    <t>processedSweetsFree</t>
  </si>
  <si>
    <t>butterAddedFree</t>
  </si>
  <si>
    <t>meatFree</t>
  </si>
  <si>
    <t>HoursOfSleepLastNight</t>
  </si>
  <si>
    <t>Andes Chocolate mint pieces, serving sz 8 pcs</t>
  </si>
  <si>
    <t xml:space="preserve">bowl plain gluten free spaghetti with 
parmesan and 
Jack cheese 
1 orange
3 Andes chocolate mint candies.
2 corn quesadillas (Guerrero brand) with 
Jack cheese and paprika and 
1 small avocado
3 more Andes mints 
1 cup of noodles the shrimp flavor with meat and veggies emptied
8 more Andes mints
</t>
  </si>
  <si>
    <t>crunchy corn tacos Aldis, serving is 3,</t>
  </si>
  <si>
    <t>2 crunchy corn tacos Aldis</t>
  </si>
  <si>
    <t>Red Lentil Penne Pasta Barilla brand gluten free-serving 2oz, this is 3.5 oz</t>
  </si>
  <si>
    <t>organic creamy butternut squash soup Pacific brand-1 cup serving</t>
  </si>
  <si>
    <t>Woke up at 6:00 AM, had a cup of coffee, a BM, another cup of coffee. Didn’t' eat breakfast immedately and had another small BM and another one an hour later. Prepared data of this research since 6:00 AM until 9:25 am, had breakfast, pasta last bowl plain gluten free spaghetti (calories, fat,sat.fat, protein,carbs,fiber,sodium; 4 cheese Priano brand: 90,3.5,1,3,12,3,460, pasta noodles: 200,1,0,4,44,1,0) with parmesan and Jack cheese (20,1.5,1,2,0,0,100 parmesan and jack: 200,9,9,12,1,0,340) about 930 AM followed by an orange (81,0,0,2,21,4,2). Shower, because on my mensa 3rd day med, was med-heavy last night. Still have menstrual cramps but feeling them in my low back. Measurements with video documentation taken after shower. Around 11 am had 3 Andes chocolate mint candies (serving 8 pcs, for 3: 75,5,4.5,0.75,8.25,0.75, 7.5). After trying to enroll in some prerequisite DO courses at Fullerton/Cypress College, and finding I could remember my RCC student ID for unofficial transcript. Everything is waitlisted or closed. They start today, a couple courses tomorrow. Need the chem/biol/anatomy/microbiology prerequisites and to speak with a counselor, but offices closed in person. Around 1130 AM had 2 corn quesadillas (Guerrero brand) (100,1,0,2,21,2,20) with Jack cheese (200,9,9,12,1,0,340) and paprika and 1 small avocado (322,29,4,4,17,18,14). had 3 more Andes mints (serving 8 pcs, for 3: 75,5,4.5,0.75,8.25,0.75, 7.5) at 145 pm after my shower and before taking the resulting measurements with video documentation. At just before 3 pm had a cup of noodles (290,12,6,7,39,3,1150) voiding the gluten free diet, the shrimp flavor with meat and veggies emptied. Then about 315 pm had a full serving or 8 pcs of Andes mints (200,13,12,2,22,2,20). at about 630 pm had 2 crunchy tacos (105.6, 4.62, 1.32, 1.32, 13.86, 1.32, 0) with 1 small avocado (322, 29, 4, 4, 17, 18, 14), paprika, and Jack cheese (200, 9, 9, 12, 1, 0, 340). A grapefruit (92, 0, 0, 2, 24, 2, 0) around 7 pm. Around 730 PM had 7 pcs of Andes chocolate mints (175, 11.4, 10.5, 1.75, 19.25, 1.75, 17.5). Went to bed around 930 pm.</t>
  </si>
  <si>
    <t>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upper abs 10 reps each side in 3 sets using rope extension curling down fwd at hips</t>
  </si>
  <si>
    <t>Parmesan Cheese 2 tbsp Winco brand</t>
  </si>
  <si>
    <t>green bell pepper</t>
  </si>
  <si>
    <t xml:space="preserve">Woke up at 6 am and slept most of the night sound asleep, had a couple of cups of coffee while making a red lentil penne pasta with beyond meat an orange bell pepper and a green bell pepper and a couple broccoli crowns with Del Monte brand 4 cheese pasta sauce. I drained the sauce after cooking it with the meat and veggies to use as a cup of soup later with avocado and 2 corn tortilla quesadillas. Cold outside in high 30 degrees. Had a sm BM after doing the dishes and putting away the food for later, but didn't eat breakfast yet by 8 am. Still shedding on Mensa day 4 but lighter or lightly. Around 815 am ate 2 corn tortilla jack cheese and paprika quesadillas with 1 cup Del Monte 4 cheese sauce as soup with 1/2 avocado. Put together an Rpubs Rmarkdown of the Research 2 on 21 days dieting/exercise/lipocavitation/waisttrimmer with basic linear modeling until readying workout, ate lunch a bowl of the penne pasta with other half of avocado and parmesan cheese, and an orange around 115 pm. Worked out at 2 pm until about 420 pm, no documentation with video. This is continuing research 2 but as a separate research omitting lipocavitation. Ate another bowl of pasta with jack cheese and parmesan cheese at about 5 pm then a grapefruit around 530 Pm and a pear at 6 pm. At about 6:40 pm had a couple of eggs boiled with salt and pepper and paprika. Bed time around 9 pm after watching Selena and Chef. Phone texting new client for couples around 9:45 pm, went to bed at 10 pm. </t>
  </si>
  <si>
    <t>UL_2knucklesBelowBellyButton</t>
  </si>
  <si>
    <t>BM</t>
  </si>
  <si>
    <t>Merlot Wine 5oz serving is about 61.5% of a cup</t>
  </si>
  <si>
    <t xml:space="preserve">(calories	fat_gram	saturatedFat_gram	protein_gram	carbs_grams	fiber_grams	sodium)
2 corn tortilla 
(tortillas 4:    200	2	0	4	42	4	40)
quesadillas with 1/2 cup Jack Cheese 
(150	6.75	6.75	9	0.75	0	255)
1 cup Del Monte 4 cheese pasta sauce from beyond meat brocc/redgreenpeppers drained earlier 
(Del Monte sauce: 60	1	0	2	12	2	420)
1/2 avocado in soup above 
(avocado 1/2: 161	14.5	2	2	8.5	6.5	7)
bowl of penne pasta with other 
(penne: 330	2.5	0.5	23	61	11	0)
(beyond:260	18	5	20	5	2	350)
(broccoli: 31	0.34	0.04	3	6	2	30.03)
(red bell pepper: 37	0	0	1	7	2	5)
(green bell pepper:40	0	0	1	10	3	0)
1/2 avocado 
(avocado 1/2: 161	14.5	2	2	8.5	6.5	7) and 
2 tbsp parmesan cheese ( 20	1.5	1	2	0	0	100) and 
1 orange (81	0	0	2	21	4	2)
bowl of penne pasta
(penne: 330	2.5	0.5	23	61	11	0)
(beyond:260	18	5	20	5	2	350)
(broccoli: 31	0.34	0.04	3	6	2	30.03)
(red bell pepper: 37	0	0	1	7	2	5)
(green bell pepper:40	0	0	1	10	3	0)
with 
parmesan cheese ( 20	1.5	1	2	0	0	100)
jack cheese 1/3 cup (100	4.5	4.5	6	0.5	0	170)
grapefruit (92	0	0	2	24	2	0)
pear  (57	0	0	0	15	3	1)
2 eggs boiled (140	10	3	12	0	0	140)
</t>
  </si>
  <si>
    <t>applesauce Aldis brand 1/2 cup serving</t>
  </si>
  <si>
    <t>applesauce Aldis brand 1  cup serving</t>
  </si>
  <si>
    <t>Merlot Wine bottle 750 mL 25 oz</t>
  </si>
  <si>
    <t>DaySinceMenstruationStarted</t>
  </si>
  <si>
    <t>cardioRounds</t>
  </si>
  <si>
    <t>cardioMinutesPerRound</t>
  </si>
  <si>
    <t xml:space="preserve">woke up at 5 am because alarm was still set for lipocavitation but not doing that now. Had a cup of coffee got ready for Norco college couple courses psychology 1 and Biology 18 genetics human, as prerequs for MSPA program at Western University and paid on credit card. Had another cup of coffee and a lg BM bw 1st and 2nd cup of coffee. then ate breakfast around 710 am.  Breakfast was a bowl of the penne pasta with beyond meat and brocc/peppers with parmesan cheese. At work had a slow day and no appointments until 12:15 pm. I had about 40 red grapes and a pear for a morning snack waiting around 10 am and then for lunch around 11 am I had 1 1/2 cups of roasted red pepper soup with 2 corn tortilla quesadillas with 1/2 cup Mozzarella cheese low skim, an orange, and an avocado with the soup and quesadillas. Went home after 2 1/2 hours of massages from new people, one scheduled and a late add with a history of a different person only at our location every visit, had COVID 5 wks ago and numerous health problems and antivaxer didn't want the wear mask over nose but had to bc of regulations to operate. Nice lady but odd having as a walk in for last appointment, tipped well though. Got home after going to Aldi's decided I want some wine and bought some as well as more of the same cruncy tacos, a block of their Jack cheese, 2 applesauce jars one cinnamon and one original to curve my sweet tooth cravings. Started a new measurement today of two knuckles below belly button BB to keep track of the fibroid hormonal related to size and bloat. It is the fifth or 5th day of shedding the uterine lining, spotty and almost done. This is when the uterus is free of the need to use estrogen receptor and progesterone receptor sites to bind and bloat belly. Still haven't posted the blog, but did the ML with linear regression and found the number of lipocavitation cumulative sessions does affect the waistline measurement that day and that the number of minutes of cardio the day before affect the weight scale measurements. Other ML measures and significant findings were produced, but want more relationships. Drank a glass of wine after taking measurements and half way through had a small BM. Had a bowl of pasta a half hour later, and a 1/2 cup of wine. then some potato chips and sour cream. Later some applesauce that got everywhere opening it due to a faulty cap. Finished the bottle of wine. Before the last cup and a half of wine had another sm BM. Then later around 830 PM had 2 corn tortilla quesadillas with low skim milk Mozzarella cheese and paprika with 1 cup of roasted red pepper tomato soup. Went to bed around 9:30 pm after a cup of the teavana beach bellini tea with tropical fruit flavors from Marshall's. </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</si>
  <si>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40 red grapes approx 2 cups
(208	0	0	2	54	2	6)
pear (57   0    0   0    15    3   1)
2 corn tortilla quesadillas 
4 tortillas Guerrero brand ((200 	2	0	4	42	4	40))
1/2 cup Mozzarella low skim cheese (160	   10	 7	12     	2    0	    380)
1 1/2 cups roasted red pepper soup Pacific brand 
(180	4.5	3	9	28.5	3	495)
1 avocado (322	29	4	4	17	18	14)
1 orange (81	0	0	2	21	4	2)
1 cup of Blackstone Merlot Aldi's purchase approximately 3/5 a cup is one serving or 62.5% of a cup (5/3) X 1 serving is:
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1 serving 1/2 cup Merlot Blackstone brand wine
handful or about 15 potato chips Dip Chips
(150 10 1.5 1 15 1 140)
2 tbsp sourcream Winco brand
(60	5	3.5	1	2	0	15)
applesauce Aldis original 1/2 cup serving but 1 cup
(200 0   0   0   50   4   0)
finished the last glass of wine, the bottle was 750 mL and that is approx 25 oz.
1 serving is 5 oz, that is 5 servings
(615	0	0	0	20	0	30)
2 corn tortilla Mozzarella quesadillas with paprika
4 corn tortillas: (200	2	0	4	42	4	40)
1/2 cup mozzarella cheese: (160	10	7	12	2	0	380)
1 cup roasted red pepper tomato soup: 
(120	3	2	6	19	2	330) 
</t>
  </si>
  <si>
    <t>tricep extension above head dumbells 25 lbs 3 sets 10-12 reps
hamstrings leg flexion laying prone 3 sets 10-12 reps 40 lbs	+5
calves 3 sets 12 reps 50 lbs total with dumbells
military press 3 sets 30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+10
standing abducturs 3 sets 10-12 reps 20 lbs
bench press 3 sets 8 reps barbell 75 lbs	+10 
squats 3 sets 10 reps barbell 45 lb + 40lbs added weight
leg lifts standing for abs, 3 sets 20 reps no added weight
dead lifts 3 sets 10-12 reps dumbells 50 lbs 
tricep extension rope standing 3 sets 25 lbs
upper abs 10 reps each side in 3 sets 25 lbs using rope extension curling at hips</t>
  </si>
  <si>
    <t>biceps +10, hamstrings +5, pectoralis major +10</t>
  </si>
  <si>
    <t>Woke up at 2 am dehydrated, drank 1/2 bottle of water, laid in bed until 430 am and got up restarted the dryer and cleaned dog messes as usual. Had a cup of ice and coffee, checked my waist and 2" below fibroid, 32 1/2" and 34" respectively. Had a small BM at 510 am and measured waist and fibroid belly and got 32 1/2" and 33 1/2" respectively.And reweighed self at 140.6 the same. Around 630 AM had the last bowl of penne pasta. Tired tried for a nap afterwards. Mensa is practically gone just light spotting and yesterday was spotty, day before light, medium, medium-heavy, light, spotty day it started. So I marked it as a mensa day. But tomorrow will likely be completely gone. Took a nap for two hours at 7 am until 9 am, but got about 1-1 1/2 hours sleep, then worked out, upped the cardio to 9 five minutes rounds for 45 minutes total. Little warmer today than yesterday, sweat with sweat suit shirt on and turtleneck. Still chilly to start. After working out had 2 corn tortilla quesadillas with low skim Mozzarella cheese and paprika, 2 eggs over medium in olive oil, 1 small avocado, a third cup of coffee, and a cup of applesauce. Probably not going to take a nap today again before work. After working out and eating lunch and taking off my 31" small waist trimmer, I measured the waist and fibroid waist and got 31" and 33" respectively before taking a shower. After work around 955 PM right after taking the waist trimmer off the waist was 31 and the fibroid waist was 33 1/2" before bed at 11 pm.</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</si>
  <si>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2 corn tortilla Mozz quesadillas
4 corn tortillas: (200	 2	0	4	42	4	40)
1/2 cup Mozzarella low skim cheese: (160	10	7	12	2	0	380)
2 eggs (140	10	3	12	0	0	140)
1 small avocado: (322	29	4	4	17	18	14)
1 cup applesauce: (200	0	0	0	50	4	0)
For lunch I packed
2/3 cup oats and honey Cascade Farms 
(270	7	1	6	46	3	55)
2 1/2 cups Chex cerel (300	2	0	6	66	4	560)
1 orange (81	0	0	2	21	4	2)
1 grapefruit (92	0	0	2	24	2	0)
1 corn tortilla quesadilla with mozzarella and paprika
2 corn tortilla (100	1	0	2	21	2	20)
1/4 cup mozzarella cheese (80	5	3.5	6	1	0	190)
1 cup of roasted red pepper tomato soup 
(120	3	2	6	19	2	330)
</t>
  </si>
  <si>
    <t>spaghetti squash 1 cup cooked</t>
  </si>
  <si>
    <t>small tomatoes 1 medium tomato</t>
  </si>
  <si>
    <t>walnuts 7 whole or 1 oz</t>
  </si>
  <si>
    <t>Monterey Jack Cheese Aldis block serving 1 oz</t>
  </si>
  <si>
    <t>Fri</t>
  </si>
  <si>
    <t>quads/hips +10</t>
  </si>
  <si>
    <t>tricep extension above head dumbells 25 lbs 3 sets 10-12 reps
hamstrings leg flexion laying prone 3 sets 10-12 reps 40 lbs	
calves 3 sets 12 reps 50 lbs total with dumbells
military press 3 sets 40 lb dumbells +10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standing abducturs 3 sets 10-12 reps 20 lbs
bench press 3 sets 8 reps barbell 75 lbs	
squats 3 sets 10 reps barbell 45 lb + 50lbs added weight +10
leg lifts standing for abs, 3 sets 20 reps no added weight
dead lifts 3 sets 10-12 reps dumbells 50 lbs 
tricep extension rope standing 3 sets 25 lbs
upper abs 10 reps each side in 3 sets 25 lbs using rope extension curling at hips</t>
  </si>
  <si>
    <t>11 .25</t>
  </si>
  <si>
    <t>1 small avocado (322	29	4	4	17	18	14)
2 corn tortill mozzarella cheese quesadillas
4 corn tortillas (200	2	0	4	42	4	40)
1/2 cup mozzarella cheese (160	10	7	12	2	0	380)
1/2 bowl of the spaghetti squash with tomatoes and jack cheese and herbs
spaghetti squash (42	0.4	0	1	10	2.2	412)
jack cheese (block pieces approx 1/4 cup)
(100	8	5	7	0	0	170)
5 small organic tomatoes (22.1	0.2	0	1.1	4.8	1.5	6.2)
herbs like sage, thyme, basil, and dill all fresh
1/4 cup of walnuts (190	18	1.5	4	4	2	0)
1/2 cup of chex (150	1	0	3	33	2	280)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t>
  </si>
  <si>
    <t xml:space="preserve">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orange (81	0	0	2	21	4	2)
grapefruit (92	0	0	2	24	2	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1 serving 2 tbsp (20	1.5	1	2	0	0	100)
mango (107	0	0	1	28	3	3)
</t>
  </si>
  <si>
    <t>Woke up at 4:45 went pee, had to pee frequently between 9 pm and 11 pm from water circulating through during my workout that ended two hours before bed time. Stayed in bed till 6 am. Had a cup of coffee. Took measurements. Weight said 139.4 and set aside the digital scale after a few minutes said 141.4, I redid the measurement and it said 139.4, so I kept that measurement. I have a couples massage in Corona after work I get out at 3 pm. Belly button is starting to stick out a bit but not as much as closer to menstruation. Liquid discharge at night its been a week since uterine lining shedding and a few days since it stopped shedding. There's some days there are some light liquid discharge at night. Had a lg BM by 2nd cup of coffee. For breakfast around 730 am had a bowl of pasta made last night with parmesan cheese. At work for lunch had a bowl of the pasta around 12 pm a 3rd cup of coffee and a grapefruit and an orange. For dinner when arriving back from work around 345 pm had a bowl of the same pasta with bluecheese and parmesan cheese. Have a couples massage 90 minutes each new clients at 6 pm local about 15 minutes from home and new clients filled out consent and is a surprise for the husband, but he needs his filled out. Had a mango around 420 pm and it was ripe and sweet, not tart, kept them out instead of in the fridge. The fruit is just firm and able to be squeezed a bit and doesn't fill solid with no squeeze room or too juicy. Perfect mango. Went to massage appointments at 5:30 pm only 9 minutes or 3.7 miles away. Nice couple one is a PT other an accountant young. Got home, laundry, notes, receipt, etc. Didn't eat anything. Tired. Went to bed at 10:30 pm.</t>
  </si>
  <si>
    <t>2 eggs over medium (140	10	3	12	0	0	140)
1 small avocado (322	29	4	4	17	18	14)
2 corn tortill mozzarella cheese quesadillas
4 corn tortillas (200	2	0	4	42	4	40)
1/2 cup mozzarella cheese (160	10	7	12	2	0	380)
2 oranges (162	0	0	4	42	8	4)
1 grapefruit (92	0	0	2	24	2	0)
1 1/2 cups chex cereal
(150   1	 0	3	32	2	280)
2 cups roasted pepper tomato soup Pacific brand
(240	6	4	12	38	4	660)
spaghetti squash (42	0.4	0	1	10	2.2	412)
jack cheese (block pieces approx 1/4 cup)
(100	8	5	7	0	0	170)
5 small organic tomatoes (22.1	0.2	0	1.1	4.8	1.5	6.2)
herbs like sage, thyme, basil, and dill all fresh
1/4 cup of walnuts (190	  18	1.5	4	4	2	0)
1 cup of applesauce (200	0	0	0	50	4	0)
1 tea bag of Teavana Beach bellisimo tea from Marshall's bought a few days ago 
(5    0    0    0    1    0    0)
1/2 cup chex (75   0.5	 0	1.5	16	1	140)</t>
  </si>
  <si>
    <t>Woke up at 4 am but had a 1/2 hour nap between laying back down after restarting the dryer and cleaning dog messes until 530 am. Had a cup of coffee while measuring my waist and fibroid. The waist is 32 1/2" and fibroid 33 1/2-34" depending on how tight I pull the tape measure. Weight was the same as last night before bed. My belly button is goind inward instead of sticking out and it hurts a little inside around the belly button. Had a BM while drinking 1st cup of coffee. Then another small BM before breakfast , and another small one before my shower. For breakfast I had a small avocado that I scraped black stuff from with 2 corn tortill mozzarella and paprika quesadillas. Maybe the herbs and spaghetti squash or maybe the teavana beach bellisimo tea I had last night an hour before bed time made me have more BMs not sure. But 3 BMs before work. Full schedule at work until 2 pm, went to Winco after work and was going to buy the supplies and get a money order at Wal mart but they aren't a one stop shop because it irritated me that I had to get assistance to buy disposable razors. I asked two workers busy putting stuff away, one told me to push the button, I didn't see the button, the other showed me where when she went by also obviously more worried about putting away their stock supplies. I pushed the button and waited 2 minutes after seeing the time. I give up on Wal-mart. I am seriously done with them. Even Winco doesn't lock up disposable razors like their employees' time is worthless and their consumers' time is also worthless. Not a motto I can be happy making any purchases with given that there are better options that don't make me feel like my time is worthless. Wasted 1/2 hour of my hour break there before concluding I will never shop there and for lunch when I got back I ate about a 1/2 cup of chex and a bowl of the spaghetti squash with tomatoes and jack cheese and herbs made last night. I brought a grapefruit but didn't eat it. I also had my 3rd cup of coffee on my lunch break before Wal-Mart. When I went to Winco got my supplies more than normal paper towels because of the rains and pups peeing and crapping all over the floors instead of outside. Made the spaghetti squash from last night into a beyond meat Del Monte 4 cheese pasta sauce with 2 packages of gluten free barilla spaghetti. Turned out great. They all taste the same. Pre packaged it into 6 to go containers of about 2 cups each container with about the same amount of pasta and sauce fillings. I worked out after eating a bowl with parmesan cheese for 12 - 3 minute rounds of kickboxing then the full workout of 18 exercises not following the list. Only increased the quads with squats and pectoralis major in military pressby 10 pounds to 95 pounds instead of 85 pounds and kept the increased weight on the other exercises from the other day. Weighed myself after my workout and was 144 on the dot. Only drank 2 bottles of water and sweat some but not a lot, kind of chilly out but not the coldest. Took my measurements after working out about an hour after and my arms are 11.25" relaxed but 12" flexed with the muscle. waist 31" and fibroid 33 1/2" an hour after taking off waist trimmer, 22 1/2" on thighs around thighs when knee up to 90 degrees, slightly more to 23" when just standing. I added another row for these new measurements at the end of the day. Went to bed around 9:30 PM</t>
  </si>
  <si>
    <t>Woke up at 530 am and lied in bed until 630 am. Had a cup of coffee and lg BM. Took waist measurements around belly button and fibroid for 31 1/2" around waist and 33" around fibroid. Rained last night all night the roommate says. Wet outside. Ate breakfast 2 eggs, 1 avocado, 2 quesadillas, went to work, had an orange before work, then for lunch had another orange, a grapefruit, a cup and a half of Chex cerel and 2 cups of roasted red pepper tomato soup. Then after work wanted a spaghetti squash from looking at recipes on the ipad at work, got sage, thyme, basil, dill fresh herbs, a bag of walnuts, and a pkg of 8 small round tomatoes a quarter the size of a regular sized tomato organic too. Baked the squash and tomatoes with some block pieces of jack cheese from Aldis bought the other day and the herbs and olive oil. Watched a move The Little Things on HBO Max. No workout today. Rained today and wet and cold outside. Ate 1/2 cup of chex while watching movie, kind of lame movie BTW. Did laundry before bed. Had a lg BM before bed. That's out of the ordinary because not on my rag and not drinking today. Possibly the herbs and spaghetti squash I never had before that I ate earlier. Measured my waist and fibroid and got 32 1/2" and 34" respectively. Got some books and charts that were ordered to prepare for premed courses, but not happy with the $10 anatomy/physiology coloring book as it is super basic. Went to bed around 9:30 pm.</t>
  </si>
  <si>
    <t>tricep extension above head dumbells 25 lbs 3 sets 10-12 reps
hamstrings leg flexion laying prone 3 sets 10-12 reps 40 lbs	
calves 3 sets 12 reps 50 lbs total with dumbells
military press 3 sets 40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10 reps 25 lbs
biceps curls 40 lbs 3 sets 8 reps 
standing abducturs 3 sets 10-12 reps 20 lbs
bench press 3 sets 8 reps barbell 75 lbs	
squats 3 sets 10 reps barbell 45 lb + 50lbs added weight 
leg lifts standing for abs, 3 sets 20 reps no added weight
dead lifts 3 sets 10-12 reps dumbells 50 lbs 
tricep extension rope standing 3 sets 25 lbs
upper abs 10 reps each side in 3 sets 20 lbs using rope extension curling at hips -5
lower abs with cable 20lbs leg lifts each side +20</t>
  </si>
  <si>
    <t>upr abs cable -5</t>
  </si>
  <si>
    <t>lwr abs cable +20</t>
  </si>
  <si>
    <t xml:space="preserve">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t>
  </si>
  <si>
    <t>blue cheese crumbles Treasure Cave brand Winco 1/4 cup serving sz</t>
  </si>
  <si>
    <t xml:space="preserve">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2 corn tortilla quesadillas with mozz/bluech/cinn/paprk
4 corn tortillas (200	2	0	4	42	4	40)
1/2 cup mozzarella cheese (160	 10	7	12	2	0	380)
1/4 cup blue cheese crumbles (100	8	4.5	5	2	0	360)
</t>
  </si>
  <si>
    <t>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Went to bed around 845 pm to 9pm and didn't have problems sleeping</t>
  </si>
  <si>
    <t>Krusteaz blueberry muffins, 2 muffins, 12 per box</t>
  </si>
  <si>
    <t>Krusteaz blueberry muffins, 12 muffins, 12 per box, used 3 eggs, 3/4 cup sour cream, 1/4 cup cinnamon applesauce, and coconut oil instead of butter 1/3-1/4 cup</t>
  </si>
  <si>
    <t>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orange (81	0	0	2	21	4	2)
Blueberry gluten free muffins the box by end of day with about 6 tablespoons of sourcream and 1/4 cup applesauce instead of milk and coconut oil instead of butter. The Krusteaz brand. 
That is 12 muffins, that called for 3 eggs as well.
	(1440	12	0	12	324	6	2940)
3 eggs 	(210	15	4.5	18	0	0	210)
3/4 cup sourcream (180	 15	10.5	3	6	0	45)
1/4 cup cinnamon applesauce (100	0	0	0	25	2	0)
2 corn tortilla quesadillas with mozz/bluech/cinn/paprk
4 corn tortillas (200	2	0	4	42	4	40)
1/2 cup mozzarella cheese (160	 10	7	12	2	0	380)
1/4 cup blue cheese crumbles (100	8	4.5	5	2	0	360)
orange (81	0	0	2	21	4	2)</t>
  </si>
  <si>
    <t>bluecheese Emporium Selection Brand, serving size 1 oz or 28 g, 5 per container</t>
  </si>
  <si>
    <t>Woke up at 5 am with enough sleep and laid in bed till about 530 am. Went to bed tired last night before 9 pm. Didn't have to get up to pee while asleep surprisingly. Had a cup of coffee and took measurements while drinking it. Had a BM after 1st cup of coffee and while drinking 2nd cup. Ate breakfast around 745 am, the last bowl of the pasta made a few days ago with bluecheese and parmesan cheese and a mango. Then made Krusteaz gluten free muffins with a substitution of coconut oil for butter, and 1/3 cup sourcream and 1/4 cup cinnamon applesauce for the 3/4 cup milk. And added 1/4 cup fresh blueberries organic to the canned blueberries.  ate 2 muffins, then 2 more 10 minutes after that, an orange, and had a break then 2 more, went to the bookstore to get one text book that came in and had 2 more muffins and 2 corn tortilla mozzarella cheese with blue cheese quesadillas and added cinnamon and paprika to one of them because I forgot the first one. Definitely tastes better with the spices, tangy. Began reading my intro to chemistry CHE-2A back in 2013 notes upon returning from book store and realized it is a good idea to finish reading up on those notes. Almost forgot all of it, but its coming back to me. My notes were terrible BTW bc of the fast writing while in lectures. I plan on eating the whole tin or 12 muffins. The roommate continues to do nothing but bitch about his shit not working and I seriously don't think he ever does anything but bitch, scream, cuss, and complain from minute 0 he awakes until he comes back from work the next morning. Nothing but bitching about shit that isn't that serious. So annoying. Working on the 12th muffin now its 6 pm. No workout today. Started watching some UK show, 'The Sister' on Hulu. Not difficult to turn off. Tried Bridgerton, didn't get into it by mid 1st episode. I can put the entire nutrition value on the daily calories consumed for the muffins. Didn't make any pasta today. I am counting this as processed sweet of a 0 in dieting. Had an orange at 7 pm. Went to bed around 9 pm after washing the pups' blankets in 2 loads.</t>
  </si>
  <si>
    <t xml:space="preserve">tricep extension above head dumbells 25 lbs 3 sets 10-12 reps
hamstrings leg flexion laying prone 3 sets 6-8 reps 45 lbs	+5
calves 3 sets 12 reps 50 lbs total with dumbells
military press 3 sets 40 lb dumbells 
upper trapezius shoulder shrugs 50 lbs dumbells 3 sets 10-12 reps
quads with leg extensions sitting 3 sets 8-10 reps 45 lbs	+5
shoulder lifts medial/posterior deltoids/latts 3 sets 6-8 reps 15 lbs	+5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+5
lower abs with cable 25 lbs leg lifts each side 	+5
tricep chair dips 3 sets 12 reps no added weight
standing adductors 3 sets 6-8 reps 25 lbs	+5
rhomboids scapula abduction 3 sets 10 reps 25 lbs
biceps curls 40 lbs 3 sets 8 reps 
standing abducturs 3 sets 6-8 reps 25 lbs	+5
bench press 3 sets 8 reps barbell 75 lbs	
</t>
  </si>
  <si>
    <t>hamstrings +5, quads +5, shoulders +5, inner thigh +5, outer thigh +5, upper abs +5, lower abs +5</t>
  </si>
  <si>
    <t xml:space="preserve">Woke up at 530 am by alarm and slept all the way through without any problems, had a cup of coffee and a BM when drinking the cup of coffee. Took my measurements. Posted a new blog on my findings from the 21 days Research on lipocavitation, exercise, and dieting by 715 am. Had my 2nd cup of coffee while doing so. Also had a 2nd BM between the earlier one and finishing the blog. Made 2 corn tortilla and mozzarella with blue cheese (new from Aldis-Emporium Selection brand) and paprika and cinnamon quesadillas but only ate 1/2 a quesadilla as I saved the other 1 1/2 for work. I ate a mango while waiting for them to cook. Went to work, Ate the 1 1/2 quesadillas on my lunch break and an orange and a small avocado with 1 cruncy taco from Aldi's and 5-6 walnuts and a 3rd cup of coffee. Did a workplace harassment hour long video and left. Worked out at 500 PM did 15 3-minute rounds free style and the normal 20 exercises now of weight training with some weight increases. Had terrible heart burn or vomit type acid reflux, getting stuck in my throat, made it burn like stomach acid burn. Was wearing my 31" waist trimmer like all workouts. Weighed my self at 750 PM about 45 minutes after working out and weighed 144.8 lbs. Drank only a bottle and a half or less during my workout. Sweat some but the acid reflux was terrible. My hair didn't get in the way due to the two braids and a hair scarf. Spoke with a Linked In contact recently made recruiting for office 365 fastrack for a data analyst/scientist with NLP experience and the cloud with Azure experience in ML and DL tools for ML and DL and chatbots. Sounds interesting. Seattle based, but remote. Not that hungry, probably because of the acid reflux and workout with different arrangement of 45 minutes of cardio. Suppressed my appetite for a while. Will check back. It is now 8 pm. Had a couple cage free organic eggs with orange yolk fried the usual style in olive oil or over medium with 1 corn tortilla and mozzarella and paprika quesadilla. Acid reflux still there. Tired, going to bed probably by 930 pm it is 910 pm now. </t>
  </si>
  <si>
    <t>2 corn tortilla quesadillas
4 corn tortillas Guerrero (200	  2	0	4	42	4	40)
1/2 cup mozzarella cheese (160	10	7	12	2	0	380)
2 servings blue cheese Emporium Selection brand 
(200	16	9	10	4	2	720)
1 orange (81	0	0	2	21	4	2)
1 small avocado (322	29	4	4	17	18	14)
1 crunchy taco Aldi's brand (52.8	2.31	0.66	0.66	6.93	0.66	0)
1 serving walnuts (190	18	1.5	4	4	2	0)
2 organic cage free eggs (140	10	3	12	0	0	140)
1 corn tortilla quesadilla
2 corn tortillas (100	1	0	2	21	2	20)
1/4 cup mozzarella cheese (80	5	3.5	6	1	0	190)</t>
  </si>
  <si>
    <t xml:space="preserve">Simply Nature Tomato soup 1 cup </t>
  </si>
  <si>
    <t xml:space="preserve">Woke up at 4 am and lied in bed until 430 am, then got up, had a cup of coffee after cleaning up the pet messes. Already out of 2 6 pack of cheap paper towels bought Sunday. Have 2 1/2 rolls left. They make a lot of messes. Also took apart the basil herb plant as many were dead. Didn't have a BM after 2 cups of coffee, had warm water with tiny bit of instant coffee, but had a BM before drinking it. Reviewed chemistry 2A and realized I forgot a great deal of it. Plan for doing a few hours of that review before 9 am. It's 6 am now. For breakfast around 9 am had 2 scrambled eggs with 2 corn tortilla and mozzarella with paprika quesadillas and 1 1/2 cups of cinnamon applesauce. Reviewed the intro chemistry took a little nap around 10 am for about 15-20 minutes, then reviewed some more and ate a cup of blueberries organic, and later showered and had lunch at 12 and 1230. Two quesadillas corn tortillas with blue cheese and mozzarella cinnamon and paprika and 1/2 can or 1 cup of tomato soup from the Aldi's Simply Nature brand and my 3rd cup of coffee at home with instant coffee instead of at work. At work, before work went to the Aldis across the street and got 2 bags of oranges a bag of grapefruits and a stack of bananas not yet rip still green. I was early and ate a grapefruit, orange, and banana before work. For dinner had 3 crunchy tacos, with 1 small avocado and mozzarella cheese, 1 cup of Chex to snack on and two oranges. </t>
  </si>
  <si>
    <t xml:space="preserve">2 corn tortilla quesadillas
4 corn tortillas Guerrero (200	  2	0	4	42	4	40)
1/2 cup mozzarella cheese (160	10	7	12	2	0	380)
2 organic cage free eggs scrambled (140	10	3	12	0	0	140)
1 1/2 cups cinnamon applesauce (300	0	0	0	75	6	0)
1 cup blueberries (42	0	0	1	13	2	1)
2 corn tortilla quesadillas
4 corn tortillas Guerrero (200	  2	0	4	42	4	40)
1/2 cup mozzarella cheese (160	10	7	12	2	0	380)
bluecheese (100	8	4.5	5	2	0	360)
1 cup tomato soup Simply Nature (130	3	0	3	23	2	620)
3 oranges (243	0	0	6	63	12	6)
1 grapefruit (92	0	0	2	24	2	0)
1 banana not ripe yet (105	0	0	1	27	3	1)
1 cup Chex  (150	1	0	3	33	2	280)
3 crunchy tacos (160	7	2	2	21	2	0)
1/2 cup mozzarella cheese (160	10	7	12	2	0	380)
1 small avocado (322	29	4	4	17	18	14)
</t>
  </si>
  <si>
    <t>Woke up at 5 am and stayed in bed till the roommate got back at 530 am then laid in bed until 6 am. Had my cup of coffee ready by 615 am and took measurements then had a lg BM. Balanced check book, wrote notes for massage appointments today after work, had my 2nd cup of coffee, then paid my personal and commercial vehicle payments after checking to see my work pay was direct deposited. Then had anoter reg. sz BM. For breakfast had the other 1/2 a can of tomato soup from yesterday is 1 cup, and 2 corn tortilla mozz paprk cinn bluech quesadillas. For lunch had a banana, 2 oranges, a pear, 3/4 avocado because the other 1/4 was scraped off and black, with 1/4 cup butternut squash soup and 2 crunchy tacos broken up into the mix of soup and avocado, tasted like guacomole with a sweet edge. After work had the same two quesadillas with corn tortillas mozz cinn bleuch paprk and about 3/4 cup of the butternut squash soup. Got back from private clients and got great reviews from one on Yelp and Google. Awesome! Then another called for this weekend. Yay. Did the laundry and SOAP notes and office work then had a cup of butternut squash soup before bed around 1045 pm.</t>
  </si>
  <si>
    <t>Avocado_3/4</t>
  </si>
  <si>
    <t>Sliced Muenster Cheese AldisHappy Farms Brand 1 slice serving</t>
  </si>
  <si>
    <t>Sliced Mozzarella Cheese Aldis Happy Farms Brand 1 slice serving</t>
  </si>
  <si>
    <t>2 corn tortilla quesadillas
4 corn tortillas Guerrero (200	  2	0	4	42	4	40)
1/2 cup mozzarella cheese (160	10	7	12	2	0	380)
bluecheese (100	8	4.5	5	2	0	360)
1 cup tomato soup Simply Nature (130	3	0	3	23	2	620)
2 oranges (162	0	0	4	42	8	4)
1 banana not ripe yet (105	0	0	1	27	3	1)
1 pear (57	0	0	0	15	3	1)
2 crunchy tacos (107	4.7	1.3 	1.3	14	1.3	0)
3/4 small avocado (241.5	21.75	3	3	12.75	13.5	10.5)
1/4 cup butternut squash soup 
3/4 cup butternut squash soup 
total 1 cup butternut squash soup (90	2	2	3	18	4	500)
2 corn tortilla quesadillas
4 corn tortillas Guerrero (200	  2	0	4	42	4	40)
1/2 cup mozzarella cheese (160	10	7	12	2	0	380)
bluecheese (100	8	4.5	5	2	0	360)
1 cup butternut squash soup (90	2	2	3	18	4	500)
1 corn tortilla (50	1	0	1	11	1	10)
1 slice Mozzarella cheese (60	4	2.5	5	1	0	140)</t>
  </si>
  <si>
    <t xml:space="preserve">tricep chair dips 3 sets 12 reps no added weight
standing adductors 3 sets 6-8 reps 25 lbs	
rhomboids scapula abduction 3 sets 10 reps 25 lbs
biceps curls 40 lbs 3 sets 8 reps 
standing abducturs 3 sets 6-8 reps 25 lbs	
bench press 3 sets 8 reps barbell 75 lbs	
tricep extension above head dumbells 25 lbs 3 sets 10-12 reps
hamstrings leg flexion laying prone 3 sets 6-8 reps 45 lbs	
calves 3 sets 12 reps 50 lbs total with dumbells
upper trapezius shoulder shrugs 50 lbs dumbells 3 sets 10-12 reps
quads with leg extensions sitting 3 sets 8-10 reps 45 lbs	
shoulder lifts medial/posterior deltoids/latts 3 sets 6-8 reps 15 lbs	
military press 3 sets 40 lb dumbells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t>
  </si>
  <si>
    <t>Rotini Red Fennel gluten free Barilla pasta,3.5 oz</t>
  </si>
  <si>
    <t>arugala, serving 30g</t>
  </si>
  <si>
    <t xml:space="preserve">3 1/2 corn tortilla quesadillas
7 corn tortillas Guerrero (350	  3.5	0	7	73.5	7	70)
3 slices Aldis mozzarella cheese (180	12	7.5	15	3	0	420)
1 slice Aldis Meunster cheese (80	6	4	5	0	0	130)
bluecheese (100	8	4.5	5	2	0	360)
1 grapefruit (92	0	0	2	24	2	0)
1 avocado (322	29	4	4	17	18	14)
2 oranges (162	0	0	4	42	8	4)
1 crunchy taco (53.5	2.35	1 	1	7	1	0)
2 organic cage free eggs boiled (140	10	3	12	0	0	140)
pasta rotini with beyond meat, broccoli, green bell peppers and red bell peppers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blueberries (42	0	0	1	13	2	1)
</t>
  </si>
  <si>
    <t>Woke up at 4 am because my dog Goody barked at Growly, laid in bed till 5 am trying to sleep, then got up. Had a cup of coffee, but spilled the first one wasted on the counter and had to clean it up, then while drinking the first cup of coffee folded the laundry and then had a BM after some paper work and preparing for a weekend scheduling after work for a client. I thought this weekend was a holiday but not for a few weeks on Washington Day and President's Day before that, but it is super bowl weekend. Have an appointment at 5 pm on Super Bowl Sunday. Took my measurements. Plan on working out tonight with 45 minutes of cardio and the 20 exercises for weight training. Last time I had really bad acid reflux while working out after eating, so I won't eat before working out today and see if it changes. Made 3 1/2 the last of the tortillas as quesadillas with 3 slices of Mozzarella and 1 slice of Muenster Aldi brand cheeses paprika bleucheese and cinnamon, and boiled 2 organic cage free eggs for work while getting ready for work. At lunch I ate the above plus 2 oranges, a grapefruit, 1 cruncy taco with 1 small avocado. I got home and worked out at 3:15 pm. It was warm out in the high 70s and the sun set after I finished the cardio 9-5 minute rounds totalling 45 minutes and weight lifting. I didn't eat anything before and still got some slight acid reflux. It must be the water while drinking and working out. It wasn't as bad as last time, but my headband scarf kept blocking my eyes by falling down. Hair didn't get in my face. I made pasta, rotini red fennel Barilla brand, with 2 cans of Del Monte 4 cheese pasta sauce, 1 package of beyond meat, 1 broccoli crown, 2 green bell peppers and a red bell pepper. Came out like soup but good. They all taste the same, was going to drain out the extra liquid but just kept it. I had a bowl of the pasta with parmesan cheese shortly after the pasta was done around 630 pm and shared a tiny bowl each with the pups, not with the meow meow. I also because she wouldn't like it. They loved it. Going to take measures before bed to show after the workouts. I also had a cup of blueberries after my pasta around 7 pm. Talked to mom from 7:30-8:30 pm, just discussing our lives. Bed time around 9:20 pm.</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</si>
  <si>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2 oranges (162	0	0	4	42	8	4)
1 small avocado (322	29	4	4	17	18	14)
1 grapefruit (92	0	0	2	24	2	0)
1 1/2 cups cinnamon applesauce (300	0	0	0	75	6	0)
1/2 cup of blueberries (42	0	0	1	13	2	1)
1 small banana (105	0	0	1	27	3	1)
bowl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t>
  </si>
  <si>
    <t>Woke up at 5:15 am got out of bed at 5:45 am, made my cup of coffee and fed the pups and cat, took my measurements around 6:10 am, had a BM and read some intro chemistry for review. I have a private client tonight that I haven't seen since Sep/Oct that likes deep tissue and had a pinched nerve in shoulder last time. Tomorrow I start my new schedule for Monday nights instead of Thursday night. I got a new couple, daughter and mom, referred from last daughter and mom couple the other day this Saturday. Looking forward to the business. Around 7:15 am had a bowl of pasta made last night with parmesan cheese. Then a banana. Another BM. Then got ready for work. Getting ready for work on time, going to wash hair today. Super bowl later, but I never really watch it and will be massaging a female client. At lunch had a bowl of the rotini pasta with parmesan cheese and 1 small avocado, an orange for breakfast and for lunch, and a grapefruit and the 3rd cup of coffee. At home after work and before my private client at 5 pm but at right before 4 pm had 1 1/2 cups approximately of cinnamon applesauce and about 1/2 cup of blueberries the last of the box. Had a small banana 20 minutes later, went to the client's, started late, complex apartment complex and parking. Ended at 7 pm, went to Aldi's got some apples, avocados, broccoli, Priano pasta sauce, corn tortillas Romeros brand, provolone sliced cheese happy farms brand. Got home around 730 pm and ate a bowl of rotini pasta around 8 pm with parmesan cheese. Sent client SOAP notes and receipt around 9 pm, put laundry in dryer, then went to bed around 9:30 PM</t>
  </si>
  <si>
    <t>1 cup of spaghetti squash 2 cups, walnuts 4 servings, red &amp; green bell pepper, olive oil 4 tbsp, made about 4 cups as a medley</t>
  </si>
  <si>
    <t>1 cup of beyond meat (1 1/2 cups) and butternut squash soup (3 cups) with Dill</t>
  </si>
  <si>
    <t>beyondMeat-soy/gluten free-serving 4oz, 4 servings per pkg</t>
  </si>
  <si>
    <t>yams</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</si>
  <si>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4 Andes Chocolate mints (100	7	6	1	11	1	10)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spaghetti squash/walnuts/sage/red and green bell peppers
(350.25	32.2	3.5	5	13.25	4.35	207.25)
1 cup of beyond meat in butternut squash soup with Dill
(132.5	6	2.75	7.25	14.75	3.5	462.5)
1/3 cup yams (118	0	0	2	28	4	9)
13 Andes mints (325	21.125	19.5	3.25	35.75	3.25	32.5)
2 oranges (81	0	0	2	21	4	2)
1 grapefruit (92	0	0	2	24	2	0)
1 banana (105	0	0	1	27	3	1)
1 cup of spaghetti squash/walnuts/sage/red and green bell peppers
(350.25	32.2	3.5	5	13.25	4.35	207.25)
1 cup of beyond meat in butternut squash soup with Dill
(132.5	6	2.75	7.25	14.75	3.5	462.5)
1/3 cup yams (118	0	0	2	28	4	9)
</t>
  </si>
  <si>
    <t xml:space="preserve">Woke up at 4:30 am, peed, went back to sleep and woke up by alarm at 630 am. Had a small solid BM instead of the usual vegetarian consistency of a snaked smoothie frosting or similar (which makes me wonder if its the rotini pasta or beyond meat because nothing new has been digested in my diet than the normal pasta and fruit and veggies, could be the sliced cheese the other day from Aldis for the quesadillas instead of shredded cheese) while drinking 1st cup of coffee and after folding laundry and putting it away from last night. Started a jotform contract to let my nieces share use of the Dodge Charger while I sell it. And saw messages that my older sister is thinking about going to TX to get Mom because she is done with her loser husband of 30+ years for not sharing the stimulus checks, lying about it, and lying about getting her marriage certificate so that she can get an ID and a job and fix her teeth. Weighed myself at 7 am and weigh 142 pounds. Took measurements at 810 AM and kept weight measurement from earlier. Ate a  bowl of pasta at 815 am and showered afterwards. Going to get my textbook when they open at 9 am. Had 1/2 a small banana it was bruised and came apart when peeled before showering. Picked up my book and went to Winco, got some new sopa corn tortilla shells to try, sour cream, beyond meat, and other items. When I got home around 11 am, I made spaghetti squash and yams, in the spaghetti squash put about 3/4 cup of what was left of the fresh sage with about 1 cup of walnuts and one red bell pepper and 1 green bell pepper chopped inside each spaghetti squash with about 3 tbls olive oil each and baked covered in aluminum foil top filling only for 400 degrees for 40 minutes. The squash could have used a few minutes more but was able to be scraped to look like noodles and the yams were tender and sweet. The beyond meat was low medium simmered in 3 cups of the remaining butternut squash soup with about 3 branches in the package of fresh Dill with the leaves only and not the thin branches for about 30 minutes until the beyond meat was done. That turned out sweet and savory almost like a Thai or Indian dish. Packed a bowl with about a cup of the spaghetti noodles and a cup of the beyond meat butternut squash medley and about 1/3 cup of the yams, ate some of it after eating the rest of the rotini pasta in 1 bowl with parmesan cheese. I had my 3rd cup of instant coffee at this time. I also washed the car and vacuumed the Dodge Charger before picking up my textbook and ate 4 of the chocolate Andes mints when unloading the groceries that I found in the car in the package of mints I forgot about. I opened the box of my text book and it is a loose leaf binder textbook siran wrapped, I will have to get a 2" binder for it. When I went to work I stopped off at Staples and got a couple pens with pastel ink and four color options with a 2" binder then went to work. Had 2 Andes mints before work but after eating  an orange then a grapefruit, on break had 2 more Andes mints to start, but in total had 13 Andes chocolate mints since leaving the house or the rest of the package. I also ate the bowl of the spaghetti squash and beyond meat made earlier with yams. Too much sage, I tasted it in the peppers and squash. I put the whole package of sage practically in the squash when cooking them. I also had a banana and another orange. Went to bed around 1130 PM. Had to check some stuff for paperless billing and email camtc about sending my certificate somewhere else because the postal guy keeps throwing our mail on the lawn by a heavy foot traffic area and I have complained to Kristen at USPS locally about it. The dude is a complete loser asshole. </t>
  </si>
  <si>
    <t>sodiumDailyIntake_mg</t>
  </si>
  <si>
    <t>fat_Calories_ratio</t>
  </si>
  <si>
    <t>saturatedFat_Calories_ratio</t>
  </si>
  <si>
    <t>protein_Calories_ratio</t>
  </si>
  <si>
    <t>carbs_Calories_ratio</t>
  </si>
  <si>
    <t>fiber_Calories_ratio</t>
  </si>
  <si>
    <t>sodim_Calories_ratio</t>
  </si>
  <si>
    <t>sopa El Comal brand 1 serving is 1 sopa</t>
  </si>
  <si>
    <t>sourcream_2tbls Daisy brand</t>
  </si>
  <si>
    <t xml:space="preserve">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standing abducturs outer thighs 3 sets 6-8 reps 25 lbs	
standing adductors inner thighs 3 sets 6-8 reps 25 lbs	
tricep extension above head dumbells 25 lbs 3 sets 10-12 reps
calves 3 sets 12 reps 50 lbs total with dumbells
upper trapezius shoulder shrugs 50 lbs dumbells 3 sets 10-12 reps
shoulder lifts medial/posterior deltoids/latts 3 sets 6-8 reps 10 lbs	-5
military press 3 sets 40 lb dumbells 
obliques side extensions 3 sets 12 reps 25 lbs
rhomboids scapula abduction 3 sets 10 reps 25 lbs
biceps curls 40 lbs 3 sets 8 reps 
bench press 2 sets 8 reps barbell 75 lbs (1 set 1st 85, 6 reps)	+10
hamstrings leg flexion laying prone 3 sets 6-8 reps 45 lbs	
tricep chair dips 3 sets 12 reps no added weight
quads with leg extensions sitting 3 sets 8-10 reps 45 lbs	</t>
  </si>
  <si>
    <t>2 eggs (140	10	3	12	0	0	140)
1 small avocado 3/4 the size of large avocado
(241.5	21.75	3	3	12.75	13.5	10.5)
1 banana (105	0	0	1	27	3	1)
1 grapefruit (92	0	0	2	24	2	0)
1 orange (81	0	0	2	21	4	2)
1/8 of 1 sopa El Comal brand (100	1	0	2	21	2	60)
1 cup butternut squash beyond meat medley
(132.5	6	2.75	7.25	14.75	3.5	462.5)
1 small avocado 3/4 size of 1 avocado 
(241.5	21.75	3	3	12.75	13.5	10.5)
2 tbs sourcream Daisey brand (60	5	3.5	1	0	1	15)
1 cup butternut squash beyond 
(132.5	6	2.75	7.25	14.75	3.5	462.5)
1 cup spaghetti squash herbs peppers walnuts 
(350.25	32.2	3.5	5	13.25	4.35	207.25)
1/4 cup yams 
(118	0	0	2	28	4	9)
1/3 cup Mozzarella cut from block about 2 servings
(200	16	10	14	0	0	340)
5 strawberries about 1/2 cup (50	    0	  0	0	12	2	0)</t>
  </si>
  <si>
    <t>Woke up at 4:30 am to pee then went to bed until about 615 am and laid in bed until the alarm went off at 630 am. Made my cup of coffee, weighed myself at 139.4, calculated yesterday's calories, had a lg BM, weighed myself again at 139.4, did the rest of yesterday's calculations. I finished the cup of coffee and weighed myself about 45 minutes after last time and weighed 140.2. This must be due to gravity, no joke. Odd to have a lg BM and no weight change, then drink the remaining cup of coffee and have an increase in weight. Weight is mass in kg*9.91m/s^2 and looking it up 140 lbs is 63.5 kg of mass. Gravity must have been slightly slower about 45 minutes ago. Was about to cancel Netflix the other day or yesterday when cancelling HBO-Max and DisneyHuluESPN2+, but they finally have The Sinner 3rd season out, the reason I resubscribed in August, yet it wasn't out and they had some filler series to occupy my time. Starting that today, plan for working out around 2 pm. Got the loose leaf chemistry book in the notebook binder bought yesterday, had started the El Comal sopas in my quesadilla maker but wasn't a fan of them maybe if they are cooked or baked in the oven instead, ate 2 bites with 2 organic cage free eggs fried in olive oil over medium with 1 small avocado ripe from Aldis. I would say I ate 1/8 of one sopa plus the 2 eggs and avocado. Then a small banana, an orange and a grapefruit. I had a cup of the butternut squash beyond meat medley with 1 small avocado and 2 tbs sourcream the daisy squeeze brand around 1030 am. I took a nap around 11 am and slept for 20-45 minutes, its cloudy and overcast out, makes me tired. Got up around 12 pm and started reading my previous chemistry notes onto oxidation and reduction. Starting to come back to me. Was looking at balancing equations. Had my 3rd cup of coffe at 130 pm approximately and fed the babies. Worked out at about 2:15 pm, did Doja cat radio on Spotify and it was ssslllooooowww, did 15 3-minute rounds cardio kickboxing, then the 20 exercises for weight training. Felt hot/warm like 70 degrees while working out after starting but the weather said 46 degrees. Ate a bowl of the spaghetti squash 1 cup with 1 cup of butternut beyond and about 4 slices of yams. I took out the sage leaves and now it tastes much better, eating the sage leaves was too herbal for me last night during my break at work. The past weather in Corona, CA says it was 59 degrees, that seems more accurate. I went to bed after reading some of my genetics textbook the last of chapter 1 and the beginning of chapter 2 and getting to the climax of The Sinner season 3 I paused while reading the last 20 minutes until 9 pm when I went to bed. I didn't eat anything for a few hours before bed.</t>
  </si>
  <si>
    <t>Did you avoid alcohol? 0 for no, 1 for yes</t>
  </si>
  <si>
    <t>Did you avoid processed sweets like cake or candy? 0 for no, 1 for yes</t>
  </si>
  <si>
    <t>Did you keep added butter out of your meals? 0 for no, 1 for yes</t>
  </si>
  <si>
    <t>Did you stay meat free? 0 for no, 1 for yes</t>
  </si>
  <si>
    <t>Did you avoid gluten (rye, barley, wheat)? 0 for no, 1 for yes</t>
  </si>
  <si>
    <t>How many hours in all did you get through the night before waking up for the day or including a nap later in the day</t>
  </si>
  <si>
    <t>Did you wear compression socks? 0 for no, 1 for yes</t>
  </si>
  <si>
    <t>Did you wear a waist trimmer and if so what was the inches of widest closures a 31 or 32 inch? 0 for no, 1 for yes and 31 or 32 for the size of small or medium</t>
  </si>
  <si>
    <t>Total amount in pounds the workout decreased weights since last workout</t>
  </si>
  <si>
    <t>Total amount in pounds the workout increased weights since last workout</t>
  </si>
  <si>
    <t>What parts of the body decreased in weight during exercises involving weight lifting since last workout in pounds</t>
  </si>
  <si>
    <t>What parts of the body increased in weight during exercises involving weight lifting since last workout in pounds</t>
  </si>
  <si>
    <t>The list of exercises done, the number of sets, and range of repetitions in each set, with the amount in pounds used for the exercises</t>
  </si>
  <si>
    <t>Did you have a bowel movement and how many during the day total? 0 for none, 1 for 1, 2 for 2, and so on</t>
  </si>
  <si>
    <t>How many cups of coffee did you drink during the day?</t>
  </si>
  <si>
    <t>The measurement of sodium in milligrams to the total calories consumed</t>
  </si>
  <si>
    <t>the ratio of fiber in grams to total calories consumed in the day</t>
  </si>
  <si>
    <t>the ratio of protein in grams to total calories consumed in the day</t>
  </si>
  <si>
    <t>the ratio of saturated fat in grams to total calories consumed in the day</t>
  </si>
  <si>
    <t>the ratio of fat including saturated fat in grams to total calories consumed in the day</t>
  </si>
  <si>
    <t>the ratio of carbs including fiber in grams to total calories consumed in the day</t>
  </si>
  <si>
    <t>The total mg of sodium consumed for the day</t>
  </si>
  <si>
    <t>the total g of fiber consumed the day</t>
  </si>
  <si>
    <t>the total protein in grams consumed in the day</t>
  </si>
  <si>
    <t>the total saturated fat in grams consumed in the day</t>
  </si>
  <si>
    <t>the total fat including saturated fat consumed in the day</t>
  </si>
  <si>
    <t>the total calories consumed in the day</t>
  </si>
  <si>
    <t>the total carbs including fiber in grams consumed the day</t>
  </si>
  <si>
    <t>List of food with their calories, fat, saturated fat, protein, carbs, fiber, and sodium for the serving of each food item eaten</t>
  </si>
  <si>
    <t>Notes on personal and daily changes, like time woken up from sleep, food eaten, diary items, bowel movements, time measurements taken and changes from hours or minutes previously that measurements taken, and time went to sleep, if unable to sleep all the way through, then why, and other miscellaneous of diary notes.</t>
  </si>
  <si>
    <t>Using a calibrating pincher to pinch fat at the arm of the tricep on the right arm while relaxed to get the MM measurement. Every notch is 2 MM and 5 sections between each 10 unit interval.</t>
  </si>
  <si>
    <t>Using a calibrating pincher to pinch fat at the arm of the tricep on the left arm while relaxed to get the MM measurement. Every notch is 2 MM and 5 sections between each 10 unit interval.</t>
  </si>
  <si>
    <t>Using a calibrating pincher to pinch fat at the right of the belly button of the abs while relaxed to get the MM measurement. Every notch is 2 MM and 5 sections between each 10 unit interval.</t>
  </si>
  <si>
    <t>Using a calibrating pincher to pinch fat at the left of the belly button while relaxed to get the MM measurement. Every notch is 2 MM and 5 sections between each 10 unit interval.</t>
  </si>
  <si>
    <t>Using a calibrating pincher to pinch fat at the inner thigh fat at the superior portion of the right thigh while leg up on a step and relaxed to get the MM measurement. Every notch is 2 MM and 5 sections between each 10 unit interval.</t>
  </si>
  <si>
    <t>Using a calibrating pincher to pinch fat at the inner thigh of the left most superior fat area while leg on a step and relaxed to get the MM measurement. Every notch is 2 MM and 5 sections between each 10 unit interval.</t>
  </si>
  <si>
    <t>Using a tape measure, the left thigh at the highest circumference of the thigh below the butt in inches</t>
  </si>
  <si>
    <t>Using a tape measure, the right thigh at the highest circumference of the thigh below the butt in inches</t>
  </si>
  <si>
    <t>using a tape measure, the left arm right below the deltoid while arm extended out and relaxed, in inches</t>
  </si>
  <si>
    <t>using a tape measure, the right arm right below the deltoid while arm extended out and relaxed, in inches</t>
  </si>
  <si>
    <t>using a tape measure the uterine leiomyoma or UL is measured at the max of the belly about 1 1/2" or two knuckles lengths of the index finger below the belly button, this is the circumference of the belly two knuckles below the belly button in inches</t>
  </si>
  <si>
    <t>using a tape measure this is the waist line measurement at the belly button in inches</t>
  </si>
  <si>
    <t>The amount of calories in total for all calculated food items for the day before the measurements being taken</t>
  </si>
  <si>
    <t>The amount of weight in pounds that today's weight changed from yesterday's weight in pounds measurement</t>
  </si>
  <si>
    <t>The weight in pounds using a digital scale, sometimes taken twice to track changes along with the other measurements before the day starts and after working out but not immediately after working out.</t>
  </si>
  <si>
    <t>The time the weight and the inches and MM measurements of the arms, thighs, and abs is taken for the day</t>
  </si>
  <si>
    <t>The total number of minutes of kickboxing done in the workout of cardio for the day or the total minutes the rounds and length of the rounds in minutes for the day adds up to</t>
  </si>
  <si>
    <t>This is Mon-Sun for the day of the week as an abbreviation for the day the observation is on</t>
  </si>
  <si>
    <t>The date that the observation is with the month/day/year format, in programming it is better to do month-day-year format, but I have an R program for that</t>
  </si>
  <si>
    <t>The time as AM or PM for either the time of the workout or in general at the mid afternoon what the time was to put the weather for that time</t>
  </si>
  <si>
    <t>The weather in Fehrenheight degrees at the time feature recorded using Google to search the weather closest to that time</t>
  </si>
  <si>
    <t xml:space="preserve">The number of rounds of cardio done using onlineboxingtimer.com can be any number of rounds. </t>
  </si>
  <si>
    <t>The number of minutes that each round is that day with all rest or break intervals exactly one minute to drink, wipe sweat, pull hair out of face clear sinuses, etc.</t>
  </si>
  <si>
    <t>1 cup butternut squash beyond 
(132.5	6	2.75	7.25	14.75	3.5	462.5)
1 cup spaghetti squash herbs peppers walnuts 
(350.25	32.2	3.5	5	13.25	4.35	207.25)
1/4 cup yams 
(118	0	0	2	28	4	9)
2 tbs sourcream Daisey brand 
(60	5	3.5	1	0	1	15)
1 cup butternut squash beyond 
(132.5	6	2.75	7.25	14.75	3.5	462.5)
1 cup spaghetti squash herbs peppers walnuts 
(350.25	32.2	3.5	5	13.25	4.35	207.25)
1/4 cup yams 
(118	0	0	2	28	4	9)
2 oranges (162	0	0	4	42	8	4)
2 grapefruit (184	0	0	4	48	4	0)</t>
  </si>
  <si>
    <t>totalBodyWeightTraining</t>
  </si>
  <si>
    <t>Was total body weight training done on this day. A 0 for no and a 1 for yes. First day not doing weight training immediately after cardio started on Day 16 after 1st menstruation on Feb 10th 2021</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</si>
  <si>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t>
  </si>
  <si>
    <t>corn tortillas Romero brand, 1 tortilla serving</t>
  </si>
  <si>
    <t>pecs bench +10 1 set</t>
  </si>
  <si>
    <t>shoulders -5</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</si>
  <si>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 Took my measurements at 7:15 pm after eating and working out, my weight didn't change that much because I only drank 3/4 of a water bottle. Started watching The Magicians on Netflix about 6:00 pm while taking measurements and eating. I was tired around 7:45 pm and went to bed by 8:00 pm.</t>
  </si>
  <si>
    <t xml:space="preserve">rhomboids scapula abduction 3 sets 8 reps 30 lbs     +5
biceps curls 40 lbs 3 sets 8 reps 
bench press 2 sets 6 reps barbell 85 lbs	+10
hamstrings leg flexion laying prone 3 sets 6-8 reps 45 lbs	
tricep chair dips 3 sets 12 reps no added weight
quads with leg extensions sitting 3 sets 8-10 reps 45 lbs
tricep extension above head dumbells 30 lbs 3 sets 8 reps	+5
military press 3 sets 40 lb dumbells 
obliques side extensions 3 sets 10 reps 30 lbs	+5
shoulder lifts medial/posterior deltoids/latts 3 sets 6-8 reps 15 lbs	+5
calves 3 sets 12 reps 60 lbs total with dumbells	+10
upper trapezius shoulder shrugs 60 lbs dumbells 3 sets 10-12 reps	+10
squats 3 sets 10 reps barbell 45 lb + 50lbs added weight 
leg lifts standing for abs, 3 sets 12 reps no added weight
dead lifts 3 sets 10-12 reps dumbells 60 lbs	+10 
tricep extension cable 3 sets 25 lbs
upper abs cable 10 reps each side in 3 sets 25 lbs 	
lower abs with cable 25 lbs leg lifts each side 	
standing abducturs outer thighs 3 sets 6-8 reps 25 lbs	
standing adductors inner thighs 3 sets 6-8 reps 25 lbs	</t>
  </si>
  <si>
    <t>Almond milk Friendly farms Aldis, 1 serving is 1 cup</t>
  </si>
  <si>
    <t>Walnuts Aldis brand 1 serving is 1/4 cup</t>
  </si>
  <si>
    <t>rhomboids +5, pecs +10, triceps +5, obliques +5, deltoids +5, calves +10, upper trapezius +10, hamstrings QLs +10</t>
  </si>
  <si>
    <t xml:space="preserve">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</si>
  <si>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</si>
  <si>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Bed time around 9:30, after measurements taken at 9:15 pm</t>
  </si>
  <si>
    <t>Rotini Red Fennel gluten free Barilla pasta,3.5 oz serving, 4.5 servings per box</t>
  </si>
  <si>
    <t>Rotini Beyond meat pasta 2/12/2021, 1 serving/bowl</t>
  </si>
  <si>
    <t>Priano 4 Cheese Pasta Sauce, 1 serving is 1 cup, 2.5 per jar</t>
  </si>
  <si>
    <t>honey, Aldis, simply nature brand, 1 tbsp serving</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</si>
  <si>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honey (60    0    0    0   17  0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</si>
  <si>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3 bowls of rotini pasta
(red fennel Barilla brand rotini 1pkg, beyond meat 1pkg, 1 red bell pepper,
1 green bell pepper, 3 broccoli crowns, 1 jar Priano 4 cheese pasta sauce)
(788	24.34	6.54	51	101	23	845.03)
1 orange (81	0	0	2	21	4	2)
1 grapefruit (92	0	0	2	24	2	0)
1 avocado (322	29	4	4	17	18	14)
1/8 cup bleucheese (100	8	4.5	5	2	1	360)
3 servings parmesan cheese (60	4.5	3	6	0	0	300)
walnuts 1/4 cup (200	20	2	5	4	2	0)
banana (105	0	0	1	27	3	1)
honey 1 tbsp(60	0	0	0	17	0	0)
cocoa powder (10	0.5	0	1	3	1	0)
almond milk 1/8 cup(5	0.375	0	0.125	0.25	0.125	22.5)</t>
  </si>
  <si>
    <t>Woke up at 2 am dehydrated, drank a bottle of water not all at once and a cup of ice while reading the first few sections of chapter 3 in the genetics textbook on gametes and genes and genotypes of allelles and recessive and dominant genes. Went to bed around 2:50 pm, but didn't really sleep, laid in bed hot, had the heater on electric and gas as usual because when I turn them off it gets cold. Got up at 610 am when Shane got home slightly before that. Took measurements then had a lg BM before the BM my weight was 141 but after it was 139.2 pounds and the waistline and fibroid waistline was 32.5 and 33.5 inches and after was 31 and 33.25 respectively. My side started hurting again last night on my right side and radiating to the right side of the low back. Will be menstruating soon, could have been from big BM inside or my kidney. But still hurts some after the lg BM. I will use the waistline measurements after the lg BM and the weight. I made a note of it here. After my 2nd cup of coffee with breakfast my side pain wasn't noticeable and not during the day at work but it did come back a little bit while at work but left. I ate breakfast at 730 am after making a rotini red fennel Barilla brand pasta the usual way with broccoli but 3 crowns, a red bell pepper, and a green bell pepper, and Priano brand 4 cheese spaghetti sauce. At work I had an orange, a grapefruit, and another bowl of rotini pasta with my 3rd cup of coffee. After work I had a 3rd bowl of rotini pasta at 530 pm with 2 tbsp sourcream. The other two bowls of pasta I had 1/2 an avocado with each one. While at work was curious about becoming a chiropractor alternatively, and checked out a school in Whittier Southern California University of Health Sciences. They have a 3 yr program and a high retention and exam pass rate. The respondent said they make an average of $110,000 a year according to salary.com yet the job posts for them says they make about 60k a year on Indeed. They also only require minimal science courses, a GPA of at least 2.78 on a 4.00 scale, and a bachelor degree. Sounds like an in for me but waiting to see the cost. Doesn't say on the site. It sprinkled rain on the way to work and then on the 71 had a heavy rain I drove through for about 45 seconds, then later at work no clounds in the sky but the air was clean, smell in Eastvale like cow maneur the way Waze directed me to go instead of the freeway. I had a bowl of the mix of cocao powder, honey, bananas, walnuts, and almond milk made last night and doesn't look delicious, but is sweet enough to satisfy a sweet tooth. Had a tbs of honey, with about 1/4 cup of walnuts, and 1/4 tbs of cocao powder around 8 pm. Went to bed at just before 9 pm.</t>
  </si>
  <si>
    <t>sodium_Calories_ratio</t>
  </si>
  <si>
    <t>3 bowls of rotini pasta
(red fennel Barilla brand rotini 1pkg, beyond meat 1pkg, 1 red bell pepper,
1 green bell pepper, 3 broccoli crowns, 1 jar Priano 4 cheese pasta sauce)
(788	24.34	6.54	51	101	23	845.03)
1 orange (81	0	0	2	21	4	2)
1 avocado (322	29	4	4	17	18	14)
1 avocado (322	29	4	4	17	18	14)
4 tbsp sourcream (60	5	3.5	1	0	1	15)
total below only ate about 5% of eggs:
(7.5 0.53  0.15   0.6125   0.025   0.0125  9.25)
2 eggs scrambled with almond milk 
don't include:(140	10	3	12	0	0	140)
1/4 cup almond milk
don't include: (10	0.75	0	0.25	0.5	0.25	45)
2 corn tortilla quesadillas
2 corn tortillas
(72	0	0	2	14	2	36)
1 slice meunster cheese
(80	6	4	5	0	0	130)</t>
  </si>
  <si>
    <t>Woke up at 4 am and lied in bed until 415 am, restarted the dryer of my work clothes and had my first cup of coffee by 430 am. Took measurements and had a lg BM, re-weighed myself and the same 140.8 as before lg BM, the waistline shrunk down to 31.50 from 32.50 and the fibroid waistline shrunk to 32.75 from 33.25. Reviewed the new clients tonight referred from a client for the 4 pm tonight. For breakfast I had a bowl of the rotini pasta with a whole avocado and 2 tbs sourcream, packed an orange and a bowl of the pasta for lunch. Ate that for lunch, then after work had the last of the rotini pasta and a whole avocado with 2 tbs sour cream. Went to the 4 pm mom/daughter couples. They are a very nice family. Got back at just before 7 pm and have a couples tomorrow at 5 pm in Chino Hills from clients that are also very nice. They are busy so might push it later if they need to. That one is a 1 1/2 hour each, today's was 1 hour each. Didn't eat anything when I came back home. When I left for the massage in town earlier, a Jeep Grand Cherokee pulled into the spot Shane parks his truck next to the house off the alley and came out with Chick Fil A and walked around the front of the house. I don't know where but the other side is empty, and Shane didn't know anybody driving a Jeep. The guy left but didn't say anything I thought it was his friend that always brings him something but missed him at the gym. Noting this now. No workout today or tomorrow, because of the appointments, but thats ok, I will have a cardio and weight training early morning Monday to make up for it before work, and again on Tuesday. Also, I had to call my manager after work on the way home, because the front book us back to back and make up for it by sanitizing, but throw their wipes in the trash even when it is empty  and they should know that we change the trash after our shift. She said she would talk to them about that, because it makes no sense for them to have gloves on and only have sanitizing wipes, but throw it in the trash knowing its empty. Its an irritant on top of the irritant of being booked back to back that closely and having to sanitize that can be nipped in the butt. Kaley and Robyn and Calissa all do it, maybe they don't know, but now they will that we change the trash out after our shift or else the other person taking the room throws a fit and people start leaving their trash and throwing the names of the people leaving trash. Why even throw it in the empty trash? Otherwise, they are nice, and I know they probably don't like having to clean the rooms either because a line forms up front or whatever they have going on, but I know I would rather have the 15 minutes after each appointment to do it myself and not have to worry about somebody doing that. After I saw Robyn and Clarissa do that I started throwing my trash in their quiet room trash knowing they have the same responsibility for keeping it empty, and today I figured I should try to solve it the adult way and tell my manager so she can tell them to stop doing it or come to some compromise that is agreed on. Chris didn't like that he was standing in the room with me in it and I wanted to put in my notes instead of taking the linens forcing him to do it instead. Because if your going to be in the room then help clean it is my motto. And either way he can't take his client until the notes are entered and I am logged out of the ipad and the room disinfected and new linens on it. Its not a pet peeve either, we all have our duties and responsibilities and when the front who are separately managed interfere with our routines and create more work its unnecessary stress that can easily be solved by keeping their used disinfectant wipes in their gloved hands until they go to the break room or front cashier area trash cans to throw it away. Not complicated at all. Really not. I was going to go to bed without eating anything by 9 pm, but had to eat something, cravings. Made 2 eggs scrambled with Almond milk that I poured too much into when microwaving it and one corn tortilla quesadilla at 850 pm with meunster cheese. I only ate a couple bites of the eggs but all the quesadilla. So maybe 5% of the total nutrition of the eggs. Laundry linens from earlier were in the dryer before eating, going to bed at 9:30 pm after washing my bowl from dinner.</t>
  </si>
  <si>
    <t>sliced provolone cheese Happy Farms Aldis, serving is 1 slice</t>
  </si>
  <si>
    <t xml:space="preserve">red penne pasta 4 servings
(1320	10	2	92	244	44	0)
Priano 4 cheese pasta sauce 4 servings 
(360	14	4	12	48	12	1840)
3 slices Meunster cheese 
(240	18	12	15	0	0	390)
2 avocados (644	  58	8	8	34	36	28)
2 oranges (162	0	0	4	42	8	4)
4 tbsp sourcream (120	10	7	2	0	2	30)
3 slices provolone cheese (70	5	3	5	0	0	170)
2 corn tortillas Romero brand (72	0	0	2	14	2	36)
</t>
  </si>
  <si>
    <t>Woke up at 5 am and laid in bed until 530 am. Got my cup of coffee and fed the babies, no messes to clean because Shane cleaned them earlier in the night making a lot of noise while also cooking his chicken in the oven and the dishes. Had a lg BM after 1 st cup of coffee and after making 2nd cup of coffee. Measured waistline again and 31.5" for the waistline and 33" for the fibroid waistline. Made red fennel penne pasta Barilla brand with Priano 4 cheese sauce. Had a bowl of the pasta with 1 small avocado and 1 slice of meunster cheese and 2 tbs Daisy sourcream and packed a bowl with 1 small avocado and 1 slice of meunster cheese. No veggies in this one. There is one bowl left. So the whole jar and whole package of pasta by the end of the day. I have a couples at 5 pm for 3 -3 1/2 hours in Chino Hills tonight. I got back around 9 pm, great couple, 3rd time massaging them. I put the linens in the laundry, they shared this time, and washed the lotion bottle, soap bottle, aroma bottles, and the stones and cups. Then had that 3rd bowl of pasta to finish the red fennel penne. I put 2 tbls of sourcream and 2 slices of the Aldis Happy Farms Provolone sliced cheese in it. Went to bed at 11 am after sending the SOAP notes to the clients earlier and their receipt.</t>
  </si>
  <si>
    <t>green beans Green Giant prepackaged brand, 1 cup is a serving, 11 cups per pkg</t>
  </si>
  <si>
    <t>orange bell pepper</t>
  </si>
  <si>
    <t>sourcream_2tbls Winco brand</t>
  </si>
  <si>
    <t>1 whole pot of Butternut squash soup 4 cups/servings with 1 pkg of beyond meat 4 servings, 8 cups green beans,1 orange and 1 green bell pepper 2 tbs olive oil</t>
  </si>
  <si>
    <t>Woke up at 5 am but laid in bed until 545 am, had a cup of coffee and then a lg BM, didn't take my measurements before the BM. Going to work out with cardio and weight training today before work, but also need to go to the grocery store. Only have 2 bottles of water left and need fruit, veggies, more tortillas, etc. I only did the cardio. Then I went to the grocery store with the weather in the low 40s around 945 am. I got butternut squash soup, yellow and green bell peppers, green beans instead of broccoli from Green Giant bagged brand, 2 pkgs beyond meat and new to this menu pasta sauce, a vineyard marinara and a 3 cheese from Prego for both I think. Not using them today. I ate a pear around 1030 am as the first thing I ate. It was still in the fridge from weeks ago when I bought them. The only  fruit not going bad. Not buying bagged fruit from Aldis anymore a whole bag of apples was bad last week and the oranges are bad too, cuts and something like mold or bug infestation without bugs was on a couple of the oranges at Aldi's from last week. I got some hand picked by me oranges and grapefruits. Was going to get avocados but they were priced high, same with the grapefruit but the grapefruit felt ripe and good the avocados felt squishy like they have a lot of black rot in them. I also got 1 pks of paper towels and 1 pk of toilet paper, some gallon zip lock generic brand bags and a roll of alumninum foil. Kept seeing alchohol every corner, was going to get some wine, but holding off for now. My workouts have already been impacted with the fortunate side client income for massage. I have tomorrow off and will do my total body weight lifting and not the cardio at that time. I am currently cooking soup or similar of the butternut squash soup Pacific brand, whole pkg about 4 1/4 cups with 1 pkg of the beyond meat because I liked it last time for the sweet taste it has and smell. I added about 3/4 the bag of green beans or about 8 cups of green beans according to the bag there are 11 cups of green beans in it, and 1 orange bell pepper and 1 green bell pepper. It smells good. I will have that for lunch and pack some for work on my break later today. I ate a grapefruit and an orange a little after having a bowl of the soup, took a nap, and at work had a grapefruit before work, then on my break the bowl of soup packed and an orange. On my break went to Target for AAA batteries for my calculator and D batteries for the light sensors outside and a bottle of red blend Josh wine. Tired. I had 2 no shows that were return clients but not regularly booked with me like every 1-2 weeks, they were confirmed on Valentine's Day the day before the appointment. When I got home, early because the last one wasn't booked, and also Regina left her trash in the Rm 8. Was going to leave it for her, but changed it instead. It is annoying to go into a room and have that but at least the room was available, didn't  matter because the first client was late 15 minutes and paid before hand for the additional 1/2 hour. She is a nice lady, most all are. I had a new guy the last one I was booked at 8 pm, and all had a history of sciatic pain symptoms except for the 3rd one that was a no show. I honestly do not like massaging new guys to me and ones that either went to various locations from the notes or have no notes or that walk in or book last minute. But whatever, its alright. He tried to pull a Karen on me when I told him it was over by asking my name and then not repeating it right. He said Low back and legs and ft only, so after 50 minutes thats it. Plus his nose kept running and grossing me out with his sniffling. Was in a meh mood because of sitting around a few hours, but at least I got paid the service commission for the 2 no shows. I got home and was tired, but haven't been drinking much water. I had a cup of the tea from Marshalls the beach bellisimo fruit one on my break at work, and might be why I was tired, but I just seeped it in the cup of water without warming it up. At home I felt like I would have a BM but like it would be constipation. I went to bed at 10:30 pm, and then woke up at 1130 pm to have a BM, but I will include that in tomorrow's BM count. It was a constipated one like some still in the rectum that had to wait till the next BM. I need to drink more water.</t>
  </si>
  <si>
    <t>Tea-Beach Bellisimo caffeine free Teavana Starbucks brand, 1 tea bag serving</t>
  </si>
  <si>
    <t xml:space="preserve">1 pear (57	0	0	0	15	3	1)
2 bowls of butternut squash/greenbean/bell peppers/beyond meat soup
(778.5   44	12	50.5	51	16	971)
2 tbsp Daisy sourcream
(60	5	3.5	1	0	1	15)
1 slice of provolone cheese
(70	5	3	5	0	0	170)
2 oranges (81	0	0	2	21	4	2)
2 grapefruits (92	0	0	2	24	2	0)
beach bellisimo tea (5	0	0	0	1	0	0)
</t>
  </si>
  <si>
    <t>cabernet sauvignon Nutrition facts similar to Josh brand this is Winking Owl wine facts, serving size 5 oz, 1 cup is 8 oz , this is multiplied by 8/5</t>
  </si>
  <si>
    <t>cabernet sauvignon Nutrition facts similar to Josh brand this is Winking Owl wine facts, serving size 5 oz, 3/2 cup is 12 oz , this is multiplied by 12/5</t>
  </si>
  <si>
    <t>Krusteaz cornbread gluten free, 14 servings, 1 serving is 1/14</t>
  </si>
  <si>
    <t>Krusteaz cornbread gluten free, 14 servings, 1 serving is 1/14, 3/14 or 3 servings</t>
  </si>
  <si>
    <t xml:space="preserve">2 eggs scrambled with 
(140	10	3	12	0	0	140)
olive oil 2 tbsp and 
(120	14	2	0	0	0	0)
sourcream 2 tbsp Daisy brand last of it
(60	5	3.5	1	0	1	15)
2 corn tortilla (Guerrero Brand) with Winco low skim mozzarella shredded cheese and paprika
4 corn tortillas (200	  2	0	4	42	4	40)
1/2 cup mozzarella cheese (160	 10	7	12	2	0	380)
1 orange (81	0	0	2	21	4	2)
140+120+60+200+160+81
10+14+5+2+10+0
3+2+3.5+0+7+0
12+0+1+4+12+2
0+0+0+42+2+21
0+0+1+4+0+4
140+0+15+40+380+2
=======
1 bowl of butternut squash/beyond meat/green beans and peppers
(389.25   22	6	25.25	25.5	8	485.5)
2 tbsp sour cream Winco brand 
(60	5	3.5	1	2	0	15)
1 cup of red blend Josh cabernet
(195.2	0	0	0	6.4	0	0)
389.25+60+195.2
22+5+0
6+3.5+0
25.25+1+0
25.5+2+6.4
8+0+0
485.5+15+0
======
2 corn tortilla mozz quesadillas
4 corn tortillas Romero brand
(148	0	0	4	28	4	72)
1/2 cup mozzarella cheese
(80	5	3.5	6	1	0	190)
3/2 cups wine
(292.8	0	0	0	9.6	0	0)
+148+80+292.8
+0+5+0
+0+3.5+0
+4+6+0
+28+1+9.6
+4+0+0
+72+190+0
========
krusteaz cornbread
2 cornbread muffins, about 3 servings, 1 pkg is 14 servings
(330	1.5	0	6	75	3	930)
=======
</t>
  </si>
  <si>
    <t>Woke up to have a BM around 1130 pm after an hour of sleep, it was a solid constipated small BM, then went back to bed and woke up at 5 am approximately and laid in bed until 530 am, got up made the babies their food, my coffee, and had the rest of last night's BM also a solid reg size one. Together a lg BM, might be the Aldi's Happy Farm Cheese making it like that consistency, but also I haven't been drinking much water, only while working out, and that was only 1 bottle as it was cold during the workout and after. Took my measurements at 620 am. I tried the batteries I bought yesterday the AAA ones for my calculater, energizer brand but they make the screen dark and worse than the other batteries that are generic. So I put back in the generic ones. They cost me $10 just for those batteries too. I will see if changing the 3v battery will fix this problem but I need to buy that one too. Shortly after 6:45 am had a reg BM that feels like it cleared up the other solid waste hanging around the rectum with the normal vegetarian consistency/texture of my reg BMs. My courses in genetics and general chemistry AKA organic chemistry start this Thursday. I have been reading ahead and plan to do more today before lifting weights. No cardio today, I think I am just going to switch or alternate between cardio and weight lifting days. I have been so far, during the middle of this research. No menstruation yet but I usually get it before 28 days. Clearly, not sexually active and haven't been for years as digestion is only body function interested in for body conditioning and maintanence. So far no obvious changes in fibroid waistline changes, but all working out and using the waist trimmer have helped keep it compacted and small as I can look down and see my pubes. I couldn't about a few months ago, still not where they start but getting close. At least I am healthy and strong. Ate break fast a little after 7 am, with 2 eggs scrambled in 2 tbsp sourcream and cooked in 2 tbsp olive oil, and 2 corn tortilla quesadillas with the Guerrero brand tortillas and the Winco low skim mozzarella cheese. And an orange around 730 am. Read my chemistry notes. Read the chemistry notes but not all of them, got to the Gas/Pressure/Volume laws and equilibrium before that. Poured my 1st glass of wine by 10 am, but sipped it, its my day off, also had a bowl of the butternut squash beyond meat with green beans and 2 tbsp sourcream. It was delicious, shared with the babies of course and they loved it. They love my cooking. Talked to my admissions counselor at SCUHS about my application and determined by 11 am that I have intro to chemistry with lab, intro to physics with lab, principles of ecology-Biology with lab for 4+4+3=11 semester units, and will take general chemistry or organic chemistry with lab for 4 units, plus biology-genetics for 3 units this Spring and in summer take a science with lab like anatomy for 4-5 units because it is needed and another science like psycology/kinesiology/microbiology/chemistry for 3 or 4 units with or without lab so that I complete 24 total science requirements of 12 lab and 12 no lab needed for September program, with tuition 12.5k a trimester for 10 trimesters. Finished my glass of wine after speaking with him. I filled my coffee mug only half way for this glass of wine, so about a cup of wine. Its a Red Blend cabernet by Josh Vineyards. I read my notes some more with a 3rd cup of coffee around 1215 pm, but started feeling like I was going to have diarhea and increased body temperature and abdominal pains with digestion that isn't the good kind around 12:30. I went to the bathroom, but nothing came out, but my body started getting hot, I took off my waist trimmer started feeling hot and dizzy like a time when I ate green potatoes and a time years earlier when I think I had vertigo really bad. I took off my tight leggings and sweater too, went back to the bathroom, and curled into a baby and felt the cold on my hands and my neck agaisnt the tub and wall and felt better and relieved, lied on my back on the cold floor and felt adbominal movement and saw my belly extended up. I had a large BM that was more than half diarhea. And my body temperature went down, I used cold water running and left running before crawling into a ball on the floor. I turned off the water and felt like my belly was bloated. My body temperature felt normal as I am typing this at 1245 pm a few minutes afterwards. Keeping my clothes off. Not sure why I am sick, The two clients I massaged yesterday both had their vaccines, the first one had both and the one yesterday was 2 weeks from the 1st one and gets his 2nd one next week. Maybe I picked up some antigens from him, his nose was running and sniffling in that appointment. It could also be drinking coffee after wine less than an hour or about an hour after drinking the wine. I felt completely fine 5 minutes before drinking the coffee and reading my notes. Might not work out today after all, unless I feel better. I have to drink the 3rd cup of coffee to avoid the headache I get when I don't. It is painful. That went away, finished my coffee 20 minutes later cold, and then ate 2 corn tortilla (Romero brand) quesadillas with mozzarella cheese (Winco brand) and paprika and basal. Then finished the last of the intro to chemistry notes with radiation and a final exam review I didn't work out the example problem follow throughs. The radiation and nuclear energy discussed the half life and the positrons, gamma rays as energy, alpha and beta particles. Before that was acids and bases and hydronium and hydroxide atoms for the pH scale and finding if a solution is acidic or basic. Before that was boiling point and freezing point. Then decided not to workout because I was sick, and the roommate is talking his shit getting fired up like a stupid Trump Red World minion. He is such an idiot loser. So fortunate he is a nameless loser that stays low key about his dumb beliefs. Was finishing up my notes listening to him talk shit about politicians that are democrats and stupid shit. Puts me in a foul mood, turned on R&amp;B on spotify to drown it out. He just asked why. So funny. Because I am typing with him in another room and have been playing R&amp;B for 20 minutes. So no workout today, tomorrow after work, the weight lifting. Don't want to stress my body out too much. I finally made the Krusteaz cornbread that has been on the counter for more than a week because too tired or had other plans than making it. Used all the ingredients, but used almond milk instead of milk. My coordination is off, only had another wine, on my last wine right now about a cup and a half, the end of the bottle. I don't feel drunk, but lately this has been happening with me misjudging things, like pushing a cup full of coffee over, running into the door frame, or a chair, or dropping a raw egg off the counter even though I rested it on a pad. Thats what happened. I haven't eaten any yet. But will with a bowl of the butternut squash beyond meat and green beans. I was surprised to find out my chemistry course started today, when I checked web advisor numerous times before it said on Thursdays around the afternoon and evening for the lab and didn't mention Tuesdays. Luckily I checked, because she has a strict no show policy in place and daily assignments due on time or risk being dropped. I did a couple assignements on the syllabus and looked over the modules on navigating the class. I also checked into the genetics course. Tired. Bed time around 1030 pm. Dehydrated, going to drink water, finished the other 2 glasses of wine I already tracked earlier and am now dehydrated. I have work tomorrow at 9 am. Note that the Krusteaz cornbread has a lot of carbs to fiber and will be marked as processed sweets a 0 for not avoided.</t>
  </si>
  <si>
    <t xml:space="preserve">upper abs cable 10 reps each side in 3 sets 25 lbs 	
lower abs with cable 25 lbs leg lifts each side 	
standing abducturs outer thighs 3 sets 6-8 reps 25 lbs	
standing adductors inner thighs 3 sets 6-8 reps 25 lbs	
squats 3 sets 10 reps barbell 45 lb + 50lbs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</si>
  <si>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 xml:space="preserve">hamstrings +5 </t>
  </si>
  <si>
    <t>Aldis brand Red Fennel Rotini noodles 4 servings</t>
  </si>
  <si>
    <t>Bertolli Vineyard Marinara sauce, 5 servings</t>
  </si>
  <si>
    <t>Red Fennel Rotini Pasta with green beans and vineyard marinara 1 pot makes 4 bowls</t>
  </si>
  <si>
    <t>2 cornbread muffins (330	1.5	0	6	75	3	930)
1 grapefruit (92	0	0	2	24	2	0)
2 cornbread muffins (330	1.5	0	6	75	3	930)
1 grapefruit (92	0	0	2	24	2	0)
2 cornbread muffins (330	1.5	0	6	75	3	930)
2 oranges (162	0	0	4	42	8	4)
1 bowl of red fennel rotini pasta with vineyard marinara sauce and green beans
(472.5	  3.75	  0	31.5	79.5	9	453.75)
1/4 cup low skim shredded mozzarella
(80	5	3.5	6	1	0	190)
2 tbs parmesan cheese Winco brand 
(20	1.5	1	2	0	0	100)
=330*3+92*2+162+472.5+80+20
=1.5*3+0*2+0+3.75+5+1.5
=0*3+0*2+0+0+3.5+1
=6*3+2*2+4+31.5+6+2
=75*3+24*2+42+79.5+1+0
=3*3+2*2+8+9+0+0
=930*3+0*2+4+453.75+190+100
====================================</t>
  </si>
  <si>
    <t>Woke up at 530 am by alarm and got up in the middle of the night around 1145 pm to pee and feed the outdoor cat then went to bed without laying in bed a while. Made my cup of coffee, took measurements, and started reading the documents needed for Chemistry 1A on being prepared for lectures and labs by reading and writing lab procedures before the class begins. Everything is zoom. I will need to make sure I can keep the roommate from his cursing and griping antics earlier in the day with his daily routing in the afternoon when he gets up or go out side and use the outdoor gym to watch the lectures and note take. Had a reg BM after 1st cup of coffee and measured waistline at 31 5/8" and fibroid waistline at 32 3/4". I had a couple cornbread muffins and a grapefruit after 7 am and my 2nd cup of coffee before that when the roommate came home. Reviewed the Chemistry 1A documents and looked at the dashboard course on the canvas web access. Yesterday I also cut about 4 inches off my hair before 10 am or before getting sick. It was in 2 french braids and they were stringy and thin, so I just cut them as is from the bottom to my collarbone. It will look choppy. At work slow, with 2-3 massages not booked in the middle, but got to read the full chapter 1 of my chemistry 1 A reading. Ate 4 cornbread muffins, 2 grapefruit, and 2 oranges. I would have done laundry at least to help and disinfect, but it smelled terrible like rotten eggs, or a dump truck with rotten eggs. Like someone farted and eggs were eaten by them or cooked a raw egg in the microwave. It wasn't pleasant. So stayed in my massage room and read chapter 1, it took about 2-2 1/2 hours to read the full chapter. I have energy to workout, yay! Going to lift weights only. I feel fine, don't feel sick. I had my 3rd cup of coffee in my slow/empty hours at work with my cornbread also. I didn't use their keurig, but my instant coffee, because I brought it with me. I started my workout a few minutes after 4 pm and ended with the stretches a few minutes after 5 pm with all 20 exercises in 3 sets of 6-12 reps depending on how heavy the weight was. I am making the Aldi brand rotini red fennel pasta with the vineyard marinara sauce and only added green beans and will likely add cheese to it in each bowl I make for myself. Went to bed at 9:45 after watching the recorded lecture on her OneNote notes on the first part of Chapter One-Molecules and Atoms.</t>
  </si>
  <si>
    <t xml:space="preserve"> 2/18/2021</t>
  </si>
  <si>
    <t>Woke up at 2:30 am, cleaned up dog poo and pee, went to bed no problem, woke up at 510 am and laid in bed until 530 am. Got up. Plan on watching the recorded lab from Tue Chemistry 1A before my first genetics course at 9 am. Had a reg BM after drinking some water and making my 1st cup of coffee and after feeding the babies. Then took measurements at 545 am. The roommate was in his car blocking the alley from the time I got up until right before having a BM for the day. Said he was gathering his thoughts. Started the recorded lab and took notes of important items. Had another BM when starting my 2nd cup of coffee around 615 am. About 45 minutes later had another small BM, totalling 3 BMs today. Went over the lab notes that ended up being lecture notes, but still have an hour left of those. I then logged into genetics, but her system is a prerecorded one, with Q&amp;A on Thursday weekly meetings. Did the first part of that section and waiting for the 2nd half, she has a fill in the blank participation to follow through her notes. A lot of handwriting for me. I need printer paper and possibly ink to print out the notes, or see about another way. I took my compression socks off from the itching in my legs either from hair growing in or stress. I don't feel that stressed, but its closer to menstruation, and ankles were starting to swell even with socks on right at the feet and sides of ankles outer ankle not inner. This was at about 12 or 1 pm. So I marked a 0 for compression socks. Viewed and took notes on the last 1 1/2 hours remaining of the chemistry 1A lab video from Tuesday from about 12 -2 pm, then log into canvas to participate in the lecture and later the lab from 3-430 then 6-910 pm. Breakfast was around 8 am and it was a bowl of the rotini pasta with 1/4 cup mozzarella cheese, 2 tbs sourcream and 2 tbs parmesan cheese and an orange, lunch was 2 fried eggs and 2 corn tortilla and mozzarella cheese quesadillas and another orange. Fried in olive oil around 11 am. Had 3rd cup of coffee instant at 1215 pm. Finished notes on recorded lecture on Chemistry 1A and ate another bowl of rotini pasta with 2 tbs sourcream, 2 tbs parmesan cheese, and 1/2 cup mozzarella cheese and an orange. On my break made last of 4 cornbread muffins with honey warmed in microwave only ate 2 gave rest to pups. Went to bed at 9:45 pm and had 1/2 slice of provolone cheese about 10 minutes before bed shared other half with the babies.</t>
  </si>
  <si>
    <t xml:space="preserve">2 bowls of rotini green beans 1 serving
(945	7.5	0	63	159	18	907.5)
4 tbsp sourcream
(120	10	7	2	0	2	30)
4 tbs parmesan cheese 
(40	3	2	4	0	0	200)
4 corn tortillas Romeros
(72	0	0	2	14	2	36)
5/4 cup mozzarella cheese
(100	6.25	4.375	6	1.25	0	237.5)
2 eggs
(140	10	3	12	0	0	140)
2 tbs olive oil
(120	14	2	0	0	0	0)
3 oranges
(243	0	0	6	63	12	6)
2 muffins
(220	4	0	4	50	2	620)
1 tbsp honey
(60	0	0	0	17	0	0)
=945+120+40+72+100+140+120+243+220+60
=7.5+10+3+0+6.25+10+14+0+4+0
=0+7+2+0+4.375+3+2+0+0+0
=63+2+4+2+6+12+0+6+4+0
=159+0+0+14+1.25+0+0+63+50+17
=18+2+0+2+0+0+0+12+2+0
=907.5+30+200+36+237.5+140+0+6+620+0
1/2 provolone sliced cheese
(35   2.5   1.5   2.5   0   0   85)
+35	+2.5	+1.5	+2.5	+0	+0	+85
</t>
  </si>
  <si>
    <t xml:space="preserve">The number of days since menstruation first started of the last menstruation. This is to track if any hormonal changes take place that add to extended belly or bloat during menstruation or shedding of the uterine lining of estrogen and progesterone after the ovary is determined to not be fertilized, how long the menstruation lasts.A 0 is for the initial day the spottiness of menstruation starting noticed, then each day there after is the number of days since the last menstruation cycle started. This is useful in seeing the bloat using the UL_2knucklesBelowBellyButton feature to see changes. The hormones are supposed to start with estrogen to strengthen the uterus about 3 weeks before the ovary drops for two weeks, then progesterone a week before makes the uterine lining even stronger for a fertilized ovum to attach and if not, then the uterine lining of progesterone and estrogen sheds causing the spottiness, gradual increase in fluid amount of blood loss from light, to medium-light, to medium, to heavy, to medium, to light and then spotty and done. </t>
  </si>
  <si>
    <t>Were you menstruating or shedding the uterine lining? A 0 is for no and a 1 is for yes.</t>
  </si>
  <si>
    <t>Woke up at 510 am and got out of bed at 520 am, made my coffee and fed the babies, prepared coursework for assignments once logging onto canvas, and took measurements by 5:45 am. Had a lg BM around 6 am and saw that I am spotty. I didn't notice any spotty mensa when waking up earlier and peeing, but it is, so today is day 1 of shedding the uterine lining. Probably why my ankles seem more swollen and a bruise on my side of my leg from who knows where? I know my chihuahua steps on me in the night and her tiny paws carry a lot of pressure with her heavy weight for her size. She isn't over weight just 12 pounds instead of 10 pounds. I noticed the bruise a few days ago and its about the size of her paw. Including this day it was 27 days from the start of the last menstruation to the start of this menstruation cycle. The waistline measurements and fibroid waistline measurements don't show any additional bloating and slightly smaller than yesterday's measurements, but I did wait a while before my last meal before bed time except for that 1/2 a slice of provolone cheese. I measured the waistline at 31 1/2" and the fibroid waistline at 33 1/2" after my BM about 10 minutes ago. That is about the same as the measurements 15 minutes before that time. Except that the fibroid waistline is 1/2" more. I will change the measurement to 33 1/2." Because I didn't notice the spotting before taking those measurements earlier and did notice it after having my BM. This could be attributable to menstruation bloat. Worked on some of the first homework assignment for Chemistry 1A and got to 2/15 parts or sections. It is due tonight. This could interfere with my workout. At work was fully booked, on my lunch break ate 3 corn tortilla quesadillas with provolone cheese slices 5 total with paprika and basal herb spices and had my 3rd cup of coffee an hour before that between sessions using the office keurig coffee and went to get some printer paper for the printer. Pulling into the parking lot of work, a cop car pulled in after me after circling Grand and back with lights on and saw some guy with hands on the hood of his car and another one pull in, but the other cop told the other cop car to pull over somewhere else and park. Don't know what that was but it was a scene the front was looking at when I walked in, right behind my work truck with advertisements on it for massage. After work I got some fruit of bananas, apples, oranges, pears, and some avocados. I originally planned for 530, but I have to finish that Chemistry 1A homework, and the parts are long to read so it could take a while. Since it is due tonight I will work on it now. Just before 530. After work I had a banana, an orange, finished the homework that actually took 80 minutes. Then had 1 reg sized avocado, 2 tbs sourcream mixed together with 2 corn tortilla quesadillas with mozzarella cheese paprika and basal. It was dark and I was tired plus my menstruation is heavy and will be soon, so need my iron as much as I can keep in my blood. Feeling tired. No workout tomorrow. See how tomorrow goes. Bed time by 830 pm. Plan to wake by 530 am, because I have to leave by 720 am at the latest for Saturday shift of mine.</t>
  </si>
  <si>
    <t>1 bowl of red fennel rotini pasta with vineyard marinara sauce and green beans
(472.5	  3.75	  0	31.5	79.5	9	453.75)
1/4 cup low skim shredded mozzarella
(80	5	3.5	6	1	0	190)
2 tbsp sourcream
(60	5	3.5	1	0	1	15)
1 mango
(107	0	0	1	28	3	3)
1 pear
(57	0	0	0	15	3	1)
6 corn tortillas Romero brand last of bag
(216	0	0	6	42	6	108)
5 slices of provolone Aldis Happy Farmes brand
(350	25	15	25	0	0	850)
1 banana
(105	0	0	1	27	3	1)
1 orange
(81	0	0	2	21	4	2)
4 corn tortillas Guerrero brand
(200	2	0	4	42	4	40)
1/2 cup mozzarella low skim cheese Winco brand
(160	10	7	12	2	0	380)
1 avocado
(322	29	4	4	17	18	14)
=472.5+80+60+107+57+216+350+105+81+200+160+322
=3.75+5+5+0+0+0+25+0+0+2+10+29
=0+3.5+3.5+0+0+0+15+0+0+0+7+4
=31.5+6+1+1+0+6+25+1+2+4+12+4
=79.5+1+0+28+15+42+0+27+21+42+2+17
=9+0+1+3+3+6+0+3+4+4+0+18
=453.75+190+15+3+1+108+850+1+2+40+380+14
=======</t>
  </si>
  <si>
    <t>Gluten free spaghetti/beyond meat/orange bell/green bell/prego 4 cheese sauce 4 servings/whole pot</t>
  </si>
  <si>
    <t>Prego 4 cheese pasta sauce, 5 servings per jar,1 serving</t>
  </si>
  <si>
    <t>gala apple (calorieking.com)</t>
  </si>
  <si>
    <t>1 bowl gluten free spagh/beyond/orangePepp/greenPepp/Prego4</t>
  </si>
  <si>
    <t>Woke up at 230 am to pee, still spotty menstruation, but when going back down it started to flow more to medium. Got up at 445 am and laid in bed after going back to bed. Got out of bed at 520 AM. Medium flow for now. Had my cup of coffee then a lg BM and then took my measurements by 615 am after making my 2nd cup of coffee. Ate my breakfast by 630 am, 1 fried egg, the last because I didn't get more, half an avocado with 1 tbs sourcream, and 2 corn tortilla quesadillas with mozzarella cheese and paprika. For lunch and when I got to work, had an orange, the other half of avocado with 1 tbs sourcream and 2 corn tortilla quesadillas I made at home with paprika, a banana, and a pear. After work an apple. Worked out at 330 pm with only cardio kickboxing for 45 minutes. Then I made some gluten free spaghetti from Barilla brand with beyond meat 1 pkg and 1 yellow/orange bell pepper and 1 green bell pepper and the Prego Italian 4 cheese sauce. I had one bowl of it with 1/3 cup mozzarella cheese. It makes about 4 servings. I always share with my babies, so probably eat my serving. Went to bed at 810 pm but fell asleep around 830 pm.</t>
  </si>
  <si>
    <t xml:space="preserve">4 corn tortilla and mozzarella quesadillas
8 corn tortillas Guerrero brand
(400	4	0	8	84	8	80)
1/2 cup mozzarella cheese
(160	10	7	12	2	0	380)
1 egg (140	10	3	12	0	0	140)  1 avocado(322	29	4	4	17	18	14)
2 oranges
(162	0	0	4	42	8	4)
1 banana
(105	0	0	1	27	3	1)
1 pear
(57	0	0	0	15	3	1)
1 gala apple
(62	0.1	0	0.3	14.9	2.5	0)
1 bowl/serving of gluten free beyond meat spaghetti with Prego 4 cheese sauce
(551.6875	20.875	5.625	26.625	63.75	4.5	950.125)
1/3 cup mozzarella cheese
(106.7	  6.7	4.7	8	1.3	0	253.3)
=400+160+162+105+57+62+551.7+106.7
=4+10+0+0+0+0.1+20.9+6.7
=0+7+0+0+0+0+5.6+4.7
=8+12+4+1+0+0.3+26.6+8
=84+2+42+27+15+14.9+63.8+1.3
=8+0+8+3+3+2.5+4.5+0
=80+380+4+1+1+0+950.1+253.3
</t>
  </si>
  <si>
    <t xml:space="preserve">3 oranges
(243	0	0	6	63	12	6)
1 banana
(105	0	0	1	27	3	1)
1 bowl/serving of gluten free beyond meat spaghetti with Prego 4 cheese sauce
(551.6875	20.875	5.625	26.625	63.75	4.5	950.125)
1/3 cup mozzarella cheese
(106.7	  6.7	4.7	8	1.3	0	253.3)
(322	29	4	4	17	18	14)
1 egg
(140	10	3	12	0	0	140)
1 bowl/serving of gluten free beyond meat spaghetti with Prego 4 cheese sauce
(551.6875	20.875	5.625	26.625	63.75	4.5	950.125)
2 tbs parmesan cheese
(20	1.5	1	2	0	0	100)
1 bowl/serving of gluten free beyond meat spaghetti with Prego 4 cheese sauce
(551.6875	20.875	5.625	26.625	63.75	4.5	950.125)
1/3 cup mozzarella cheese
(106.7	  6.7	4.7	8	1.3	0	253.3)
=243+105+551.7+106.7+322+140+551.7+20+551.7+106.7
=0+0+20.9+6.7+29+10+20.9+1.5+20.9+6.7
=0+0+5.6+4.7+4+3+5.6+1+5.6+4.7
=6+1+26.6+8+4+12+26.6+2+26.6+8
=63+27+63.75+1.3+17+0+63.75+0+63.75+1.3
=12+3+4.5+0+18+0+4.5+0+4.5+0
=6+1+950.1+253.3+14+140+950.125+100+950.1+253.3
</t>
  </si>
  <si>
    <t>Woke up at around 430 am and laid in bed until 520 am. I got up at 2 am to change my pad from heavy menstruation and again around 330 am and fell asleep until about 430 am. After getting up at 520 am, cleaned up pet messes, made the babies their food and my coffee, practiced SQL by reviewing my notes on it because I have an interview for a data engineer job that uses it tomorrow morning. But also have a worksheet in chemistry 1A due tonight before midnight and I work until 3 pm today. Not sure if I will lift weights today, I will see how long the worksheet takes, to write in notes and to use the adobe scanner app to upload to the canvas site. I also reviewed what I know on Azure last night from my large scale data storage systems with using Hive in Ambari for Azure and uploading csv files into it after creating a cloud vm. Had a regular sized BM and then took my measurements while drinking my 2nd cup of coffee and the roommate came home at that time. Had breakfast at 7 am a bowl of the spaghetti from yesterday and an orange and a banana with 1/3 cup mozzarella cheese on the spaghetti. Packed a bowl of spaghetti for lunch with 1 avocado chopped inside and a banana and 2 oranges. Planning on using the parmesan cheese in the car 2 tbs of it. I only ate 2 oranges but ate everything packed other than 1 orange. Then noticed on my break when looking in the mirror that I had age spots or dark sun spots on my left side of my nose. I bought the PCA pipmentation corrector with 40% discount at ME and then went to Marshall's and got their regenerist by oil of olay day and night cream, a face wash by simple 100% soap free 5 oz cucumber or green color and a spf 30 sunscreen to put on my face. Going to finish the worksheet and turn it in with the app right now at 4 pm. Due by 11:59 pm. Ate the 3rd orange before starting the rest of the ch1 worksheet and finished it about 3 1/2 hours later including taking images of it in Adobe Scan on my phone, saving as 1 pdf file, emailing to myself, downloading from my email, and uploading to canvas by 730 pm. Then I made a bowl of the last of the spaghetti with 1/3 cup mozzarella cheese and shared with the babies of course. Got a return client who was vaccinated her 2 times and ready to start weekly appointments, right before my 3 pm Tue Lecture, but should be back home on time to start the lecture. I then reviewed some more of my postgres SQL commands and feature functions before going to bed just before 9 pm. No workout today, and probably not for a few days, because onto a new week of reading and lectures and operating the side business and full time employment. I will have to break down my workouts into less weight lifting and probably just cardio once a week and weight lifting 3 times a week however much can be fit like a couple sets of the list of workouts for 30 minutes or something. So I can stay in shape.</t>
  </si>
  <si>
    <t>bertolli alfredo sauce 7 servings 1/4 cup</t>
  </si>
  <si>
    <t>barilla gluten free fetuccini noodles 6 servings 2 oz</t>
  </si>
  <si>
    <t>Fettucin/beyondMeat/red&amp;GreenPeppers/oliveOil4tbs/leeks/BertolliAlfredoSauce 1 pot</t>
  </si>
  <si>
    <t>1 bowl fettuciniAlfredo</t>
  </si>
  <si>
    <t xml:space="preserve">4 corn tortillas Guerrero brand
(200	2	0	4	42	4	40)
1/2 cup mozzarella cheese
(160	10	7	12	2	0	380)
banana
(105	0	0	1	27	3	1)
2 oranges
(162	0	0	4	42	8	4)
bowl of fettucini makes 5 bowls
(679.4	38.4	13.7	26	63.5	5.2	862)
2 tbs parmesan cheese
(20	1.5	1	2	0	0	100)
1/2 bowl of fettucini
(339.7	19.2	6.85	13	31.75	2.6	431)
1 tbs parmesan cheese
(10	0.75	.5	1	0	0	50)
1/2 small avocado
(161	14.5	2	2	8.5	6.5	7)
1 grapefruit
(92	0	0	2	24	2	0)
=200+160+105+162+679.4+20+339.7+10+161+92
=2+10+0+0+38.4+1.5+19.2+0.75+14.5+0
=0+7+0+0+13.7+1+6.85+.5+2+0
=4+12+1+4+26+2+13+1+2+2
=42+2+27+42+63.5+0+31.75+0+8.5+24
=4+0+3+8+5.2+0+2.6+0+6.5+2
=40+380+1+4+862+100+431+50+7+0
</t>
  </si>
  <si>
    <t>grapefruit 
(92	0	0	2	24	2	0)
1/3 bowl of fettucini
(226.47	12.80	4.57	8.67	21.17	1.73	287.33)
3/4 avocado
(241.5	21.75	3	3	12.75	13.5	10.5)
1/2 bowl of fettucini
(339.70	19.20	6.85	13.00	31.75	2.60	431.00)
2 tbs parmesan cheese
(20	1.5	1	2	0	0	100)
1 orange
(81	0	0	2	21	4	2)
1/2 bowl of fettucini
(339.70	19.20	6.85	13.00	31.75	2.60	431.00)
2 tbs parmesan cheese
(20	1.5	1	2	0	0	100)
1 bowl of fettucini
(679.4	38.4	13.7	26	63.5	5.2	862)
2 tbs parmesan cheese
(20	1.5	1	2	0	0	100)
2 tbs cocao 
(20	1	0	2	6	2	0)
1 tbs honey
(60	0	0	0	17	0	0)
1 1/2 cups almond milk
(60	4.5	0	1.5	3	1.5	270)
=92+226.47+241.5+339.7+20+81+339.7+20+679.4+20+20+60+60
=0+12.8+21.75+19.2+1.5+0+19.2+1.5+38.4+1.5+1+0+4.5
=0+4.57+3+6.85+1+0+6.85+1+13.7+1+0+0+0
=2+8.67+3+13+2+2+13+2+26+2+2+0+1.5
=24+21.17+12.75+31.75+0+21+31.75+0+63.5+0+6+17+3
=2+1.73+13.5+2.6+0+4+2.6+0+5.2+0+2+0+1.5
=0+287.33+10.5+431+100+2+431+100+862+100+0+0+270</t>
  </si>
  <si>
    <t>Woke up at 6 am and got out of bed at 630 AM, my mensa is med-light flow almost done. Made my coffee and fed the babies, the roommate just got home at 6 am and cleaned their pet messes. After my coffee had a lg BM then took my measurements. Made my 2nd coffee before taking the measurements. I was reviewing the chemistry lab procedures before my BM because the prelab questions have to be answered before the lap at 6 pm and also I want to do all of the lab technique write down in the lab manual which is required and answer the questions before my 1 pm client in Norco until about 215-220 pm after disinfecting and packing up supplies. Should get home right before 3 pm when lecture starts. Completed the prelab questions by using word instead of printing and adobe app scanning into the upload. Only 2 questions. But I need to write down the lab procedures for 2 parts in my lab notebook and will have to take photos with adobe scan app to upload. I don't recall/remember if we also do that before class starts to show the procedure is written in the notebook before the lab begins or after we complete the lab. I will have to look that up. Ate a grapefruit for breakfast. Then had a third of the fettucini with 3/4 avocado because 1/4 of it was black already or dark by 9 am. Then starting writing the lab procedures for this week's lab into my notebook. Went to my appointment and she paid for this massage in February, and for the monthly membership's weekly massages for all of March except for the 9th. Note to change to 12 pm from 1 pm. Very nice lady. Got back on time to put the linens in and supplies in wash, and prepare for 3-430 pm lecture. While watching lecture had 1/2 bowl of pasta with 2 tbs parmesan cheese towards the end, but my babies wanted some and I shared but wanted more pasta, so made the rest of the pasta about a full bowl with about 3 tbs pasta and then worked on the SOAP notes and receipt for client and took a break until lab at 6 pm. Lecture ended around 430 pm. I had a cup of 1 tbsp cocoa powder with 1 tbs honey in  1 1/2 cups almond milk warmed up on break. Didn't eat anything else the rest of the night, did dishes on break during lab at 725-745. Went to bed after face routine. Went to bed at 10 pm after face routine and looking at the internet before bed to unwind.</t>
  </si>
  <si>
    <t>Woke up at 330 am and changed menstruation pad then laid back down in bed slept till 430 am and then laid in bed until 445 and got out of bed and ready, the flow of mensa this day is medium. Fixed the babies' food no messes to clean because the roommate got them during the night, and made my coffee. Reviewed driving instrucitons and JD of 9am interview in Irvine. Had a lg BM before my 2nd cup of coffee. Showered after eating a banana then 10 minutes later 2 corn tortilla quesadillas with mozzarella cheese. The roommate said he has been feeling nausious lately since last night. I went to the interview leaving at 815 am and got there right on the dot at 9 am through the parking structure and ringing the doorbell at the 2nd floor of the right building. Went by fast and the 2 dudes Tim and John were very nice and asked the standard data science questions for the data engineer job. Along the lines of what you liked and didn't like about last job, your strengths and weaknesses, where I see my self in the next 5 years, and for data questions about modeling, primary function I would suppose is in required for this job, describe handling data objects like validation and cloud and database management experience, etc. I will see how that went. Looks like a cool building a whole floor of call center and tasks associated with this 4 year old business. I then went to Whole Foods and spent $18 and some change on exactly 6 lg grapefruits, 6 large naval organic oranges, and 2 organic regular sized avocados. Then I went to the Winco in Norco and got some groceries and household goods, came home around 1130 am and made a pot of leeks chopped up about 1/3 cup fresh not much of the white leek showing on the stocks but cheap at under $2 the bushel, and a red and green bell pepper, 1 pkg of beyond meat 4.5 servings and 1 package of the Barilla brand gluten free fettucini noodles 6 servings with the Bertolli Alfredo sauce 7 servings and 4 tbs olive oil to cook the plant based meat and veggies in before adding the pasta sauce to simmer while noodles cooking. I had one of the large oranges from whole foods before preparing the pot of fettucini.I had a bowl with 2 tbs parmesan cheese, it is very heavy. The calories are ridiculous. At work not slow, only 1/2 hour not booked, made a bowl of pasta but it was too heavy and filling to eat the whole bowl with a whole avocado and 2 tbsp parmesan cheese in, so I ate half of it and saved the rest for the babies at home, but only Growly ate some. I also had one of those Whole Foods grapefruits and an orange and the orange tasted the same, but the grapefruit was really good and sweet. A ruby red. Worked on my ch1 homework due today before midnight before work, at work on my phone and in the car on my break and the last questions at home. Sig Figs and conversion factors mostly. Turned it in on time but its automated with every question answered using the Pearson Mastering Lab homework. Tired. Bed by 12 am. Did my face skin routine before bed and started that last night and continued this morning before work.</t>
  </si>
  <si>
    <t>prego 3 cheese pasta, 5 servings per jar about 1/2 cup</t>
  </si>
  <si>
    <t>penne red fennel barilla 2 pkgs for 9 servings total/BeyondMeatPkg/orangeGreenPeppers/zucchini/4 tbs olive oil for whole pot</t>
  </si>
  <si>
    <t>zucchini,https://www.eatthismuch.com/food/nutrition/zucchini,2184/</t>
  </si>
  <si>
    <t>1 bowl double penne beyond zuchPeppersPrego, 1 of 6 servings in a pot of penne</t>
  </si>
  <si>
    <t xml:space="preserve">2 grapefruits
(184	0	0	4	48	4	0)
2 oranges
(162	0	0	4	42	8	4)
4 corn tortilla quesadillas
8 corn tortillas Guerrero brand
(400	4	0	8	84	8	80)
3/4 cup mozzarella cheese
(240	15	10.5	18	3	0	570)
1 pear
(57	0	0	0	15	3	1)
1 apple
(62	0.1	0	0.3	14.9	2.5	0)
1 bowl of penne pasta
(649.00	14.43	2.52	36.85	104.13	18.30	401.23)
1/3 cup mozzarella cheese
(80	5	3.5	6	1	0	190)
=184+162+400+240+57+62+649+80
=0+0+4+15+0+0.1+14.43+5
=0+0+0+10.5+0+0+2.52+3.5
=4+4+8+18+0+0.3+36.85+6
=48+42+84+3+15+14.9+104.13+1
=4+8+8+0+3+2.5+18.3+0
=0+4+80+570+1+0+401.23+190
</t>
  </si>
  <si>
    <t>quads/hips+20</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</si>
  <si>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+20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</si>
  <si>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Woke up at 5 am and got out of bed about 515 am, had a couple cups of coffee then a reg BM. Starting to be spotty for menstruation and throughout yesterday was light, so last day likely for that this cycle. Did some account management and then took measurements at about 610 am. Watching the videos for genetics, plan for working out after work with weight lifting only as its been about a week since last work out of weights but doesn't feel like it. Then going over the virtual tour of the DC program at SCUHS at 6 pm to 730 pm. I should get some printer ink to print out the notes or set up my desk area to look at the lectures and type or draw onto the notes. The whole zoom thing has me reading the ppt file and writing fast the notes and the added lecture notes on top of the notes in ppt and it stresses me out. watched genetics lecture 1 and a few Amoeba Sisters' videos on cell types, functions, organelles, DNA, mitosis, meiosis, etc. Ate a grapefruit and an orange during lecture recorded and the other videos. At work I ate a grapefruit and an orange and 2 corn tortilla quesadillas made when I made my 2 corn tortilla quesadillas for breakfast with mozzarella cheese. Also had a pear for breakfast and an apple after work. The pear gave me a little bit of gas and the apple did too. I worked out before the zoom virtual tour for SCUHS on the DC program from 6-730 pm. And also made dinner a pot of 2 pkgs of red lentil penne pasta, 1 jar of Prego 3 Cheese sauce, 1 orange pepper, 1 green pepper, 1 zucchini, 1 pkg beyond meat. I had a bowl with about 1/3 cup mozzarella cheese. Then watched the virtual video until 750 pm after the Q&amp;A, seems like a cool program, need a general biology after this chemistry for the 10 term track otherwise its the 12 term track. I have Genetics to do with the videos and then Chemistry. We have a quiz tomorrow during lab at 6 pm on proctorio. I got used to being on camera but only showed my top head from eyebrows to scalp with my thin spot in the middle in virtual Q&amp;A.  Looked at the Amoeba Sister videos on Canvas for Bio18 genetics. Also at the chemistry quiz 1 announcement. Feeling tired. Went to bed around 930 pm.</t>
  </si>
  <si>
    <t>bowl of penne
(649.00	14.43	2.52	36.85	104.13	18.30	401.23)
1/3 cup mozzarella cheese
(80	5	3.5	6	1	0	190)
2 tbs parmesan cheese
(20	1.5	1	2	0	0	100)
1 grapefruit
(92	0	0	2	24	2	0)
1 orange
(81	0	0	2	21	4	2)
1 tbs cocoa powder
(10	0.5	0	1	3	1	0)
1 tbs honey
(60	0	0	0	17	0	0)
1 1/2 cups almond milk
(40	3	0	1	2	1	180)
2 eggs
(140	10	3	12	0	0	140)
1 tbs olive oil
(120	14	2	0	0	0	0)
2 quesadillas
4 corn tortillas Guerrero brand
(100	1	0	2	21	2	20)
1/2 cup mozzarella cheese
(80	5	3.5	6	1	0	190)
1 tbs cocoa powder
(10	0.5	0	1	3	1	0)
1 tbs honey
(60	0	0	0	17	0	0)
1/4 cup almond milk
(10	0.75	0	0.25	0.5	0.25	45)
bowl of penne
(649.00	14.43	2.52	36.85	104.13	18.30	401.23)
1/3 cup mozzarella cheese
(80	5	3.5	6	1	0	190)
2 tbs parmesan cheese
(20	1.5	1	2	0	0	100)
1 tbs cocoa powder
(10	0.5	0	1	3	1	0)
1 tbs honey
(60	0	0	0	17	0	0)
1/4 cup almond milk
(10	0.75	0	0.25	0.5	0.25	45)
=649+80+20+92+81+10+60+40+140+120+100+80+10+60+10+649+80+20+10+60+10
=14.43+5+1.5+0+0+0.5+0+3+10+14+1+5+0.5+0+0.75+14.43+5+1.5+0.5+0+0.75
=2.52+3.5+1+0+0+0+0+0+3+2+0+3.5+0+0+0+2.52+3.5+1+0+0+0
=36.85+6+2+2+2+1+0+1+12+0+2+6+1+0+0.25+36.85+6+2+1+0+0.25
=104.13+1+0+24+21+3+17+2+0+0+21+1+3+17+0.5+104.13+1+0+3+17+0.5
=18.3+0+0+2+4+1+0+1+0+0+2+0+1+0+0.25+18.3+0+0+1+0+0.25
=401.23+190+100+0+2+0+0+180+140+0+20+190+0+0+45+401.23+190+100+0+0+45</t>
  </si>
  <si>
    <t xml:space="preserve">Woke up at 4:50 am, got out of bed around 5 am. I also got up around 12 am to pee. I fed the cat outside because I normally feed the cat at night and morning but last few days only in the morning. It was really windy outside. When I peed before making my coffee, it was yellow and no mensa spotting so my menstruation is gone and I need to drink more water. Made my cup of coffee and fed the babies after cleaning up their messes. I cleaned up their messes before feeding the cat outside. They didn't want to go outside to pee at first, but did once I went back out side to unlock the gate to push the wet cat food can away from the gate. I had a reg BM before finishing my first cup of coffee. Then used my tv as a display to help with taking the notes on the ppt files of my genetics course. Got throught the mitosis video and then took my measurements at 615 am approximately. I had finished my 2nd cup of coffee by then. After finishing the lectures of week 2 genetics around 7 am I had a bowl of penne pasta with 1/4 cup mozzarella cheese and 2 tbs parmesan cheese then a grapefruit. Then looked at my Ch1 hw from chemistry 1a responses that could be printed out from mastering. The sigfigs are for sure needing a review they get tricky between responses like div/mult lowest sfs but add/sub w/ dec. lowest dec. No dec in any then drop dec if not lowest sigfig, etc. Tricky problem on prelab questions only 2 earlier this week, because the solution had 1 or 2 sfs and looked at the original sigfig values in the question to get there. She does deduct 100% of the question points if sfs not exact as they should be. Need to review the prefrixes like milli and nano tetra etc or teta? Also the conversions, but we should get that handed to us. The Kelvin scale on mastering is also not the same as what formula is, so the +237.5 for degrees Celsius is actually +237.15 and when I looked at the notes and study guide it did show the latter, did affect responses to sigfigs in hw. Also, look over assignments in both. Ch2 hw in genetics and chemistry, quiz in lab in chemistry today, hw ch2 for chemistry in mastering lab, and prepare for quizzes coming up in both courses. Not sure when, have to review syllabus. I am eating more when I get stressed because of the autonomic nervous system parasympathetic response opening up the sympathetic response instead as I know it controls digestion and can either be one or the other in body. Can't be stressed and relaxed at the same time. The other way is to sleep more, but that is procrastination and not doable this early in the day unless my mind is too tired or weighed down to think. Plus when eating some more added stress because Princess competes with me and makes me feel guilty for not sharing as much of my food. I have to keep giving her a bite, even my grapefruit, because she keeps waving her tail like those people at the kid drop off at am elementary when dropping off neices when they were young, 'move it, move it, hurry up, you can go faster, not fast enough, people are waiting, hurry,...' thats what that nonstop motion of the arm they keep waving 'forward' in circles to each driver, same with her tail. Love her, she is so adorable, but that is also added stress. Started my review of ch1 by 745 am after venting. Not studying straight through, did the dishes from me and the roommate or myself and the roommate and then filled out FAFSA because I do need to do that for the chiropractor program. I didn't fill one out this year, school code 001229. Made a mental note yesterday Dec29. Also made a cup of almond milk with 2 tbs cocoa powder, 1 1/2 tbs honey and 1/4 tbs instant coffee. Around 930 am I had the last orange. I no longer have any grapefruit or oranges, just a few apples and pears that give me gas. Just before 10 am I had another reg BM. Around 1045 am I have really just been procrastinating on studying and didn't read through all the hw to study for quiz 1 in chemistry 1a, but wrote the questions for genetics quiz 1 that is next week. I planned on studying the ch1 worksheet key and powerpoint slides to chemistry 1 a and still have 4 hours until class starts, but decided while doing laundry that I started around 945 am that I was hungry a little after 1030 am and made some fried eggs in the Winco spray canister of olive oil that is darker like motor oil grease and interestingly lists a 1/4 second spray as a serving that has 0 calories, 0 fat, 0 saturated fat, 0 protein, 0 carbs, 0 fiber, 0 sugar and 0 sodium. I know that to not be true and will take a photo. This could be a carcinogen and hopefully not, but I will use the nutrition facts for olive oil in the jar. I have to get more because I used the last of it yesterday making the pasta with 4 tbs olive oil to use the last. Thought about going to Aldis to get more before making my fried eggs 2 of them and 2 corn tortilla quesadillas with 1/2 cup of mozzarella cheese, but then decided not to. Made another cup of coffee with 1/4 tbs instant and water mostly with 1/4 cup almond milk, cocoa powder 1 tbs, and 1 tbs honey added after microwaving the water. Then reviewed the ch1 wkst key or solns with the power point. I took a nap around 1130 am until 12 pm then had a missed call from work to come in tonight if possible and another call that was labeled 'Loraine' but no voicemail and this caller called again after my 2nd nap but I didn't see if the person left a voicemail. I didn't want to answer any questions about the mobile massage business right then and I get weird calls from dudes that don't sound like respectable dudes that I would want to go to their house and massage that call as female caller IDs and this person actually didn't leave a voicemail or I am not getting the voicemail. I called work back to tell them I am going to have class tonight and can't and every Tue/Thur is class. Also, feeling tired again after waking up but not getting out of bed until the phone rang, so I laid back down for a nap a little after 1 pm and slept until 2 pm feeling much more awake. Quiz not fair on time, didn't allow to start exactly at 6 pm, had to refresh after 6 pm, then have time to test proctorio, then irritated while keeping track of sig figs and prefix multipliers. best score was 15 out of 25, missed some for sigfigs and 1 completely passed unaware it was a separate question, then it ended at exactly 625 pm. She is going to grade it on a curve. I hate timed exams with a shit load of calculations and minimal time to do them. She said she would give 5-10 more minutes. That and being scrutinized by camera while taking the exam. Designed to stress you out 100 fold than whether you know the problem. Or the content. She might be 65 or older because she already recieved her 2nd dose of vaccinations, and there is a 3 week wait from first dose and the teachers were only recently allowed to vax She looks at least 10 years younger but the age could be why the style of test taking is to stress test takers. She drops the lowest quiz and replaces lowest exam with best exam score by the end of the term. She said this when coming from the break and forgetting to turn on her mic, then to share her screen in zoom. I need the class though like every other class ever taken. I know for a fact stressing yourself out for grades has 0 rewards in the real world in getting hired. zero. The exams shouldn't be designed to see how you think under pressure as if deactivating a bomb but should be on how well you know the content. I got 11 pts out of 25. I am using this space to vent. She also was corrected on the sigfigs by some other student when reviewing solutions. Bed by 1045 ish. Didn't eat anything since the time before lab started. Not hungry and did have another cup of hot cocoa and honey with almond milk. A regular sized bowl of pasta was the last meal for the day at around 430 pm. Worked on the lab report for an hour after lab. But the HW2 is due Monday while report due Thursday. Good to have it with a realization tabular data emailed as pasted table in outlook didnt copy to Excel and wasted 20 minutes getting it in Excel in bits and pieces. Went to bed by 11 pm and didn't do my face routine all day. I will restart this morning. My face was getting a dry spot by the left nostril and cheek by the nostril. from the toner and product I assume. </t>
  </si>
  <si>
    <t xml:space="preserve">bowl of penne
(649.00	14.43	2.52	36.85	104.13	18.30	401.23)
1/3 cup mozzarella cheese
(80	5	3.5	6	1	0	190)
2 tbs parmesan cheese
(20	1.5	1	2	0	0	100)
bowl of penne
(649.00	14.43	2.52	36.85	104.13	18.30	401.23)
1/3 cup mozzarella cheese
(80	5	3.5	6	1	0	190)
2 tbs parmesan cheese
(20	1.5	1	2	0	0	100)
40 green grapes
(8.5	0	0	0	36	0	1)
bowl of penne
(649.00	14.43	2.52	36.85	104.13	18.30	401.23)
1/3 cup mozzarella cheese
(80	5	3.5	6	1	0	190)
2 tbs parmesan cheese
(20	1.5	1	2	0	0	100)
= 649+80+20+649+80+20+8.5+649+80+20
=14.43+5+1.5+14.43+5+1.5+0+14.43+5+1.5
=2.52+3.5+1+2.52+3.5+1+0+2.52+3.5+1
=36.85+6+2+36.85+6+2+0+36.85+6+2
=104.13+1+0+104.13+1+0+36+104.13+1+0
=18.3+0+0+18.3+0+0+0+18.3+0+0
=401.23+190+100+401.23+190+100+1+401.23+190+100
</t>
  </si>
  <si>
    <t>Woke up at 510 am and got out of bed by 525 am. The roommate got home at that time while I was cleaning up pet messes, made my coffee and fed the babies. Had my first cup of coffee and waiting my BM before taking measurements since the waist line measurements change. I finished my two cups of coffee and no BM, but feel like if I drink more water it will happen. Right after typing that last sentence I felt a BM passing through and had a lg BM that slightly pulled on my insides on the way out with a little cramping and abdomen growling. Took my measurements at 630 AM. I might do my cardio kickboxing today for 45 minutes, but I will see how the homework goes. At lunch some dude has been commenting on my last cardio kickboxing post on instagram to check my messages and asked if I got any for a few days now. The last time I did cardio kickboxing about 6 days ago. I kept forgetting. I saw he messaged me and checked the message, and was shocked to receive a dick pick. It was out of left field as the cliche goes. And I didn't recognize what it was because it was erect and shiny like an oiled arm. I couldn't read the messages. But it was really funny to me. I haven't seen a penis, other than my roommates dangling non-erect one in many years and probably an erect one for like 8 years. It was creepy, but makes me think someone is stalking me from chemistry class, because he asked for my whatsApp number and I don't use whatsApp but I gave my phone number to the chat on Zoom for whatsApp last week and have since had this dude or 'character' hit me up on instagram. He was soliciting himself for free and said he can go 4x and wants to F*ck and girls liked to get F*cked and then sent a picture of that erect penis. Not sure if its his. But I took screen shots and deleted the threads and couldn't stop thinking how weird that someone sent me a dick pick and that the whole time I have been on instagram nobody has ever done that.  I emailed a client I was communicating with in Murrieta to see if she wants to keep her appointment tomorrow because she originally wanted 10 MLD massages post-op but she lives too far and I can't get to her house on week days because an hour massage would take me 3-4 hours in traffic to get to her and to get home after the massage. Only on weekends. She lives a little more than 25 miles from me too about 32 miles on google maps when I looked at their historical data for driving at the times she wanted a massage. I will see if she wants to keep it. I wrote that if I dont' hear anything by 9 pm that I will cancel the massage appointment still scheduled. She never replied to the last email I sent her notifying her of the reason I cannot massage her M-F. At work I had about 40 green grapes, small ones I got a few days ago at Winco, and a bowl of the penne pasta with 1/3 cup mozzarella cheese and 2 tbs parmesan cheese. I heard from the client via email on my lunch break and she does want the massage in Murrieta. So I will be doing that after work tomorrow. I have homework to do this weekend. Two Chapter 2 assignments for both courses due Monday. I worked out today after work about 10-15 minutes after I got home starting at about 515 pm and did 15 3-minute rounds of cardio kickboxing and 1 minute rest intervals between, with the last half of the rounds in somewhat dark lighting as the sun set a few minutes after starting my workout. I didn't eat anything else when I got back home or after my workout but might before bed. I have to get up at 530 am to get ready and be at work before 8 am. Going to start my homework now for both classes. Starting with chemistry first, then genetics. A few questions here or there, then going to eat something and do some more. I got through half the questions while reading the actual text book to see what the questions referred to. The ppt slides weren't really very explanatory to me. I should just read each chapter then use the ppt slides. Tired. I ate the last bowl of penne with the same mozzarella and parmesan cheese. Looked over the genetics homework. A quiz on ch1 next week, not posted only announced in announcements section with a posted study guide. No ch2 worksheet to turn in for chemistry that I could see, but we do have a worksheet for chapter 2 and the key. So not sure why if we turned in ch1 wkst last week with adobe scan of our answers. We also have a quiz next week on this chapter. Going to bed. Its about 945 pm.</t>
  </si>
  <si>
    <t>mandarin orange 1, calorieking.com</t>
  </si>
  <si>
    <t xml:space="preserve">Woke up at 315 am because Goody was barking, then peed, went back to bed and woke up at 530 am by alarm groggy and tired. The rommate got back at that time. Had 2 cups of coffee while making notes on appointment after work today and checking the rommates online action figure orders. Had a reg BM, then took measurements by 625 am. Not going to have time to workout today. So far, the workouts have been once a week of either weight lifting total body or cardio kickboxing for 45 minutes but not on the same day. Today I plan on working more on the last half of the chemistry ch2 mastering lab homework and reading the chapter in bits as needed as well as looking over the worksheet, and also filling in ch2 homework for genetics and looking at the study guide for ch1 genetics for the quiz on Monday. Breakfast was at 630 am 1 corn tortilla quesadilla and 2 scrambled eggs with 1 tbs sourcream and the spray olive oil. I made 3 corn tortilla and mozzarella cheese quesadillas for lunch and brought 40 green grapes approximately and found an orange in my bag of snacks that was good at work on my lunch. A small orange. Full schedule at work then a little traffic on the 91 freeway and some on the 71 before the 91 freeway. Got some olive oil and coconut oil I have been needing to get after work before getting home. Plan on leaving a little after 4 pm for the 5 pm appointment in Murrieta. Needed some coffee so had my 4th cup of coffee, my 3rd cup at lunch time as always. My cups of coffee were 1/4 tbs instant coffee the color of black tea. No keurig yesterday or today from the work community supply in the break room. Keeping track of how much caffiene I have. Also on my lunch break I decided to delete the screen shots of the dude on Instagram who sent me the dick pick, but didn't block him. He reminds me of Borat because his character is middle eastern and the way he talks or text messages. I told him yesterday no thanks and that he's funny. He responded and said he is not funny and that he wants to F*ck. Put that aside, he is muted. I am not sure how to block anybody on instagram I have to google it like I googled checking messages on instagram because I really couldn't find how to. I just wanted to make a note of this. Its very unusual and odd to me. Of all places to comment, on my videos of me cardio kickboxing on my wave master bag outside. Sounds like a stalker and doubtful that guy is a real person but instead a character. Putting that aside, I have an appointment in Murrieta to get to and hopefully no traffic and everything else isn't a problem like parking or hauling my table up a flight or more of stairs. This is a manual lymphatic drainage and she is 10 - 11 days post-op. Went to the new client and ate a couple cups of chex cereal plain that I had in a sandwhich bag in one of my snack bags inside the car a week at the least. It kept me alert digesting the gluten free carbs. Very nice lady. There was some traffic getting there. Got back around 730, stopped by Stater Bros for some avocados, mandarin oranges, bananas, beyond meat patties because thats all they had and some matches for the bathroom. We ran out from last year when we bought a box. Updated this table after making 2 fried eggs in 2 tbs olive oil that I got after work that isn't the spray, and usually only eat about half of however much olive oil I use. And had a whole avocado with it. Then started my chemistry ch2 hw 2nd half of questions. I was able to complete my homework before 10 pm but after 945 pm. I ate 3 mandarin oranges that I got at Stater Bros earlier around 8 pm. Have linens in the dryer. Didn't get a chance to put together tonight's client's receipt and SOAP note but did by 1030 pm. Tired. Bed by 1045 pm. No face routine tonight. Just sticking to mornings. </t>
  </si>
  <si>
    <t xml:space="preserve">4 corn tortilla quesadillas
8 corn tortillas Guerrero brand
(400	4	0	8	84	8	80)
1/2 cup mozzarella cheese
(80	5	3.5	6	1	0	190)
2 eggs
(140	10	3	12	0	0	140)
1 tbs sourcream
(30	10	1.75	0.5	1	0	7.5)
1 tbs olive oil
(120	14	2	0	0	0	0)
40 green grapes
(8.5	0	0	0	36	0	1)
1 orange
(81	0	0	2	21	4	2)
avocado
(322	29	4	4	17	18	14)
2 eggs
(140	10	3	12	0	0	140)
1 tbs olive oil
(120	14	2	0	0	0	0)
3 mandarin oranges
(120	0.6	0.3	1.8	30.3	4.2	6)
2 cups chex cereal
(240	1.6	0	4.8	52.8	3.2	448)
=400+80+140+30+120+8.5+81+322+140+120+120+240
=4+5+10+10+14+0+0+29+10+14+0.6+1.6
=0+3.5+3+1.75+2+0+0+4+3+2+0.3+0
=8+6+12+0.5+0+0+2+4+12+0+1.8+4.8
=84+1+0+1+0+36+21+17+0+0+30.3+52.8
=8+0+0+0+0+0+4+18+0+0+4.2+3.2
=80+190+140+7.5+0+1+2+14+140+0+6+448
</t>
  </si>
  <si>
    <t>Coconut oil Simply Nature organic brand from Aldi, 1 serving is 1 tbs</t>
  </si>
  <si>
    <t>beyond meat 2 pkg burger patties, 2 servings per pkg, for 1 pkg:</t>
  </si>
  <si>
    <t>Rotini red lentil barilla brand 1 pkg is 4.5 servings of 2 oz or 3.5 oz in 2.5 servings</t>
  </si>
  <si>
    <t>pasta rotini with 3 cheese Prego/beyond meat burgers (2)/1 yellow pepper/1 zuchini/2 tbs olive oil, makes about 3 bowls of pasta</t>
  </si>
  <si>
    <t>1 bowl pasta rotini with beyond burger meat</t>
  </si>
  <si>
    <t xml:space="preserve">2 eggs
(140	10	3	12	0	0	140)
1 tbs olive oil
(120	14	2	0	0	0	0)
1 tbs sourcream
(60	5	3.5	1	2	0	15)
1 avocado
(322	29	4	4	17	18	14)
2 corn tortilla quesadillas
4 corn tortillas Guerrero brand
(200	2	0	4	42	4	40)
1/3 cup mozzarella cheese
(106.7	 6.7	4.7	8	1.3	0	253.3)
3 mandarin oranges
(120	0.6	0.3	1.8	30.3	4.2	6)
2 bananas
(210	0	0	2	54	6	2)
1 tbs cocoa powder
(10	0.5	0	1	3	1	0)
1/2 tbs coconut oil
(60	7	6.5	0	0	0	0)
1 tbs honey
(60	0	0	0	17	0	0)
bowl pasta rotini with beyond burger meat prego 3 cheese 
(663.00	25.70	5.95	36.87	76.10	13.10	1035.80)
1 avocado
(322	29	4	4	17	18	14)
4 corn tortillas Guerrero brand
(200	2	0	4	42	4	40)
1/3 cup mozzarella cheese
(106.7	 6.7	4.7	8	1.3	0	253.3)
=140+120+60+322+200+106.7+120+210+10+60+60+663+322+200+106.7
=10+14+5+29+2+6.7+0.6+0+0l5+7+0+25.7+29+2+6.7
=3+2+3.5+4+0+4.7+0.3+0+0+6.5+0+5.95+4+0+4.7
=12+0+1+4+4+8+1.8+2+1+0+0+36.87+4+4+8
=0+0+2+17+42+1.3+30.3+54+3+0+17+76.10+17+42+1.3
=0+0+0+18+4+0+4.2+6+1+0+0+13.10+18+4+0
=140+0+15+14+40+253.3+6+2+0+0+0+1035.8+14+40+253.3
</t>
  </si>
  <si>
    <t>Woke up at 520 am, and felt tired. Had a couple cups of coffee, didn't clean up pet messes because the roommate did when he got home, and I made the babies their food. For breakfast around 7:30 am I had 2 scrambled eggs with 1 tbs sour cream and 1 avocado and 2 corn tortilla and mozzarella cheese quesadillas. I also decided to squeeze my waist trimmer in to the 2nd string of grommets or eyes to fasten which is approximately an inch smaller than the 31" I have been wearing since mid January. It didn't give me any problems at work, and might be another reason not too hungry, but I also ate a big breakfast this morning. For lunch I had a banana and 3 mandarin oranges and my 3rd cup of coffee from the work keurig instead of my instant coffee I didn't pack any carbs for lunch was running late as I did some of my ch2 hw for genetics and on my lunch break while drinking my coffee I went to the Dollar Tree to get some coconut oil and disposable oil bottles and some plates, bowls, and mugs and try out their foot scrub and some battery lit candles. After work had a banana when I got home and made a cup of my 4th cup of coffee with 1/4 tbs instant nescafe cofffe, 1 tbs cocoa powder 1 tbs honey and 1/2 tbs coconut oil. This version tastes better than without coconut oil. I plan on cooking up the beyond beef burger patties but with peppers and the zuchini in the fridge and one of the pastas. Still not sure. Going to sip my cocoa while I work on the rest of the ch2 hw for genetics, then do some studying for both courses. Need to get the rent money order due tomorrow. But will probably get it tommorrow at my bank or at the grocery store. I actually ended up making the pasta then having a bowl of rotini 1 pkg with 1 pkg of beyond meat for 2 burgers, 1 yellow bell pepper, 1 zucchini, and Prego 3 cheese pasta sauce. I had a whole avocado with the pasta and shared some with the babies. No cheese on this bowl. Then started my genetics ch2 hw. The cocoa with coffee sort of gave me the onset of a headache at first so I made the pasta and ate before doing the homework. After completing the genetics week 2 ch2 homework, I reviewed the power point slides for chemistry 1A week 2 and then decided to watch a movie, the first movie trailer looked good, so picked 'Greenland,' a movie about the end of the world but only the best and brightest professions like structural engineers and doctors with their immediate family have to fight to take the plane to the bunkers in Greenland for saving the best of humanity while billions of the others die from a large asteroid and its many parts that kill much of the plant and animal life on Earth. Pretty good movie. The little boy's constant sad, crybaby face of despair was annoying. Because it was like the only face he had on the whole time except when actually saying something about death flashing before your eyes. When you watch other movies with little helpless characters they are usually lively but his emotion the whole time was of a helpless and useless little diabetic kid and I know its mean to say. Its sad really, but he overkills it. Maybe a couple shots of him with that face, but the running around and time constraints weren't really translated to me to make me feel it like in other end of the world movies. And the way the 7 year old boy stayed in the car when he could have unbuckled himself and got out when his mom was forced out so the strangers could have their bracelets is really where the sad and despaired and pathetic face got annoying. He could have at least got out of the car. But the drama had to be a string of events that are obstacles for the family getting saved. Going to do more review tomorrow. Work out the chapter 2 chemistry worksheet with the answers on the slide first thing in the morning and look at the genetics study sheet as well for chapter 1 and see the items to do for week 3. Bed time around 10:15 pm.</t>
  </si>
  <si>
    <t>Silk Almond milk, 1 serving is 1 cup, 1 serving:</t>
  </si>
  <si>
    <t xml:space="preserve">2 bananas
(210	0	0	2	54	6	2)
bowl pasta rotini with beyond burger meat prego 3 cheese 
(663.00	25.70	5.95	36.87	76.10	13.10	1035.80)
1/3 cup mozzarella cheese
(106.7	 6.7	4.7	8	1.3	0	253.3)
2 mandarin oranges
(80	0.4	0.2	1.2	20.2	2.8	4)
1 bowl pasta rotini beyond meat 
(106.7	 6.7	4.7	8	1.3	0	253.3)
2 tbs parmesan cheese
(20	1.5	1	2	0	0	100)
4 mandarin oranges
(160	0.8	0.4	2.4	40.4	5.6	8)
1 serving protein powder pea and mung bean plant based gluten free Olly brand
(130	2	0	18	9	2	320)
1 1/2 cups Almond milk Silk brand unsweet version
(45	3.75	0	1.5	1.5	0	172.5)
=210+663+106.7+80+106.7+20+160+130+45
=0+25.7+6.7+0.4+6.7+1.5+0.8+2+3.75
=0+5.95+4.7+0.2+4.7+1+0.4+0+0
=2+36.87+8+1.2+8+2+2.4+18+1.5
=54+76.10+1.3+20.2+1.3+0+40.4+9+1.5
=6+13.10+0+2.8+0+0+5.6+2+0
=2+1035.8+253.3+4+253.3+100+8+320+172.5
</t>
  </si>
  <si>
    <t>Woke up before my alarm a few minutes before 630 am. I had a weird dream and usually don't but was arguing in it and apparently earlier I had agreed to something about traffic on the PCH to go somewhere while hanging out with my sister and neices with somebody driving and we had a conversation with a guy on the phone like it was a boss of one of us and he said to watch the language, and I took the blame for saying F U repeatedly to the traffic with them agreeing and saying the same, and it turns out whoever was driving not my family but I guess an extension of some earlier dream event I can't recall had everybody look at me with weird expressions on their face like they were confused and as if I was lying and this person asked where I thought we were all going and it was a party. Something I would never go to. And made me wake up like it was somebody trying to manipulate my dreams and thoughts like lucid dreaming or something. Made no sense like most dreams but I actually remembered this one slightly because it woke me up. Anyhow, made my 1st cup of coffee, have to go to the bank or grocery store later to get a money order for rent and put that out front before work. Going to study my CH2 study guide and worksheet for the quizes this week in both courses. Had a lg BM after my 1st cup of coffee and before sipping my 2nd cup of coffee around 720 am. Started a load of laundry before work this afternoon. Started the worksheet around 8 am and had a banana around 830 am, finished the worksheet before 10 am and then had a bowl of rotini pasta with 1/3 cup mozzarella cheese that I shared some with my babies while checking my worked out solutions to the key for worksheet week 2 chapter 2. Went to the bank, then to Target, got some disinfectant wipes, plant based pea protein for work to make my nutrition higher in protein its also gluten free, some actual face moisturizer with sunscreen, generic neutrogena Target brand oil-free face moisturizer non-comedogenic and SPF 15. And more Almond milk, once you open it, plan for only 10 days of it lasting even if a lot in there. I ate the last bowl of the rotini with 2 tbs parmesan cheese and shared some with the babies as usual. Went to work, full schedule. Ate 4 mandarin oranges between the time I got to work and on my break, had a 4th cup of their coffee Keurig Dunkin Donut brand with 2 spoons or a serving of the pea protein powder and 1 1/2 cups almond milk unsweet version. It was not mixing well and was clumpy but was able to drink it. It made me burp a lot that and my waist trimmer at 30" . I wore my 32" waist trimmer to the smallest of the 3 settings at 30" because I washed my other 31" waist trimmer. It was dry by the time I left for work but I didn't put it on because I already had on my 32" one set to 30". I remembered by the time I got through my last massage that I have the lab report due today. She accepts late assignments but not missed quizes or exams. I check regularly the grades but didn't remember. I thought for some reason it was this Thursday. I might be right still and its this Thursday. But not sure. Actually I was originally right, Whew! Because it is due this Thursday. Not a bummer. Good thing. Got an email from Indeed that the data engineer job is on hold, but it is nice for the update that they sent recently. I am too busy to drop everything right now but that place looked like I could have fit in. That happens with data science and data engineer jobs. They did that with the Kaiser Data science job as well and an IEHP data science job. I need to get a smog check on my dodge that I am trying to sell and might do that tomorrow morning. Tred requires it, but also I want to make sure my engine and catalytic converter is still working because I still have a 100k warranty on it and it is only at 74k miles. Tomorrow I have a 12 pm massage client on monthly membership. A very nice, friendly and respectable lady as most my clients are. Its not that far away. I plan on working on my assignments, possibly getting a smog check somewhere close by and also possibly changing the oil in my Ford Transit connect for the first time because it is 3 months since I bought it and almost 3k miles. I looked at the video and its traditional style with the oil filter on the bottom by the oil pan and have to take off the under carriage shield. I have to find my other oil filter tools to remove it or buy one.  Went to bed after 1145 pm about 12 am asleep.</t>
  </si>
  <si>
    <t xml:space="preserve">3 eggs
(210	15	4.5	18	0	0	210)
2 tbs sourcream
(60	5	3.5	1	2	0	15)
2 tbs olive oil
(120	14	2	0	0	0	0)
2 tbs cocoa
(20	1	0	2	6	2	0)
2 tbs honey
(120	0	0	0	34	0	0)
1 tbs coconut oil
(120	14	13	0	0	0	0)
8 corn tortillas Guerrero brand
(400	4	0	8	84	8	80)
4 slices provolone cheese
(280	20	12	20	0	0	680)
5 mandarin oranges
(200	1	0.5	3	50.5	7.0	10)
=210+60+120+20+120+120+400+280+200
=15+5+14+1+0+14+4+20+1
=4.5+3.5+2+0+0+13+0+12+0.5
=18+1+0+2+0+0+8+20+3
=0+2+0+6+34+0+84+0+50.5
=0+0+0+2+0+0+8+0+7
=210+15+0+0+0+0+80+680+10
</t>
  </si>
  <si>
    <t>Jamba Juice med sz PB banana smoothie</t>
  </si>
  <si>
    <t>Red Fennel Penne with Prego 3 cheese sauce plain, whole pot</t>
  </si>
  <si>
    <t>1 bowl penne 3 cheese sauce plain</t>
  </si>
  <si>
    <t>2 bowls penne 3 cheese sauce plain</t>
  </si>
  <si>
    <t>1 pc dark chocolate covered honeycomb Sprouts https://www.fatsecret.com/calories-nutrition/sprouts-farmers-market/dark-chocolate-honeycomb</t>
  </si>
  <si>
    <t>Woke up around 6 AM got out of bed at 630 AM. Made coffee, no messes to clean the roommate cleaned them as he arrived at that time before I got out of bed, made babies their food. While sipping cup of coffee the 1st one filled in the blank on ppt of ch1 from wk1 genetics. I had emailed the instructor about not being able to download her respondus lock down app she stated in her announcement we would need, bc the site says we students get the link from our school instructor. Didn't check this morning, but finished reviewing the slides and answering the quiz 1 study sheet by 8 am. Made some scrambled eggs with 2 tbs sourcream and 2 tbs olive oil, 3 because last of the dozen and need more, didn't want just one egg in there. One was a waste from that dozen. Not sure if I bought it with a hole in it or the roommate did it on accident. He pushes stuff around a lot more aggressively than needed. Had my reg BM before my 2nd cup of coffee. I finished the 2nd cup of coffee around 715 am when studying and filling in worksheet. Took measurements while waiting for eggs to cool. I started the protein powder yesterday and noticed I gained weight and ate less calories yesterday. I also had a different measurement on thighs when lifting it and flexing that was more than having it propped on dog stairs to bed as usual, so left kitchen to take the measurements the exact way I have been in the exact spot for weight scale and using the same relaxed method of measuring to the tightest the tape measure and clippers for fat can go. I ate breakfast 10 minutes later and checked email. I then reviewed some more of the ppt and notes on study guide then took quiz with the link on the site for the quiz. Went to the client's house and everything felt fine, I stopped by autozone and Staples before in Norco, felt great. As soon as I got there, she was very nice as usual but saw a used condom on the street in front of where I parked and was disgusted, then it escalated to the smell of the camphor in her candle. I had two face masks on but felt kind of nauseated or sick to my gut I kept smelling it. I worked on her knee after setting up with the 25% 1MHz RF 3 pronged for the knee R side and ATB that side for her knee surgery wound a few years ago thats tender used the CBD and the lavendar. I had been smelling peppermint from the time I put the 3 aromas eucalyptus, peppermint, or lavendar in my pockets for my scrubs pocket supplies of the gua sha with grooves for face black onyx type bull's horn material, the aromatherapy, rubbing alcohol, wash cloth clean, dish soap in a bottle for hand washing, my wallet and keys. I was able to work on her before knowing something like sickness would take over. I had to excuse myself while she was turned over and go to the restroom. Didn't have a BM, but put cold water on my hands and breathed without mask, I had put rubbing alcohol on it and later peppermint aromatherapy to try and fix the sickness I felt coming. I felt better, she was the same with L leg still uncovered. I started working on the rest of that leg then the R leg and felt it come on again. This time to have a lg BM, not diareah but close, cold water on hands, breath, felt better, went back to client and finished that leg, her husband opened the windows because he closed them before I got sick the first time because client was cold, and it locked the camphor smell in. I was able to work on clients back. She was very understanding this whole time and hospitable. I was doing great then went for deeper pressure on ESM R side, made it to L side, then had to excuse myself. I had diarhea this time. I took off my waist trimmer after the 2nd BR break and this was the 3rd. I also washed my hands with the soap I brought and wiped with washcloth. I put their toilet paper down on the toilet each time I sit on it, and used the last of their TP, I had to wipe with their tissue kleenex and luckily they had it there. I felt better after that round and was able to wash hands spray their freshener and finish the massage. I started at 1215, each BR break took about 5 minutes. I ended at 135. She still tipped me $10 which is super nice of her. She is very understanding, her and her husband and didn't make me feel guilty for being sick. We think its the waist trimmer but maybe the coffee. I didn't have a fever and my allergies upset me with bright lights and smells. I massage her again in 2 weeks because she is a monthly subscriber but out of town next week. Felt better by the time I got home, but when doing my laundry and the linens, think I might have left my wallet in my pants when put in wash and couldn't fish it out. Not in the car either or with my stuff. Hopefully I didn't leave it there on the bathroom sink when I put some stuff on the counter. No working out today, I have class at 3 pm in less than 5 minutes. I bought stuff for my oil change including heavier 16k rhino ramps for the lifting up of van onto ramp for oil change, synthetic oil, a filter, and a filter removing tightening band wrench earlier. Wanted to have time for doing the oil change and working out. Might have to pick one or not do either one. I have a break at 430 pm, but first time changing my Ford's oil. Growly had a terrible seizure right when I got back from the massage. He must have triggered it from a smell, the aromatherapy and the oils were in my clothes and my pockets. I waited with him massaging his back and neck and head and patting his back until he got better. He tried to stand and turn over a couple times. Poor little guy. Thought he might die. Thankfully he didn't. Didn't eat anything until the break after 430 pm a couple corn tortilla quesadillas with provolone cheese. I looked at the filter and it looks like it has some edges on the grooves that are cut, I went over it making sure it is smooth and not going to go on the oil filter site with any problems catching the goove. It was open box with tape, the last oil filter for that kind, and the cashier took it with him to get the correct size oil filter wrench band with a pocket knife to cut the tape that he pulled out at the counter. He had a bad vibe about him, detached and not that friendly. But not mean. I changed my oil and it took me a tiny bit longer than expected, couldn't get the Ford on the ramps, took 4-5 tries, and the 3rd or 4th time it fell off on the right side and I ran over it, but they weren't damaged, which is awesome. I had to join the lab late, and then ate a couple quesadillas with provolone cheese and 3 mandarin oranges. I had a couple of quesadillas the same way before the lecture started as well. In total 4 quesadillas and 5 mandarin oranges, because I ate 2 more on my break at 750. Also had a cup of cocoa with 1/4 tbs instant coffee and 1 tbs honey. We worked on the Excel notebook. Have lots of studying to do, but was able to turn in that assignment. To recap a report from last week due Thursday, and many assignments this week including a quiz on last weeks lectures and homework and memorizing some ionic compound formulas and charges. Not too worried, and a discussion in genetics on describing the photo on mitosis and replying to another student's with less than 3 replies. As well as this week's homework and review of the ch3 and week 3 lecture and ppt slides. After the chemistry zoom course ended, noted the day in this research database and then worked on today's client's notes and receipt. Bed time around 11 pm.</t>
  </si>
  <si>
    <t>kirkland salted roasted almonds snack size pack of almonds</t>
  </si>
  <si>
    <t>sprouts dark chocolate covered cranberries serving size 13 pcs</t>
  </si>
  <si>
    <t xml:space="preserve">2 bowls of red fennel penne Prego 3 cheese plain
(783.33	9.17	2.50	45.00	138.33	21.67	1600.00)
1 slice of provolone cheese
(70	5	3	5	0	0	170)
2 tbs parmesan cheese
(20	1.5	1	2	0	0	100)
1/2 cup mozzarella cheese
(80	5	3.5	6	1	0	190)
1 PB banana smoothier med sz
(570	24	6	37	58	5	480)
1 grapefruit
(92	0	0	2	24	2	0)
1 orange
(81	0	0	2	21	4	2)
dark chocolate covered honeycomb Sprouts
(50.00	2.00	1.17	0.33	8.00	0.00	28.33)
orange
(81	0	0	2	21	4	2)
kirkland almonds salted and roasted 1 pkg
(270	24	2	9	9	6	180)
sprouts chocolate covered cranberries about 1 serving 13 pcs
(130	8	5	2	28	3	1)
=783+70+20+80+570+92+81+50+81+270+130
=9.17+5+1.5+5+24+0+0+2+0+24+8
=2.5+3+1+3.5+6+0+0+1.17+2+5
=45+5+2+6+37+2+2+0.33+2+9+2
=138.33+0+0+1+58+24+21+8+21+9+28
=21.67+0+0+0+5+2+4+0+4+6+3
=1600+170+100+190+480+0+2+28.33+2+180+1
</t>
  </si>
  <si>
    <t>Woke up at 530 am by alarm and laid in bed 20 minutes, then got up. I also got up before that around 345 to pee and went back to bed. Had my 1st cup of coffee, cleaned up the pet messes, and made the babies their breakfast. Watched a couple of the Amoeba Sisters youtube videos for genetics and folded laundry while drinking 2nd cup of coffee. Didn't have a BM, so made a 3rd cup of coffee and had a sm BM before drinking it. I put a little more instant coffee in 2nd cup and about 1/3 tbs in 3rd cup, with about 1/2 tbs in 2nd cup and 1/3 tbs in 1st cup as the usual amount of instant coffee in my cups of coffee. Have to monitor this to make sure I don't get a headache later or drink too much. Took measurements before drinking 3rd cup of coffee. Have pasta on the stove to make for breakfast, red lentil with pasta sauce Prego 3 cheese and parmesan cheese and provolone cheese. No veggies or fruit, have to go grocery shopping and workout with weight lifting later today, then finish the chemistry lab from last week. At work I didn't bring my lunch but I had a jamba juice gift card from work for my birthday in January for $10 that I washed in my wallet that I washed last night. I got a Jamba Juice pea protein in PB Banana smoothie and had the cashier let me take a photo of the medium drink nutrition facts and keep the change as a tip from the gift card. Then after work I went to Winco and bought groceries, but it was a big ordeal today when I paid cash with what I had and the rest on my debit card, because she went ahead and put in cash for the total order and it cashed/closed out the order before I could pay the remaining with my debit card. I had to have two other people figure out what she did, when you would think it wouldn't be that difficult. But the cashier gave me back the $70 I paid of the $102 approximate order where I was supposed to pay the remaining on my debit card. They took me to their money order area and I gave the guy the $70 the cashier gave me and he had to call to make sure she gave me the $70. It was weird but I paid with my debit card the remaining, and he gave me the receipt that said I paid cash and since I had gloves and rubbing alcohol on my hands when I grabbed the receipt and folded it to put in my shirt pocket of my scrub the ink came off most of the receipt instantly. I also let a skinny young guy cut in line ahead of me to buy one canned alcoholic drink. Maybe it was karma or something. He paid cash and was thankful, but no sense in him waiting because the 15 item or less self check out lanes don't allow alcohol purchases. When I got home after unloading the groceries, I had a grapefruit and a bowl of the red fennel penne pasta with Prego 3 cheese sauce and 1/2 cup shredded mozzarella cheese, then an orange. When I removed and moved around stuff in the fridge I saw some chocolate I bought at Sprouts before starting my diet and exercise research back in early January. I still had a chocolate covered honey comb and don't remember what the other chocolate covered things are in the sandwhich bag but maybe almonds. I ate the chocolate covered honey comb before eating the grapefruit and bowl of plain penne pasta with mozzarella cheese. It rained today and was cold, I also have tons of homework to do so not working out today. Tomorrow for sure because it is now 7 days since I lifted weights. Took me a very long time to finish the rest of the lab from week 2, from 5 pm to around 1115 pm, and I already did most of part 1, typing in the formulas and answering the questions. I still need to take a photo of the lab manual procedures and attach them to the word file and save as one pdf file. Bed time around 12 am after doing the dishes from earlier and chewing more ice. I also had an orange around 930 pm. and a pack of kirkland almonds from the work breakroom snack supply, and about a serving or 1/4 cup 13 pcs of dark chocolate covered cranberries that were in the fridge that I thought were dark chocolate covered almonds.</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</si>
  <si>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tricep chair dips 3 sets 12 reps no added weight
quads with leg extensions sitting 3 sets 8-10 reps 45 lbs
rhomboids scapula abduction 3 sets 8 reps 30 lbs    
biceps curls 40 lbs 3 sets 8 reps 
bench press 3 sets 6 reps barbell 85 lbs	</t>
  </si>
  <si>
    <t xml:space="preserve">2 corn tortilla quesadillas with mozzarella cheese
4 corn tortillas Guerrero brand
(200	2	0	4	42	4	40)
1/2 cup mozzarella cheese
(160	10	7	12	2	0	380)
1 grapefruit
(92	0	0	2	24	2	0)
2 eggs
(140	10	3	12	0	0	140)
2 tbs sourcream
(60	5	3.5	1	2	0	15)
2 tbs olive oil
(120	14	2	0	0	0	0)
2 tbs cocoa powder
(10	0.5	0	1	3	1	0)
2 tbs honey
(120	0	0	0	34	0	0)
banana
(105	0	0	1	27	3	1)
pea protein 2 scoops
(130	2	0	18	9	2	320)
almond milk 1 1/2 cups
(60	4.5	0	1.5	3	1.5	270)
2 tbs cocoa 
(10	0.5	0	1	3	1	0)
2 tbs honey
(120	0	0	0	34	0	0)
grapefruit
(92	0	0	2	24	2	0)
2 servings of the chocolate covered cranberries
(260	16	10	4	54	6	2)
bowl of penne plain with prego 3cheese sauce
(391.67	4.58	1.25	22.50	69.17	10.83	800.00)
2 provolone slices in pasta
(140	10	6	10	0	0	340)
banana
(105	0	0	1	27	3	1)
3 corn tortillas
(150	1.5	0	3	32.5	3	30)
1/4 cup mozzarella cheese
(80	5	3.5	6	1	0	190)
=200+160+92+140+60+120+10+120+105+130+60+10+120+92+260+391.67+140+105+150+80
=2+10+0+10+5+14+0.5+0+0+2+4.5+0.5+0+0+16+4.58+10+0+1.5+5
=0+7+0+3+3.5+2+0+0+0+0+0+0+0+0+10+1.25+6+0+0+3.5
=4+12+2+12+1+0+1+0+1+18+1.5+1+0+2+4+22.5+10+1+3+6
=42+2+24+0+2+0+3+34+27+9+3+3+34+24+54+69.17+0+27+32.5+1
=4+0+2+0+0+0+1+0+3+2+1.5+1+0+2+6+10.83+0+3+3+0
=40+380+0+140+15+0+0+0+1+320+270+0+0+0+2+800+340+2+30+190
</t>
  </si>
  <si>
    <t xml:space="preserve">Woke up at 530 AM, but got out of bed around 6 am. Made my coffee and fed the babies, took photos of the lab manual procedures and results I wrote in during the lab last week for this report and uploaded to computer to attach or insert into the word document of the lab report (informal ) to save as one pdf file to turn into canvas thats due today. Finished my 1st cup of coffee, had a lg BM, took my measurements, and made another cup of coffee. The images attached nicely of the lab report as inserted as is. I ordered a new ankle strap for weight lifting with the cables a few days ago on Amazon and signed up for Prime again, and also bought some gold hoop earrings for my mom as her birthday is the 8th on Monday through Amazon. I checked my notifications today. Mom should get her earrings Friday. I had bought some jade hoops for her and a bracelet for Christmas because I felt bad her bracelt wasn't held together like it should be and told her the jade hoops were her birthday gift, but I bought her some gold hoops too. She has been waiting for her stimulus check to get her dental work done. I texted her the photos when I made the order, but she never responded. Probably never checked her phone. No notifications that are new. I won't be getting my workout ankle strap until mid March and the eye pillows with removable covers probably sooner for work. I was considering working out this morning before the genetics class. But not feeling like it. Have more to do for homework. Actually, I got it wrong, the ankle strap comes in today and the eye pillows won't arrive until mid march, and Mom should get her earrings today by 8 pm. I will call her later. We get paid tomorrow because the pay day falls on the weekend. Yay! but only 10 days on the check instead of 11, not a bummer but a few hundred less than normal. The genetics course is using login zoom meetings on Thursdays. Started this week, was going to be Q&amp;A with recorded lectures posted before class. Did the prelab questions then made a banana pea protein cocoa almond milk shake then a nap for 20 minutes from 1 pm to 120 pm, then looked over week 2 wkst solns to study for ch2 quiz at chemistry lab today then worked out at 2 pm for all exercises same as usual no increases or decreases, bench press not done all the way but done. Then joined lecture on zoom for chem1A and did laundry of clothes and bed coverings to keep them clean and covers and pillow cases and fitted sheet. Took some notes on wk 3 lecture. Had a grapefruit. It goes right through Princess, and she only eats it if I feed it directly to her. Only 3 cups of coffee at this point because I had some instant coffee in my cocoa earlier with honey. Ate last bowl of plain penne with 2 slices provolone before lab and while studying then a banana during the break in lab. Tired by the last 40 minutes of lab with nomenclature of all compound types. Took out laundry to put on bed and away. Tired bed time by 10 pm. I wanted a snack before bed so made 1 1/2 corn tortilla quesadillas with mozzarella cheese and drank a little bit of water. Might be dehydrated. I also checked email and saw that my ankle strap was delivered and its awesome, has foam pad on it that keeps the strap from pinching and prevents the aches my other strap has. Will see how sturdy it stays strapped with the velcro. Because the other one releases while in motion if not secured tightly and pressed along the velcro tediously. Happy about it. I forgot I was having it delivered at my home address and not the locker because Amazon doesn't deliver for it as a 3rd party seller on Amazon. </t>
  </si>
  <si>
    <t>rotini 2 pkgs/beyond 1 pkg/prego3cheese 1 jar/3 bell peppers red-green-yellow/3 cups greenbeans/2 tbs olive oil 1 pot makes about 6 bowls the size I eat</t>
  </si>
  <si>
    <t>1 bowl rotini 3-5-2021 recipe</t>
  </si>
  <si>
    <t>2 bowls rotini 3-5-2021 recipe</t>
  </si>
  <si>
    <t xml:space="preserve">rotini red fennel 2 pkgs/prego 3 cheese 1 jar/yellow/red/green bell peppers/1 pkg beyond meat/2 tbs olive oil/3 cups green beans makes 6 2 bowls
(1118.00	34.50	9.00	71.33	140.33	26.67	1274.00)
1/2 cup mozzarella cheese
(80	5	3.5	6	1	0	190)
2 bananas
(210	0	0	2	54	6	2)
4 tbs cocoa
(20	1	0	2	6	2	0)
2 tbs honey
(60	0	0	0	17	0	0)
orange
(81	0	0	2	21	4	2)
grapefruit
(92	0	0	2	24	2	0)
2 servings chocolate covered cranberries
(130	8	5	2	28	3	1)
1 serving 2 scoops pea protein
(130	2	0	18	9	2	320)
1 1/2 cups almond milk Silk brand unsweetened
(30	2.5	0	1	1	0	115)
1 serving walnuts
(200	20	2	5	4	2	0)
=1118+80+210+20+60+81+92+130+130+30+200
=34.5+5+0+1+0+0+0+8+2+2.5+20
=9+3.5+0+0+0+0+0+5+0+0+2
=71.33+1+54+6+17+21+24+28+9+1+4
=140.33+0+6+2+0+4+2+3+2+0+2
=26.67+190+2+0+0+2+0+1+320+115+0
=1274+190+2+0+0+2+0+1+320+115+0
</t>
  </si>
  <si>
    <t xml:space="preserve">Woke up a little after 5 AM and decided to get out of bed by 515 am because of all the hw I have to complete and prepare some more pasta with beyond meat and veggies. Usual routine, clean up pet messes, make coffee and feed the babies. Laundry is done from yesterday and put away so thats good. Made a pot of red fennel rotini 2 pkgs/1 pkg beyond meat, 1 each of yellow/green/red bell peppers, 3 cups of green beans/1 jar of prego 3 cheese pasta sauce, had a bowl for brkfst and lunch with 1/2 cup mozzarella cheese total. Forgot to take measurements this morning, but took them after work and after a protein shake made with a banana/pea protein 1 serving or 2 scoops/1 1/2 cups unsweetened Silk Almond milk/1 handful or serving walnuts/2 tbs cocoa powder. At lunch at work had a grapefruit and a banana and an orange upon arriving at breakfast time before work. Had 3 cups of coffee with little instant coffee 1/3-1/2 tbs each and the 3rd had 2 tbs honey and 2 tbs cocoa before leaving for work. Then at work had one of the donut shop keurig coffees plain around 11 am. My laptop has been freezing up and not letting me use the mouse, after work wanted to do the homework for genetics, but the mouse decided it didn't want to work. Not sure why, but seriously makes me think some fat ugly sex offender pig in the tech department of my community college is in my computer with the lockdown or test taking software that freezes all other functions and has permission to access the mics and video. I was trying to view the rest of the genetics recorded video for the last 10 slides and I couldn't pause the video. Excel froze my version of this and it is possible that maybe there is spy ware in the microsoft apps also, because my last computer broke when using power point slides and now works but I had to replace it with this until I fixed it through a manual reboot and my precious time. And all these power point slides in these online courses could have the same issue. It could also be the 3rd party mouse that doesn't get recognized. But I am convinced its a loser misogynist whore or scumbag pig in my laptop taking hold of my cursor on screen and preventing me from accessing my computer applications. Its reall fucking annoying. Makes me want to break shit and really mad at looking at any piece of shit scumbag that looks like any type of pig or tech loser. Read some genetics ch 3 from lecture on probability and chi squared stats and Mendelian Genetics before bed. Then asleep a little after 10 pm. Ankles are swollen. Lack of sleep, stress, and probably not enough water. </t>
  </si>
  <si>
    <t>Sprouts mild chocolate honeycomb serving 2 pcs</t>
  </si>
  <si>
    <t xml:space="preserve">pea protein 1 serving 2 scoops
(130	2	0	18	9	2	320)
1 banana
(105	0	0	1	27	3	1)
2 tbs cocoa
(10	0.5	0	1	3	1	0)
handful of walnuts or 1 serving
(200	20	2	5	4	2	0)
1 1/2 cups almond milk
(30	2.5	0	1	1	0	115)
bowl of rotini made 3-5-2021
(559.00	17.25	4.50	35.67	70.17	13.33	637.00)
slice of provolone cheese
(70	5	3	5	0	0	170)
orange
(81	0	0	2	21	4	2)
grapefruit
(92	0	0	2	24	2	0)
bowl rotini  3-5-2021 recipe
(559.00	17.25	4.50	35.67	70.17	13.33	637.00)
2 slices provolone cheese
(140	10	6	10	0	0	340)
2 servings chocolate honeycomb
(260	9	5	2	44	0	140)
pea protein 1 serving 2 scoops
(130	2	0	18	9	2	320)
handful of walnuts or 1 serving
(200	20	2	5	4	2	0)
1 1/2 cups almond milk
(30	2.5	0	1	1	0	115)
a avocado
(322	29	4	4	17	18	14)
2 servings chocolate honeycomb
(260	9	5	2	44	0	140)
Pacific Redwood Merlot sulfate free, no nutrition facts, using
generic nutrition facts 3 glasses
(615	0	0	0	20	0	30)
=130+105+10+200+30+559+70+81+92+559+140+260+130+200+30O+322+260+615
=2+0+0.5+20+2.5+17.25+5+0+0+17.25+10+9+2+20+2.5+29+9+0
=0+0+0+2+0+4.5+3+0+0+4.5+6+5+0+2+0+4+5+0
=18+1+1+5+1+35.67+5+2+2+35.67+10+2+18+5+1+4+2+0
=9+27+3+4+1+70.17+0+21+24+70.17+0+44+9+4+1+17+44+20
=2+3+1+2+0+13.33+0+4+2+13.33+0+0+2+2+0+18+0+0
=320+1+0+0+115+637+170+2+0+637+340+140+320+0+115+14+140+30
</t>
  </si>
  <si>
    <t>Woke up by alarm at 530 am. Went to bed around 1030 am. I noticed this morning when setting this observation that the time on my lap top was not synced to the time of the weather. My lap top said 5:46 am but it was actually 551 am, and took 5 minutes to set because the computer was frozen, had to shut the lid and sign on again after reopening the lid to it then sync the time. Again, makes me think some scumbag fat pig whore or male sex offender but either way a misogynist targeting females is in my computer behind the scenes freezing my screen while fishing through it and tweeking stuff like my cursor control and now the time control. I should reset my wifi after every time I log into the proctorio or respondus for exam taking and also keep a note of these occurences. Took measurements after resetting internet at 610 am and also before finishing my 1st cup of coffee and having a slightly lg BM. I have to be at work at 8 am, but I get off of work at 2 pm. Last night I paid my Dodge and Ford vehicles' monthly payments due the 3rd and 9th respectively because we got paid Friday instead of Sunday. I also put $300 on my credit card. I should only have two more payments including this month of the invisalign I bought a few years ago that didn't work as good as it should have. Almost $2500 spent on it and my teeth didn't get as straight as they should have or close the side gap on the left. They even sent me another set to use that had the same problem. Made a protein smoothie for breakfast with 1 serving pea protein, 2 tbs cocoa, 1 banana the last one, 1 1/2 cups almond milk, and a handful of walnuts or 1 serving. I plan on packing a bowl of rotini pasta with a slice of provolone cheese, an orange and a grapefruit for lunch. After work I went to Sprouts and got some bananas organic, grapefruit by the bag, blueberries, milk chocolate honey combe $9 bin, a bottle of organic non-sulfate merlot, 1 honey crisp apple and a bag of raw roasted but not salted cashews for $50. Got home, drank a glass of the wine very tart but just like the $7 bottle I normally buy from Sprouts, then had another glass, still working on. Was going to do some cardio kickboxing, but still haven't eliminated that option. My chem homework is due Monday night and I still have tomorrow and Monday before work. Not worried, but want to relax and destress, might be a movie night. I also ate 1 serving of 2 pieces of the chocolate covered honeycomb. Shared a few bits with the babies Princess and Goody. edited a blog on an event I am planning and might actually see out to completion if I get some responses via email on it. I will advertise on instagram as well, and also have to look at possible event hosts like air bnb rentals for a day, banquet halls of hotels, a convention meeting, etc. I want some local businesses and massage therapists to participate and my guests and others. I want to promote massage and have a new car magnet of hosted the 2021 Greatest Massage Therapist around Corona or was voted the Best massage therapist in Corona 2021 etc as the outcome. I get about 690 page views per week and 3000 per month. So, somehow this might be possible. I ordered Songbird on fandangonow.com and had 2 servings of the milk chocolate honeycomb and the 3rd glass of wine from the bottle or last glass of wine. Decided not to workout . And a bowl of pasta. with 2 slices of provolone cheese. Had another sm BM by the 2nd glass of wine. Rented Songbird and had the last glass of wine during the movie. made a smoothie with avocado and snacked on 4 more chocolate honeycombs. Didnt get pancreatitis or heart burn from too much sugar while eating sugary snacks with wine (Pacific Redwood-USDA organic from Sprouts) observed because i nomally do get that pain in upper abdominal mediastinum area for a few minutes when eating sweets with alcohol or sweet alcohol. Bed by 8 pm. Woke up at 1130 pm, didn't remember going to bed, but checked the blink cam and last action with me before 8 pm but heard talking to the roommate when he went to work by 8 pm out the door 10 minutes before 8 pm. I also checked my email and noticed I ordered some items from Amazon I forgot about after 1130 pm that I needed. Some more 4D mascara and eye liner, the Kabrow eyebrow balm by Benefit, and some RF aquagel for the ultracavitation lipocavitation machine. I made a credit card payment earlier when making my vehicle payments. And charged more to that credit card. Was dehydrated when I woke up and did these notes, drank 1/2 bottle of water, peed and back to bed by 1230 am.</t>
  </si>
  <si>
    <t>Cocoa Powder for baking, Aldis brand, 1 tbs serving</t>
  </si>
  <si>
    <t>Woke up at 11 30 am, couldn't get to sleep got out of bed at 3 am and worked on my mastering ch3 homework in chemistry. A lot of problems that are in depth 31 problems with a-f problems in each problem that aren't part of the same problems as a group, so it was like 31X5 problems in all as a range. I didn't finish until 730 am a few minutes before. Had a reg BM at 430 am, had 2 cups of coffee starting at 6 am and a bowl of rotini at 730 am. I ate fast and then measured my self at 745 am and weighed 141.0 pounds, doing the measures for the rest then get ready for work. At work I had an orange before work, one at lunch, a smoothie with coffee from work break room the Pete's coffee today plain and used in smoothie instead of almond milk, a handful serving of walnuts in smoothie with a serving of pea protein 2 scoops, 2 tbs cocoa powder, and 1/2 banana because the ends were black from being thawed after in the fridge. Ate a grapefruit on break too with only 1 honey comb with chocolate which is 1/3 serving, feeling the lack of sleep but got through the day. Only had 3 cups of coffee today, the smoothie with coffee was the 3rd cup. It tastes better made with almond milk. Ate a bowl of rotini with a serving of the mozzarella cheese or 1/3 cup instead of 1/4 cup serving same as earlier, with 1 lg avocado ripe and whole at 420 pm. Went to bed early after reviewing some of the chemistry terms and looking over some of the genetics terms. Bed time a little after 7 pm. Plan on reading up on the chemistry power point slides and nomenclature as well as chapter 4 of genetics and the slides from last week. Made a few note cards in both courses that made me tired around 6 pm. Had a couple fried eggs in olive oil with 2 corn tortilla quesadillas with mozzarella cheese and paprika before bed at 7 pm.</t>
  </si>
  <si>
    <t xml:space="preserve">bowl rotini 3-5-2021 recipe
(559.00	17.25	4.50	35.67	70.17	13.33	637.00)
1/3 cup mozzarella cheese in pasta
(106.7  6.7	4.7	8	1.3	0	253.3)
2 oranges
(162	0	0	4	42	8	4)
1 grapefruit
(92	0	0	2	24	2	0)
1/2 serving milk chocolate honeycomb from Sprouts
(65	2.25	1.25	0.5	11	0	35)
1/2 banana
(52.5	0	0	0.5	13.5	1.5	0.5)
1 serving or 2 scoops pea protein
(130	2	0	18	9	2	320)
2 tbs cocoa
(20	1	0	2	6	2	0)
1 serving walnuts
(190	18	1.5	4	4	2	0)
bowl rotini 3-5-2021 recipe
(559.00	17.25	4.50	35.67	70.17	13.33	637.00)
1/3 cup mozzarella cheese in pasta
(106.7  6.7	4.7	8	1.3	0	253.3)
1 avocado
(322	29	4	4	17	18	14)
2 eggs
(140	10	3	12	0	0	140)
2 tbs olive oil
(120	14	2	0	0	0	0)
mozzarella cheese 1/3 cup
(106.7  6.7	4.7	8	1.3	0	253.3)
4 corn tortillas Guerrero
(200	2	0	4	42	4	40)
=559+106.7+162+92+65+52.5+130+20+190+559+106.7+322+140+120+106.7+200
=17.25+6.7+0+0+2.25+0+2+1+18+17.25+6.7+29+10+14+6.7+2
=4.5+4.7+0+0+1.25+0+0+0+1.5+4.5+4.7+4+3+2+4.7+0
=35.67+8+4+2+0.5+0.5+18+2+4+35.67+8+4+12+0+8+4
=70.17+1.3+42+24+11+13.5+9+6+4+70.17+1.3+17+0+0+1.3+42
=13.33+0+8+2+0+1.5+2+2+2+13.33+0+18+0+0+0+4
=637+253.3+4+0+35+0.5+320+0+0+637+253.3+14+140+0+253.3+40
</t>
  </si>
  <si>
    <t>cashews unsalted not roasted Sprouts nutrition facts 28.35 grams</t>
  </si>
  <si>
    <t xml:space="preserve">garbanzo beans 1/2 cup </t>
  </si>
  <si>
    <t>pickled beets canned 1/2 cup serving</t>
  </si>
  <si>
    <t>Extra Virgin Olive oil and Canola oil mix to fry falafels in 1 tbs serving</t>
  </si>
  <si>
    <t>lemon juice for the olive oil and lemon juice dressing 1 tbs</t>
  </si>
  <si>
    <t>The red pepper dressing 2 tbs serving</t>
  </si>
  <si>
    <t>falafel dry mix at Hummus Republic Chino, serving is 2 oz they get fried made of chickpeas, fava beans, and spices</t>
  </si>
  <si>
    <t>falfel and hummus bowl with dressing from above ingredients Hummus Republic 3-8-2021 6 pm</t>
  </si>
  <si>
    <t xml:space="preserve">3/4 avocado
(241.5	21.75	3	3	12.75	13.5	10.5)
2 eggs
(140	10	3	12	0	0	140)
2 tbs olive oil
(120	14	2	0	0	0	0)
mozzarella cheese 1/3 cup
(106.7  6.7	4.7	8	1.3	0	253.3)
4 corn tortillas Guerrero
(200	2	0	4	42	4	40)
2 tbs sourcream
(60	5	3.5	1	2	0	15)
pea protein
(130	2	0	18	9	2	320)
banana
(105	0	0	1	27	3	1)
honey crisp apple
(62	0.1	0	0.3	14.9	2.5	0)
2 tbs cocoa
(20	1	0	2	6	2	0)
handful cashews 1/3 cup approximately
(164	13.5	2.5	4.7	8.4	0.9	4)
1 cup almond milk
(30	2.5	0	1	1	0	115)
grapefruit
(92	0	0	2	24	2	0)
bowl falafel with 3 scoops of hummus differnt flavors, beets, and cucumbers and dressing
(1562	46.5	4	91.5	202	74.5	3955)
grapefruit
(92	0	0	2	24	2	0)
=241.5+140+120+106.7+200+60+130+105+62+20+164+30+92+1562+92
=21.75+10+14+6.7+2+5+2+0+0.1+1+13.5+2.5+0+46.5+0
=3+3+2+4.7+0+3.5+0+0+0+0+2.5+0+0+4+0
=3+12+0+8+4+1+18+1+0.3+2+4.7+1+2+91.5+2
=12.75+0+0+1.3+42+2+9+27+14.9+6+8.4+1+24+202+24
=13.5+0+0+0+4+0+2+3+2.5+2+0.9+0+2+74.5+2
=10.5+140+0+253.3+40+15+320+1+0+0+4+115+0+3955+0
</t>
  </si>
  <si>
    <t>bench press -10</t>
  </si>
  <si>
    <t>upper abs cable 10 reps each side in 3 sets 25 lbs 	
lower abs with cable 25 lbs leg lifts each side 10 lbs	
standing abducturs outer thighs 3 sets 10 reps 25 lbs	
standing adductors inner thighs 3 sets 10 reps 25 lbs	
squats 3 sets 10 reps barbell 45 lb + 70lbs added weight      
leg lifts standing for abs, 3 sets 10 reps no added weight
dead lifts 3 sets 10 reps dumbells 60 lbs	 
tricep extension cable 3 sets 10 reps 25 lbs
shoulder lifts medial/posterior deltoids/latts 3 sets 10 reps 15 lbs	
calves 3 sets 10 reps 60 lbs total with dumbells	
upper trapezius shoulder shrugs 60 lbs dumbells 3 sets 10 reps	
tricep extension above head dumbells 30 lbs 3 sets 10 reps	
military press 3 sets 40 lb dumbells 
obliques side extensions 3 sets 10 reps 30 lbs	
hamstrings leg flexion laying prone 3 sets 10 reps 50 lbs    
tricep chair dips 3 sets 20 reps no added weight
quads with leg extensions sitting 3 sets 10 reps 45 lbs
rhomboids scapula abduction 3 sets 10 reps 30 lbs    
biceps curls 40 lbs 3 sets 10 reps 
bench press 3 sets 10 reps barbell 75 lbs 	-10</t>
  </si>
  <si>
    <t>addedPeaProtein</t>
  </si>
  <si>
    <t>napTaken</t>
  </si>
  <si>
    <t>totalNapMinutes</t>
  </si>
  <si>
    <t>cocoaPowder</t>
  </si>
  <si>
    <t>indigestionUnexpectedly</t>
  </si>
  <si>
    <t>Was pea protein added from the Olly or other vegan protein and how many servings, 0 if not and 1,… for each serving in the day. 2 scoops is a serving</t>
  </si>
  <si>
    <t>Was a nap taken, and if so how many naps in the day? 0 is none, 1 is 1 nap, and so on</t>
  </si>
  <si>
    <t>The total number of minutes of napping throughout the day, 0 for none, and cumulative for every nap taken in the day</t>
  </si>
  <si>
    <t>was cocoa powder taken during the day and how many tbs added to food or beverages</t>
  </si>
  <si>
    <t>did you have indigestion or get stomach sickness leading to unexpectedly having vomiting or frequent BMs</t>
  </si>
  <si>
    <t>Woke up at 3 am. Went to the kitchen the roommate had it blocked off from pups to cook and we argued about him wanting me out of his way as he always has to argue about something. I wasn't even in his way. His ignorant male and white privilege. His mom doesn't even want him around because he is ignorant and thinks people are supposed to do what he says and not argue. Such a loser. But any ways. I planned on getting up at 3 am because of my study plans, and went to bed early after not getting any sleep since 11 pm the day before while completing homework due yesterday after work. Made my coffee while he argued and bitched, had a lg BM slightly dehydrated at first around 3:50 am. Looked at the week 3 chemistry powerpoint and made some notes on my notecards, then made a 2nd cup of coffee after feeding the babies, didn't drink it, but took my measurements at 5 am after reviewing the slides on nomenclature. Took a nap at just before 6 am and woke up just before 630 am and stayed in bed until the alarm for 630 am went off. Made breakfast of 3 eggs and 2 tbs sourcream blended in my Ninja bullet blender and pan scrambled in 2 tbs olive oil, and the rest of the Guerrero corn tortillas, had to chop off 1/8 of all of them for the hard crust at the edge on the same side of all, with about 1/2 cup mozzarella cheese and paprika. Shared about a third of that with my babies, Also had a whole lg avocado with the scrambled eggs and quesadillas. I probably ate 2 1/4 quesadillas, 1/3 cup mozzarella cheese, 2 eggs, and 3/4 avocado. Did the dishes, fed the neighborhood cat, that wasn't waiting for me to feed her/him. Meow meow doesn't eat human food. Then started reading genetics ch 4 and looking over the chemistry chapter 4 powerpoint downloaded earlier, and planning to workout or not before work at 3 pm. The computer froze up again on allowing me to use my cursor to click on anything I moved it to and I shut down the computer before the nap of 20 minutes earlier. It might be mechanical, but it was after logging onto the course website host , Canvas. But I was able to move the cursor but not able to use the click to select links or areas I move the cursor to. It could be the laptop cover not fitting well after taking it off a few times in the past for freezing up and not shutting off. Also, its uneven by the mousepad and cracked on the plastic, flimsy case housing of the device. I have enough instant coffee for my 3rd cup of coffee, but I need more instant coffee and to pick up my Amazon package at the hub locker, because it arrived yesterday, my eye liner and mascara. I got my eye pillow with lavendar fennel seeds and removable satin eye pillow covers delivered at my house yesterday, and wasn't expecting them until last week. The driver left it right by the sidewalk and the roommate found it. Fortunately, he was doing yard work yesterday and saw it. It could have been taken by anybody. Especially if anybody would walk by it regularly and see the box everyday in the same spot for a week. Cloudy outside and it makes me tired. It was cloudy all day yesterday too. I read the first 4 sections of chapter 4 in genetics and took another 20 minute nap, but had my work clothes in the wash before taking a nap and spun them to get out excess moisture too. When i woke up the clothes in dryer were still very damp and I couldn't put my laundry in the dryer. I made a smoothie with the frozen banana I had to peel frozen and it didn't peel easily, also a honey crisp apple that I only bought 1 of at Sprouts when I went because I dont' really eat apples, a serving of pea protein or two scoops, 2 tbs cocoa and a handful of raw unroasted cashews. It came out thick. I also put about a cup of almond unsweetened milk the Silk brand in it.  Had to add the banana after mixing it with apple first because too cramped. I had to eat it with a spoon because it was too thick. I have been waiting to eat a grapefruit, I grabbed it and put it on the desk to eat but every time I look at it I don't want to eat it. I think I will work out. The sun is shining a little bit. I need to check my amazon locker on the way to work. I had a potential lymphatic drainage client call that wants to email me the downloaded consent form because her browser isn't letting her fill it out and send it in. Haven't received it, she called before my nap. After swithching out the laundry and reentering my nutrition data and such, I had another BM before working out. The BM was a constipated one. Might be from the protein shakes that have been thick lately, not drinking enough water. That and the waist trimmer, I put it on with my workout clothes before working out and after drinking the protein smoothie. My skin is itching at my lower legs and arms and all over. Maybe need more water. Could be stress.Wearing tights. Also, there more solid than before the protein smoothies. Because the texture before starting the protein shakes was more soft like an actual poop emoji, these are almost turds. I put my face routine of the witch hazel, the skin pigmentation corrector, the revitalift, the face sunscreen, then my makeup, and had some extra time. Felt more movement in lower abs, like more or another BM on the way. But feel like it will be another constipated one. The last one I had was between my face routine after putting on the revitalift (it was small, the one before regular sized and the first one was large) to push hard and hold my breath with the waist trimmer on that it gave me acid reflux and I vomited a little stomach acid. It didn't burn my esophagus thankfully, more like spittal. Was able to do my workout after my 2nd BM and had a little bit of burping and slight acid reflux but no spittal. It took an hour and started at 1110 am and ended about 1210 pm, 62 degrees when I ended the workout. Still cloudy but the sun popped up some, made me worry because I didn't have sunscreen on and might have a hormonal skin condition that makes my face get brown spots like my mom had around my age. I feel like I might have a 4th BM. Not sure. But have to check the amazon locker and see if time to get some instant coffee and coincidentally toilet paper. Before leaving for work I did have a 4th BM, very small the size of what was probably in my rectum that I couldn't squeeze out from last BM. The protein shakes/smoothies make stuff just push right through you, I guess. The digestive tract works by entering the ascending colon on the right after going through the small intestine through a sphincter, then moving right to left through the transverse colon, then through the descending colon, and then to the rectum where it awaits to be vacated. Some people who are dehydrated, stressed, and not operating at a healthy level their autonomous nervous system, the sympathetic part don't have regular BMs and it is a sign your healthy depending on consistency, frequency, changes to diet, health, life, etc like medications. The parasympathetic nervous system is the fight or flight part of autonomous nervous system that shuts down digestion and hence regular BMs, sleep patterns etc. This is why people stress eat without realizing it, to operate the sympathetic nervous system and not let the stress affect their immune systems. At work I wasn't feeling good again. I still felt like I had to crap, and when I got there I did once before the 1 st massage, the first time taking a dump at work. Then again after the 2nd massage, twice, making the total BM for the day 7. Not sure why, but last Tuesday I felt better after loosening my belt and my waist trimmer. I loosened my belt and felt much better, then on my break ate a bowl from Hummus Republic, 5 falafels, feta cheese about 1/4 cup, some lemon oil sauce and red pepper sauce, and the hummus flavors were a red pepper hummus called harrins or something similar, a zesty hummus, and eggplant hummus, with pickles beats cut into tiny cubes and cucumbers, when I asked for the nutrition facts because I am watching my diet, they didn't have the nutrition facts on a sheet like jamba juice, but took photos of the indredient box and jars for the garbanzo beans for the hummus, the falafels about 5 small sized falafels that could fit into 1 cup fried in oil, the photo showed canola oil, and a photo of dry ingredients for the falafel has a serving as 2 oz at 200 calories per 2 oz serving. Google says there are 8 ounces in a cup. So I had four servings of the falafel. It was good, but spicy. Made my sinuses run. I also ate a grapefruit. Before my next two clients I felt like I might have indigestion again and a BM so I took off my waist trimmer after the next one and put back on but on the 31" setting instead of 30" setting and loosened my belt. I felt better. It must be the waist trimmer squeezing my insides and making me get indigestion and BMs. Weird that it only happens on certain days. This could be a part of the next research once concluded with this data set. To see or answer the question of what was causing me flu like indigestion that disappeared after 20 minutes randomly occuring by triggers like scent or new changes to schedule. I should add more features to the data like if pea protein added protein powder taken, how many days since last workout of weight lifting and separately for cardio kickboxing, and others like if cocoa powder used or a new fruit , etc. . I also got a couple private clients, return this Friday and one new one tomorrow morning but not the same one who called earlier in the day to send me photos of the consent form. I picked up my amazon makeup on the way to work and had to reschedule that appointment from 4 pm to 11 am after talking with client for her bday. That could have stressed me out more than I thought and triggered the indigestion at work. I got a text while at work that my other package from Amazon arrived and forgot to pick up the aquagel that I ordered for the RF machine and is waiting to be picked up after work. A couple who let me have the 5 samples of CBD rebooked for this Friday after work during my shift and I didn't get the news until my break at around 530 pm. All my clients are great people. I have an 11 am tomorrow and chemistry at 3 pm, and lab at 6 pm that the procedures need to be written in the lab and turned in before lab tomorrow. There is a lot of sodium in the falafels and garbanzo beans, but also a lot of protein. But wow! the sodium for that bowl of falafel and hummus is a lot. No wonder my ankles get swollen after hummus, so much sodium. Went to bed by 11 pm.</t>
  </si>
  <si>
    <t>mission tortilla mini corn tortillas white corn serving size is 3 tortillas, 1 serving:</t>
  </si>
  <si>
    <t>4 eggs
(280	20	6	24	0	0	280)
2 tbs sourcream
(60	5	3.5	1	2	0	15)
2 tbs olive oil
(120	14	2	0	0	0	0)
1 lg avocado
(322	29	4	4	17	18	14)
24 mini corn tortillas (for 5, 4, 3 mini quesadillas)
(800	8	0	16	160	16	160) 
3/4 cup mozzarella cheese (for 12 mini quesadillas)
(240	15	10.5	18	3	0	570)
1 serving pea protein 2 scoops
(130	2	0	18	9	2	320)
1 banana
(105	0	0	1	27	3	1)
2 tbs cocoa
(20	1	0	2	6	2	0)
1 1/2 cups almond milk
(30	2.5	0	1	1	0	115)
1/2 cup cashews
(164	13.5	2.5	4.7	8.4	0.9	4)
grapefruit
(92	0	0	2	24	2	0)
=280+60+120+322+800+240+130+105+20+30+164+92
=20+5+14+29+8+15+2+0+1+2.5+13.5+0
=6+3.5+2+4+0+10.5+0+0+0+0+2.5+0
=24+1+0+4+16+18+18+1+2+1+4.7+2
=0+2+0+17+160+3+9+27+6+1+8.4+24
=0+0+0+18+16+0+2+3+2+0+0.9+2
=280+15+0+14+160+570+320+1+0+115+4+0</t>
  </si>
  <si>
    <t xml:space="preserve">Woke up at 530 am, cleaned up a pet mess, made my coffee and the babies their food. Had started on this research and the cursor acted up again, reset internet twice, unplugged laptop, and took the bottom cover off while trying to set the settings to the mouse and didn't find anything relevant. Super irritating and unneeded stress to have the laptop behave like infected during school and this data collection for research. Added new features from the addedPeaProtein through indigestionunexpectedly within Excel with search and find looking at BMs high count, the nutrition for cocoa and pea protein, and naps in the notes. Had 2 BMs that were small while drinking my first cup of coffee and after drinking it at 630 and 725 am respectively. Took measurements at 730 am and only lost a half pound or so since yesterday given that I had so many BMs during the day between last measurement of weight and today's measurement. But also did eat quite a bit of calories between. Now to start the course work and write in some procedures in the lab notebook and prelab questions for the lab today before my 11 am massage. Sent in the prelab questions before 9 am and ate breakfast where I blended 4 cage free and organic  eggs with 2 tbs sour cream and 1 lg avocado and scrambled in 2 tbs olive oil that turned them green. And made 5 mini Mission corn tortillas with about 1/2 cup of mozzarella cheese and paprika. Shared some with the babies as usual probably about 20% of my food. Went to the massage on the south side of Corona, and got back around 130 pm, forgot to get my aquagel for lipocavitation at the amazon locker, picked it up and was surprised by how tiny the package was. The bottle was 64 g not 64 oz. I only saved $3 off the $10 bottle that is 10 times the size. I will just try it to see if I can set the machine higher with the right aquagel for RF when I get to it. Had chemistry 1A lecture at 3 pm, but made a protein shake and 4 mini quesadillas the same way. The protein shake had 1 frozen banana, 1/4 tbs instant coffee (for my 4th cup. I had my 3rd cup of coffee after breakfast and before my shower to go to the new client's house), 1/2 cup cashews, 1 1/2 cup almond milk, 2 tbs cocoa, and 1 serving of pea protein or 2 scoops pea protein. I had to eat it with a spoon as well as it was thick. Ate a grapefruit during lecture. Then after lecture at 530 pm ate 3 mini quesadillas the same way. They are easy to snack on. Taste like what Doritos chips would taste like if not powdered cheese. Then lab is by 6 pm. Asleep by 930 pm, didn't eat anything else, but was considering eating some ramen. Need to make more pasta, and ramen isn't gluten free. </t>
  </si>
  <si>
    <t xml:space="preserve">Woke up at 330 am to Mr. Goody barking and went back to bed, it rained hard at that time, but stopped by 530 am when I woke up by alarm. Reviewed Bio18 genetics assignments to check in and saw my Word wasn't working. It worked fine last night writing in the solutions I found for the lab before going to bed, and now I had to see if it was the HW 3 from Bio18 downloaded that wasn't working or the program. Shut it off and waited, then started the other lap top and saw the file is fine. It was my Word program. I pay monthly $9.99 for the whole Office 365 suite of apps and was upset obviously but not too stressed about it. Finished my 1st cup of coffee while waiting for the laptop to reset and had a BM reg sz, then made the 2nd cup of coffee and finished it after printing out HW 3 to work on at work if it is slow or some on my break. Supposed to rain lightly today. I need to get some wet cat food for sure. Last can, and its for the alley cat. Before work or after work. But before I come home for sure I need it. I didn't wear the waist trimmer at all yesterday, and my waistline measurement increased. My weight stayed the same after a BM and 2 cups of coffee. I don't want my abdomen to give indigestion again like last time I was at work so I will wear my waist trimmer but I will put it at 31" instead of 30" using the 32" waist trimmer. I have to do laundry with my work clothes. For lunch at 1 pm, I had one of my coworker's going away or last day cupcakes she brought from her sister in law's cake shop. It was yellow cake with whipped cream frosting, green for st. patrick's day, had a chocolate on top the size of an Andes, and sprinkles. It was good. So had added sugar and gluten. Went to Albertsons on my break and got cat food, toilet paper and paper towels and cupcakes that said happy birthday for the roommate and a 3 layer chocolate diner cake that had the added happy birthday for his birthday next Wednesday. I put that in the freezer at home. For lunch I had some cauliflower red pepper sauce that looked like hummus and same texture somewhat but not as thick with about 2 servings of lime Tostitos chips and my 3rd cup of coffee from work break room the Peet's coffee brand. Tastes like a hint of nail polish remover, no creamer. When I got home I made a cup of noodles, since I already cheated on the gluten free today with the cupcake. Fed the babies their lunch too. I inquired on that business that my new client yesterday told me about, and saw they had no availability in Dos Lagos but did in Corona Hills by my gym. I left an email with them. And rebooked my client, because she repied to my email that I sent her SOAP notes and reciept saying she wants next Monday at 11 am. Got a couple's massage tomorrow after work. Today is for studying and completing homework and labs. Have midterm 1 next week covering chapters 1-3 in chemistry. It rained on and off today, it rained when I was on my break but not the whole time, just when putting the groceries in the car. Watched this week's lectures and videos on non-mendellian inheritance on interdependent, codependent, epistasis alleles, and sex chromosomes. Interesting stuff. But didn't get to the homework due in 5 days for this class by 710 pm. Ate a cupcake I bought for the roommate also yellow cake with a whipped cream type frosting, decorated for st. patrick's day in white and green frosting with green sprinkles. And 2 servings of chips also the last 2 tbs of the cauliflower dip I bought earlier. Going to look at the genetics homework. soon. Most likely at the book to answer those questions in the previous chapter. </t>
  </si>
  <si>
    <t xml:space="preserve">1 serving pea protein 2 scoops
(130	2	0	18	9	2	320)
1 banana
(105	0	0	1	27	3	1)
2 tbs cocoa
(20	1	0	2	6	2	0)
1/2 cups almond milk
(15	1.25	0	0.5	0.5	0	57.5)
1/2 cup cashews
(164	13.5	2.5	4.7	8.4	0.9	4)
blueberries 1 cup
(60	0.5	0	2	11	7	0)
grapefruit
(92	0	0	2	24	2	0)
8 servings of the cauliflower red pepper dip
whole container by end of day
(400	36	4	16	16	8	1840)
2 servings of the Tostitos Lime corn tortilla chips
(300	14	2	4	36	2	260)
1 cupcake bakery with whipped cream frosting yellow cake
dyed green and sprinkles and 1 pc chocolate Andes size
(135	6	1.3	1.5	18	0	155)
cup of shrimp noodles ramen brand hot and spicy
(290	12	6	7	39	3	1150)
yellow cupcake with whipped cream frosting
(135	6	1.3	1.5	18	0	155)
2 servings tortilla lime chips
(300	14	2	4	36	2	260)
=130+105+20+15+164+60+92+400+300+135+290+135+300
=2+0+1+1.25+13.5+0.5+0+36+14+6+12+6+14
=0+0+0+0+2.5+0+0+4+2+1.3+6+1.3+2
=18+1+2+0.5+4.7+2+2+16+4+1.5+7+1.5+4
=9+27+6+0.5+8.4+11+24+16+36+18+39+18+36
=2+3+2+0+0.9+7+2+8+2+0+3+0+2
=320+1+0+57.5+4+0+0+1840+260+155+1150+155+260
</t>
  </si>
  <si>
    <t>yellow cupcake 1 cupcake</t>
  </si>
  <si>
    <t>Tostitos hint of lime white corn tortilla chips, 1 serving is 6 chips, 2 servings:</t>
  </si>
  <si>
    <t>cauliflower dip from Albertsons 1 container has 8 2-tbs servings, container:</t>
  </si>
  <si>
    <t>spaghetti 3-11-2021 recipe 2 pkg Barilla Gluten free spaghetti serves 6, 1 jar Prego 3 cheese serves 5, 1 pkg beyond meat 4.5 servings, 2 bell peppers 1 yellow other green, 2 cups mushrooms, 2tbs olive oil, this makes about 4-5 bowls. I will say it makes 5 bowls, so that each bowl is 1/5th this pot of spaghetti.</t>
  </si>
  <si>
    <t>white sliced mushrooms, calorieking.com, for 1 mushroom</t>
  </si>
  <si>
    <t>bowl of spaghetti 3-11-2021 recipe divided into 5 bowls</t>
  </si>
  <si>
    <t>mozzarella parmesan shredded cheese Good &amp; Gather Target brand, serving sz 1/4 cup:</t>
  </si>
  <si>
    <t xml:space="preserve">3 eggs
(210	15	4.5	18	0	0	210)
2 tbs sourcream
(60	5	3.5	1	2	0	15)
2 tbs olive oil
(240	28	4	0	0	0	0)
1/3 green bell pepper
(13.3	0	0	0.3	3.3	1	0)
1/2 cup mozzarella cheese
(160	10	7	12	2	0	380)
8 mini corn tortillas
(266.67	 2.67	0.00	5.33	53.33	5.33	53.33)
2 yellow cake cupcakes
(270	12	2.6	3	36	0	310)
1 serving Tostitos hint of lime tortilla chips
(150	7	1	2	18	1	130)
2 tbs sourcream
(60	5	3.5	1	2	0	15)
1/4 cup mozzarella cheese
(80	5	3.5	6	1	0	190)
1 serving pea protein
(130	2	0	18	9	2	320)
1 banana
(105	0	0	1	27	3	1)
2 tbs cocoa
(20	1	0	2	6	2	0)
1 tbs honey
(60	0	0	0	17	0	0)
1 serving walnuts
(200	20	2	5	4	2	0)
1/4 cup Silk Amond milk unsweet
(7.5	0.625	0	0.25	0.25	0	28.75)
8 corn tortillas
(266.67	2.67	0.00	5.33	53.33	5.33	53.33)
1/3 cup mozzarella cheese
(80	5	3.5	6	1	0	190)
bowl of spaghetti made 3-11-2021
(614	24.8	6.1	26.1	72.9	5.5	798)
1/4 cup mozzarella Target brand
(100	6	4	8	2	0	280)
2 servings tostitos chips
(300	14	2	4	36	2	260)
5 servings sourcream about 2 tbs
(30	25	17.5	5	10	0	75)
=210+60+240+13.3+160+267+270+150+60+80+130+105+20+60+200+7.5+266.67+80+614+100+300+30
=15+5+28+0+10+2.67+12+7+5+5+2+0+1+0+20+0.625+2.67+5+24.8+6+14+25
=4.5+3.5+4+0+7+0+2.6+1+3.5+3.5+0+0+0+0+2+0+0+3.5+6.1+4+2+17.5
=18+1+0+0.3+12+5.33+3+2+1+6+18+1+2+0+5+0.25+5.33+6+26.1+8+4+5
=0+2+0+3.3+2+53.33+36+18+2+1+9+27+6+17+4+0.25+53.33+1+72.9+2+36+10
=0+0+0+1+0+5.33+0+1+0+0+2+3+2+0+2+0+5.33+0+5.5+0+2+0
=210+15+0+0+380+53.33+310+130+15+190+320+1+0+0+0+28.75+53.33+190+798+280+260+75
</t>
  </si>
  <si>
    <t>Woke up at 5:20 am, got out of bed at 545 am, made coffee and fed the babies after cleaning their messes first thing. Started a few of the remaining chemistry problems on moles produced from combustion and balancing equations, made another cup of coffee for the 2nd cup, and roommate arrived a little before 7 am. Finished my coffee and had a BM reg sz by 720 am, took a break from the last equation that was a long one, and missed 1st of 3 attempts on it. Had to balance an equation of propane given the density of propane in g/mL and find the mass of CO2 in kg as product in combustion after solving mass of propane and converting mole ratios of equation not given but assumed to be C3H3+O2--&gt;CO2+H2O in some balanced coefficient assortment that somewhere and something is wrong with the answer I put for 1st response. Going to work on the Genetics homework before the 9 am lecture after making myself breakfast. Took measurements at 7:22 am, and same weight last 3 days but bloat in belly of waistline could be the cupcakes and gluten ate yesterday and/or the waist trimmer being set to 31" instead of 30" as it made me get indigestion a few days ago. Could also be my gut health from probiotics getting reduced from all the BMs the other day in indigestion. I don't take probiotics, but the bacteria that we have in our guts is supposed to be there for gut health and probiotics is a way to keep it healthy is the current knowledge being passed around. It rained last night, wet outside and most likely not working out today. I have to get more stuff for the house. Did laundry and found $20 in the dryer, because I left a tip from one of my clients in my shirt or pants pocket a few days ago. I ordered some action figures for the roommate earlier and got the email saying they changed pick up time from today to the 24th so I then cancelled the order. His birthday is the 17th. And I ordered them because I could pick them up between now and on the 17th. Thats too bad. Will just get him a gift card, once they refund me my money. They charged my card first because I got the notificiation as soon as I selected the purchase button. Made 3 scrambled eggs with 1/3 green bell pepper and 2 tbs sourcream in a ninja blender then scrambled in 2 tbs olive oil with 4 mini corn tortilla quesadillas with mozzarella cheese. Need more cheese. Making my 3rd cup of coffee too, because starting to feel a headache coming on. I did all studying planned, and the lecture ran 1/2 hour past time with a beginning that kicked out the instructor and froze only her screen the first 10 minutes 2X, I ate 2 of the birthday cupcakes I got Shane and me, because its not his birthday yet not until next Wednesday and thats the frozen cake. He hasn't even touched one. Taste just like the ones I ate yesterday for my coworker's going away. I ate gluten and processed sweets today because of those cupcakes. I also made a smoothie with banana, serving of pea protein, honey 1 tbs, 1 serving walnuts about 13 pcs or 1/3 cup, and bottled water because I didn't have almond milk. Growly didn't eat any must have been the cocoa 2 tbsp and no almond milk. He must like the almond milk. He hasn't been feeling well was under the bed the beginning of the day and when I woke up, he didn't eat his breakfast, and I don't think his lunch but did have some of the scrambled eggs and quesadilla I shared with him earlier. He probably isn't feeling well but looks the same. Acts the same too. Went to get my car smogged for $40 locally and was in and out in 30 minutes tops and passed, uploaded it to Tred, and coincidentally today Tred said was the last day to upload it. It lasts 60 days for new owner if I sell it during that time period. It should pass, because I take great care of it, its new, and its still under warranty. But still great to know it does as expected and passes smog. Its a cute car and priced at 6% below dealers and has low miles that any first time or decent dude or girl with credit could get a car loan for through Tred. I keep dropping the price $400 every month after making the payment. Its selling right now for $18,300 with 74,000 miles. It actually has 100 miles less that 74k. Runs great. I have lecture in chemistry soon, and want to work on the lab and/or homework. No workout today. But the sun is out, and its cloudy but spotted cloudy. Supposed to continue intermittant showers throughout the day. Last time it rained was around 7 am and its almost 2 pm. I had 4 mini mozzarella corn tortilla quesadillas around 2 pm before lecture and about 2 servings of the Tostitos chips with about 10 tbs sourcream, then after lecture made a pot of spaghetti that makes about 5 bowls using 2 pkgs of Barilla gluten free spaghetti noodles, 1 pkg beyond meat, 1 jar prego 3 cheese sauce, 2 cups or about 15 white and sliced mushrooms, 2 bell peppers one yellow and one green, and 2 tbs olive oil. Had a bowl with 1/4 cup mozzarella and parmesan cheese blend from Target the Good &amp; Gather brand shredded cheese. At break time cleaned Growly's butt tail because he was dirty and did dishes before that, because I used the sink then wiped it down afterwards with disinfectant wipes and covered him in a towel after using a separate towel to dry him off. The moisture comes off him very well because he is a poodle. Finished class, got to midway or a third of the problems of lab part II on the unkown and confused by questions. Bed time by 10 pm.</t>
  </si>
  <si>
    <t xml:space="preserve">Woke up a little after 5 AM and got out of bed by 520 AM, cleaned pet messes and the kitty litter box, made coffee and worked on some more of the lab and then some genetics HW. Finished the lab by 6:32 am, and my 2 cups of coffee by 6:25 am, had a lg BM around 6:21 am. Did my measurements at 6:35 AM, then started the genetics ch 3 HW. I am going to work today and have private clients I have massaged before right after work for 90 minutes each. Very nice couple, they have provided me with 5 samples of their CBD brand and gratuity last time I massaged them. From the wife, not the husband. She works for the company. I have only been able to use the product on one elderly client with the RF red light therapy on the knee to aid in arthritis relief. But this could be good if I follow through with the plans for the event that would be like a massage and bodywork convention for the plans outlined in my latest blog at this time. It would have a pageant of LMTs voted best massage therapist by 3 judges and guests and also a bunch of health and wellness promoters describing their products and demonstrating add-on services to guests in robes to have a buffet style or sampling style time slot to try out and learn about the current modes of services and modalities in massage available as well as the up and coming products. There would also be an intro time with food being catered and wine to those able to drink both legally and for planned massage or judging restrictions on contestants. This power point type display would describe the world of massage, how it has grown, its history, the boom in many fields and companies, the largest company in the biz, the small company and large company descriptions, the mobile massage profession, and history, and small biz route and staying compliant, etc. FYI read the latest blog at www.themassagenegotiator.com/blog. Before doing Genetics HW I made a bowl of pasta and added to this database of data measurements. I plan on wearing my waist trimmer at 31" instead of 30" that seems to be giving me indigestion, and not wearing my belt at 5 knotches but 3 or 4 instead. Shared with the babies and Growly was eating. He must not have been feeling well because of his dirty butt/tail yesterday that he tucks his tail in to cover. And uploaded my food images to my nutrition folder of foods. Made a protein shake for lunch, 1 banana, 1 serving pea protein of the chocolate flavor, I bought vanilla yesterday and probably only have 1 serving of chocolate left before using the vanilla flavor, it also had 1/3 cup approximately of cashews, 1 1/2 cups almond milk Silk brand unsweetened, 2 tbs cocoa powder. And packed a grapefruit for lunch too. Did the dishes then showered. Had 3rd cup of coffee before leaving for work and jumping in the shower. I felt like I had more time than I did. Because I washed my hair and got in the shower 10 minutes earlier, but the roommate keeps dropping his soap chunks in the shower drain and not picking them out. It was almost completely blocked by 3 pieces of soap. He cleaned them out after I threw a fit, but by jamming them into the shower pipe below the tub, not by picking them out. He is such an idiot, so the water in the tub backed up a little obviously. I went to work, made it on time, ate the protein shake or smoothie but more like a pudding because I had to eat it with a spoon, and the grapefruit and had my 4th cup of coffee, the work breakroom keurig. Noticed a new LMT to replace the other one that left no doubt and a new front desk. I noticed one of the other ones they just hired hasn't been there for a few weeks now.  I didn't get their names. I know another LMT left probably to go back to Glen Ivy as it reopened, and another one is planning on leaving. He has been there the longest at 10 years but has kidney disease he manages and doesn't stay booked, in the break room a lot. He probably isn't able to do deep tissue like he could before and isn't getting booked because of it. After work, some traffic as always on Fridays and on the way found a grapefruit in the passenger seat that was still good from last week and ate it and also had to call the client to inform her that I would be a few minutes late. It rained really hard between 420 and 445 pm taking the 71 and following along Green River Rd to the 15 to South Corona. Very nice couple, she gave me business cards I can forward to my other client if she would like to buy any of her products. I got home and washed the linens and had a bowl of pasta with the mozzarella/parmesan shredded cheese blend and shared with the babies. Bed time at 921 pm planned for 1030 pm at this point, after spinning the wash and putting it in the dryer and finishing up some notes and possibly doing a couple hw problems. I have a couple exams early this week. I think the genetics exam is this Monday and hw is due Monday as well, and the chemistry exam is this Tuesday I think during lecture. </t>
  </si>
  <si>
    <t xml:space="preserve">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grapefruit
(92	0	0	2	24	2	0)
grapefruit
(92	0	0	2	24	2	0)
bowl of pasta 3-11-2021 recipe
(614	24.8	6.1	26.1	72.9	5.5	798)
1/4 cup mozzarella/parmesan cheese
(100	6	4	8	2	0	280)
=614+100+105+130+20+45+164+92+92+614+100
=24.8+6+0+2+1+3.75+13.5+0+0+24.8+6
=6.1+4+0+0+0+0+2.5+0+0+6.1+4
=26.1+1+18+4.53+1.5+4.7+2+2+26.1+8
=72.9+2+27+9+2+1.5+8.4+24+24+72.9+2
=5.5+0+3+2+0+0+0.9+2+2+5.5+0
=798+280+1+320+0+178+4+0+0+798+280
</t>
  </si>
  <si>
    <t>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bowl of pasta 3-11-2021 recipe
(614	24.8	6.1	26.1	72.9	5.5	798)
1/4 cup mozzarella/parmesan cheese
(100	6	4	8	2	0	280)
6 mini corn tortilla quesadillas
12 mini corn tortillas
(400	4	0	8	80	8	80)
1/2 cup mozzarella/parmesan cheese
(200    12    8    16   4    560)
=614+100+105+130+20+45+164+614+100+400+200
=24.8+6+0+2+1+3.75+13.5+24.8+6+4+12
=6.1+4+0+0+0+0+2.5+6.1+4+0+8
=26.1+8+1+18+4.53+1.5+4.7+26.1+8+8+4
=72.9+2+27+9+2+1.5+8.4+72.9+2+80+560
=5.5+0+3+2+0+0+0l9+5.5+0+8+4
=798+280+1+320+178+4+798+280+80+560</t>
  </si>
  <si>
    <t>Woke up at 5 am by alarm. Did the usual routine of pet mess cleanup, making babies their food and my fist cup of coffee, prepped study materials and worksheets and plans for this weekend's available time today after work and tomorrow after work. Exam in Genetics Mon expires Tue and Tue an exam, both on chapters 1-3. Homework in chemistry will take a while and also need to verify and complete the genetics HW. Had a BM after 2nd cup of coffee, and running out of time, have to fold linens from yesterday and eat breakfast and make lunch for later. No worries, Took measurements after 1st BM and 2nd cup of coffee. I also need to do weight lifting today, I might just reduce the exercises to legs and arms day, still haven't done that. I went to work on time but actually keeps getting later and later. The roommate didn't come home by the time I left, he probably stayed late and I didn't drink my 3rd cup of coffee by that time. It made me feel unmotivated but seeing my return clients that see me regularly picked me up and motivated me. I had my 3rd cup from their Keurig a Dunkin Donuts k-cup, and it picked me up as a stimulant its an early day. Had to be there at 8 am felt like everything was an impediment like slipping into my slippers and it getting caught I couldn't pull the back heel lip up and also dropped my face cream wrinkle reducer lid on the ground. I was able to eat a bowl of pasta with cheese before work and make a protein smoothie the usual way for lunch with the last grapefruit and the last of the chocolate pea protein powder. The last bunch of oranges and grapefruit have been subpar and dry in some spots, especially the oranges purchased at Winco last week and used up by the beginning of the week. I found out on lunch I got my scheduled deposit for the 17th of my $1400 stimulus check but thought it would be $2800 for me and the roommate, but since we both filed our taxes I got only mine and I checked his and he didn't have anything prepending as we bank at the same place. He did his taxes at the same place he gets his auto insurance at a little Mexican shop at the corner of a bunch of crime activity for Corona with homeless, drug dealers, and prostitutes. He is really a medically diagnosed idiot, he has to be. I told him about the stimulus and he told me to file his taxes by giving me his w-2 but saying to do it even though the lady he got them done with already filed them. He told me he didn't get any paperwork and said he filed them and gave her his bank statements and his w-2s but then that he didn't pay her and couldn't say if he agreed to take the money out of his refund but has to always be the one talking, he was yelling, upset, told me to file turbotax just do it and I told him calmly and repeatedly that he has to tell me his tax return info for this year because the IRS portal will need that to check the stimulus and refund. The place that did his taxes sounds like a crook blackmarket fraud place. The same type of people who stole my identity when I did a livescan at a place off magnolia and the 15 freeway. His place is also targeting poor people and hispanics. The lady isn't available to reach, the business won't give him his information, and previously the DMV said he had no auto insurance even though he has been paying for it, because they wanted to take back his registration on a vehicle. He went to the DMV and then to the store. But anyways, he really stressed me out and I had to yell about dealing with him and his mind, he did not understand that I couldn't check unless he could give me the details of his refund. He threw a chair at the wall away from me and didn't clean it up. He is really an idiot. Going to be 47 years old next Wednesday and never going to grow up. He should be on social security for being so far below mental competency to take care of himself. His aunt who raised him as his mom never taught him or her own son how to live according to survival and finanaces or doing well in schoool. She had her own bail bonds business that thrived up until a year before he met me and she got sick and the business was sold and she lost her home. She is now taking care of her 50 year old son and daughter approximate age range. They will be lost if she dies. And then if I leave Shane and she dies, wow! They will all be lost. How can anybody raise their kids to be losers?! So selfish. Anyways. I unchecked the alcohol, because after finishing my chemistry homework at about 7 pm, with only 76% correct, as they were not easy but some seemed to make me feel confident but also didn't read the chapter and used the lectures, labs, and power point from memory and example problems in the textbook and reading of the section for the specific problem/exercise as I got the first attempt wrong. Got 4/14 wrong but some were only partially wrong. I had a bottle of $4 vodka the image will be uploaded, it was strong, and inputting the data for the day while it gives me a buzz, and keeps my mind off the stress that will follow from rommate drama (everyday) and exams coming up in week 5 of 16 and the work as well, but keep work at work. Took myself off schedule this weekend because of the exams I need to study for, skipped my Saturday 1x wk workout, rescheduled my Monday client for tomorrow at 530 pm and am about to start my genetics homework and studying for the exam on Monday. I had the bowl of pasta in the morning, protein smoothie for lunch at around 12 pm, the other bowl of pasta when I got home around 3 pm, argued with the roommate at around 330-4 pm, he left for the gym, did my chemistry homework until just before 7 pm, had 6 mini quesadillas usual style, and the gulp from the bottle of the vodka, very strong taste like Bacardi 151. Went to bed around 930 pm. Tomorrow is day light savings time and we lose an hour.</t>
  </si>
  <si>
    <t>Starbucks tall nitro cold brew with sweet cream, https://www.starbucks.com/menu/product/2122237/iced?parent=%2Fdrinks%2Fcold-coffees%2Fnitro-cold-brews</t>
  </si>
  <si>
    <t>Olly pea protein plant based protein powder gluten free (Vanilla), 2 rounded scoops is 1 serving:</t>
  </si>
  <si>
    <t>Olly pea protein plant based protein powder gluten free (chocolate), 2 rounded scoops is 1 serving:</t>
  </si>
  <si>
    <t>Mission Tortilla triangles,serving is 10 chips</t>
  </si>
  <si>
    <t xml:space="preserve">bowl of spaghettie 3-11-2021 recipe
(614	24.8	6.1	26.1	72.9	5.5	798)
1/4 cup mozzarella/parmesan cheese Good &amp; Gather brand
(100	6	4	8	2	0	280)
2 servings Pea Protein vanilla
(240	4	0	36	12	2	720)
2 tbs cocoa powder
(20	1	0	2	6	2	0)
3 cups almond milk
(90	7.5	0	3	3	0	345)
1/4-1/2 cup cashews 
(164	13.5	2.5	4.7	8.4	0.9	4)
1/2 cup blueberries
(42	0	0	1	13	2	1)
banana
(105	0	0	1	27	3	1)
nitro cold brew coffee with sweet cream tall size
(70.00	5.00	3.50	1.00	4.00	0.00	15.00)
1 avocado
(322	29	4	4	17	18	14)
3 tbs sourcream
(90	7.5	5.25	1.5	3	0	22.5)
1 mandarin orange
(40	0.2	0.1	0.6	10.1	1.4	2)
2 servings (20 chips) Mission tortilla triangles
(280	14	2	4	36	4	180)
=614+100+240+20+90+164+42+105+70+322+90+40+280
=24.8+6+4+1+7.5+13.5+0+0+5+29+7.5+0.2+14
=6.1+4+0+0+0+2.5+0+0+3.5+4+5.25+0.1+2
=26.1+8+36+2+3+4.7+1+1+1+4+1.5+0.6+4
=72.9+2+12+6+3+8.4+13+27+17+3+10.1+36
=5.5+0+2+2+0+0.9+2+3+0+18+0+1.4+4
=798+280+720+0+345+4+1+1+15+14+22.5+2+180
</t>
  </si>
  <si>
    <t>Woke up at 530 am and got out of bed a few minutes afterwards, not by alarm. Alarm went off at 630 pm. Stove said 430 when I got up to make my coffee and clean up pet messes and make the babies their food. I started and finished the genetics tutorials with the worksheets on punnit squares and non-mendellian fork-line methods and punnet squares by 710 am. I had my 2nd cup of coffee by then and an additional bottle of water, felt my LB tell me I am dehydrated and my lower left gums inside felt dry and almost like canker sores when I was laying in bed before getting up, but the feeling went away. The roommate was home all night, and not at work. Had a BM after finishing the worksheet and the bottled water, made my 3rd cup of coffee and took my measurements. For breakfast I had the last bowl of pasta with 1/4 cup mozz/parm. cheese, made a protein smoothie out of the vanilla Olly protein mix with 1 serving of 2 scoops, 1 banana the last one from fridge, 2 tbs cocoa, 1/4 cup cashews or serving cashews, and 1 1/2 cup almond milk. I didn't eat anything else for lunch, but had to put fuel in the work truck on my lunch, eat the smoothie because its thick so more like pudding, not bad either. And looked at the Sola spa location in Chino hills behind Sprouts, many beauty and nail shops closed and space for lease there, but many health, beauty, and wellness therapeutics located at that hotspot. I drove to get gas after exploring it. Never seen it before because you would only see if from the freeway if coming from Pomona or the 60/57/210/10 freeways along the 71, not from the other direction. My client at ME told me about it. But I can't rent the space there it would compete with my ME job. Too close. I found out from my private client her 2nd appointment today after work that her rate for the weekly was 150 for a smaller room, 250 for a medium room, and a larger room for 350 a week. Luckily for her she didn't sign a lease because it was right before quarantine last year early and she would have lost money or ruined her credit. As nobody was allowed to operate a beauty/spa service solely for esthetics and beauty needs. Yet their bills would still have to be paid to upkeep it. If they were lucky enough to get a Personal Paycheck Protection or PPP loan they would have been ok if granted enough money.Too many shops were closed right there, but there was a chiropractor's office right above the Sola salon. Its a shopping center with two stories like an outdoor mall. She was nice like all clients, couldn't see the time but gave full time, her grandma and aunt expect to run until exactly 90 minutes not over, so I think she prioritizes their needs before getting full time. For her it is best to keep the time as is including set up of massage equipment. Wow, if Sola salons had a child care they would be all set for business, right? To myself. Not drinking but decided to make it a 5th cup of coffee to study, do laundry notes and study for both courses. My genetics exam is first I believe it opens tomorrow am and expires Tuesday am, then my chemistry exam is in the lab section of my Tuesday lab after a one hour review of ch 1-3. We weren't quizzed on the nomenclature, but I need to for sure study that and the way the combustion equations, aqueous, binary acids, ions, non-metal covalent bonding, etc. is named and the polyatomic ions' charges. My roommate was nice today, because I got him the only thing he wants on his birthday, action figures. I saw some dope ass Predator 6" figureines and was like, shocked, and blurted out 'dope!' when at Best Buy, because even I thought they would be fun to make wearing scrubs and giving massages in Barbie massage clothes or dressed up like security in 6" action figures in a mockumentary of action figures of the massage and bodywork convention that is way too expensive and requires marketing and promotions experts to get going, so the idea has been reduced to a mockumentary pageant of action figures competing, with barbies as the judges and participants, or other action figure characters like the GI joes the roommate has, and have the whole things in a timed quick film 1 minute type series to add to Tick Tock to get viewers watching and spread the word about massage and bodywork needs. That would be way cooler than having my clients show up and mingle with other clients, because some are similar and all actually are, but this would be way cheaper as far as money is concerned, now time and keeping this coffee buzz going to keep it rolling is another story. So, I actually had enough time to make myself another protein smoothie before going to my private client's appointment in south Corona, and it was the same except that I substituted a 1/2 cup of blueberries fresh for the banana. I also went grocery shopping at the Vons outside client's house as I was 1/2 hour too early. Got avocados, mandarin orange cuties, tortilla chips, the Guerrero brand corn tortillas as I ran out of the mini and any corn tortillas, and a large box of strawberries. Studied and paid the truck payment and added to this database of research until 1 am was bed time. Filled out the exam worksheet, but need to go over the steps to mitosis and meiosis and review more before I sit down for exam tomorrow under respondus recording before work. Or after work. Ate a blended unripe tough avocado with 3 tbs sourcream and paprika and 1 mandarin orange (shared with the babies and they loved it, but didn't give them a lot of it) and 2 servings of Mission tortilla triangles chips at around 10 pm. Went to bed at 1:30 am  after taking the babies outside to pee.</t>
  </si>
  <si>
    <t xml:space="preserve">2 eggs
(140	10	3	12	0	0	140)
2 tbs olive oil
(120	14	2	0	0	0	0)
3/4 avocado from whole avocado 1/4 used in protein smoothie
1 whole avocado
(322	29	4	4	17	18	14)
4 corn tortillas Guerrero brand
(200	2	0	4	42	4	40)
1/2 cup mozz/parm blend cheese
(100	6	4	8	2	0	280)
1 serving vanilla pea protein Olly brand 2 scoops
(120	2	0	18	6	1	360)
2 tbs cocoa powder
(20	1	0	2	6	2	0)
1 1/2 cups almond milk
(45	3.75	0	1.5	1.5	0	177.5)
3/4 cup strawberries
(37.5	0	0	0	9	1.5	0)
1/3 the protein shake made for lunch taken out already:
1 serving vanilla pea protein
(40	.67	0	6	2	.3	120)
1 1/2 cups almond milk
(15	1.25	0	.5	.5	0	59.2)
1 banana
(35	0	.33	9	1	.33)
1/4 cup cashews
(27.3	2.25	.42	.78	.26	0.15	.67)
falafel bowl Hummus Republic, left about 10% in bowl too spicy and stuffed
(1406	41.85	3.6	82.35	181.8	67.05	3559.5)
3 mandarin oranges
(120	0.6	0.3	1.8	30.3	4.2	6)
=140+120+322+200+100+120+20+45+37.5+40+15+35+27.3+1404+120
=10+14+29+2+6+2+1+3.75+0+.67+1.25+0+2.25+41.85+0.6
=3+2+4+0+4+0+0+0+0+0+0+0.33+0.42+3.6+0.3
=12+0+4+4+8+18+2+1.5+0+6+0.5+9+0.78+82.35+1.8
=0+0+17+42+2+6+6+1.5+9+2+0.5+1+0.26+181.8+30.3
=0+0+18+4+0+1+2+0+1.5+0.3+0+0.33+0.15+67.05+4.2
=140+0+14+40+280+360+0+177.5+0+120+59.2+0.33+0.67+3559.5+6
</t>
  </si>
  <si>
    <t>Woke up at 6 am and got out of bed just before 630 am, wanted to study for the exam in genetics, had a little more work to do before reviewing. I made my coffee, did the dishes from last night, was tired and went to bed instead last night around 1:30 am after filling in worksheet, fed the babies their food and switched out the laundry from yesterday to the dryer. I had to relax first so had to do some items like shop for massage supplies on amazon when my stimulus gets deposited into my account, look at the actual salon suites dos lagos into google and was notified they are labeled temporarily closed so probably why no call or email received in reply to my initial inquiry Tuesday after massaging my client the 1st time. Also tried to see if I could find out if the lady at the roommates tax/auto insurance place filed his taxes or took the paperwork, because he didn't get back any papers from her, didn't pay her, and doesn't know if he agreed to pay out of his return. He said he gave her bank statements to look at too and now she is gone and has been 'sick' for weeks and almost months without the business knowing if he filed taxes through her because they are separate agents with separate computers. I wasn't able to find out that information, the IRS froze his transcript request for 24 hours with his personal identification, but something made it get flagged as a security threat to his identification and tax history. Gave his auto loan account, SSN, DOB, address of the tax return we filed together. But they might have asked something else that I don't remember because I only got 4.5 hours of sleep maybe up to 5 hours of sleep. I did the studying finally for genetics by scribbling responses and mapping out the mitosis and meiosis stages and phases of cell cycle on the worksheet, but didn't review it. I also logged into the dashboard for the genetics course and she made the exam for this Thursday at 12pm through Friday at 11:59 pm with a review session at our 9 am lecture and prerecorded chapter 5 lectures. Thats a relief. Now I have extra time, but also I have a chemistry exam that a lot of studying is needed for, especially on the nomenclature and formulas. We will get a review of this for an hour before the exam tomorrow during the first hour of the lab. But still need to be ready. I feel like the homework on masteringLab can be reviewed with incorrect ones first, and notes for questions in notebooks, and lectures and nomenclature worksheet, should scribble in the formulas for combustion, acids, etc. But do have some notes in my notebook before printing out the worksheet. Need to memorize those polyatomic ions and the hypo-ite-ate-per but remembered for oxyanions in polyatomic ions, stuff like that. Took measurements before 830 am and after 2 cups of coffee and had a lg BM after 1st cup of coffee around 730 am about an hour and a half after waking up. Will eat breakfast now. Fried eggs and avocado, or guacomole in the ninja blender, then study after possibly folding the laundry. And might be able to workout before work today at 3 pm or nap. Which ever feels more important at the time, possibly both. The gym will be opening back up indoors this Wednesday, cool, but another $30 out my account and should make time to go. Yay! The outdoor gym has uneven flooring, and I strained my knee trying to do a lift from knees to shoulders to put a 75 lb barbell with 15 lbs each side up onto the squat setting from the bench setting last workout that I don't think I noted, but felt it yesterday when kneeling to stretch clients occipitals and neck muscles as it felt swollen. I could also be intuitive, by setting mental timers that make my body ache. I know one of my clients probably aches in that knee too and she skipped a week to go on vacation but gets weekly massages for her arthritis and Right knee. My throat hurting Thursday could have been intuition about knowing a client at ME was having neck surgery through the throat and I thought my sore throat could have been from cheating on my gluten free diet with a cupcake at work Wednesday and then a few cupcakes from the bakery Wed/Thurs. It went away after not eating the cupcakes. Still haven't eaten breakfast will do that now. I ate 2 eggs fried in 2 tbs olive oil, 3/4 avocado and 2 corn tortilla quesadillas with the Guerrero brand tortillas and 1/2 cup the mozzarella and parmesan cheese blend, then made a smoothie for later with the remaining 1/4 avocado, about 3/4 cup strawberries after taking 5 strawberries that were large and average sized and taking the white and weird part of seeds off of them as well as green leaves and stem of strawberries off, with 2 tbs cocoa powder, 1 serving vanilla protein powder 2 scoops, 1 1/2 cups almond milk. The powder didn't dissolve all the way and stuck to the sides and bottom edges of ninja blender cup. It started raining around 930 am, more intense rain at around 940 am. Then looked around at shelves and cabinets on IKEA just in case get the salon room to rent. Haven't even talked, but developing ideas. It would be great to rent and since they have wifi do my homework and wait for new clients or offer new referrals a place to get a massage if not mobile, fill out paper work, ask questions, develop a monthly plan, get to know other spa owners and services for referrals, etc. Also, the Corona location is close to the gym where I could work out if I need to. Let me look at the nomenclature scribble notes first to at least get that brewing for exam tomorrow. Then IKEA for clear glass cabinets a carpet to cover cords some photos, while looking at hydrocollator hot packs and an electric massage table professional type on amazon with basalt pro massage stones. I like those products if I do get the salon spa for rent. That stimulus is already spent. The cart is full. Took a half hour nap at 10 am and then felt groggy, eyes feel foggy to see. Rainy outside, but stopped, wet outside, not working out today, My body is looking soft. It always does but more so. The plumber of the landlord came by, both named Dave or David, his bug guy is named Dave. I don't think his electrician is named Dave though. He fixed the outside leak because Shane complained about it to him and he is going to be fixing up the next door and needs a parking spot. I think he is upset with Shane for having him come fix it. I went to work but used a wash rag to wash instead of the shower. He turned it on in time, but wanted to save time, I would have been rushed, and the water was spurting while brushing my teeth and washing my face at the kitchen sink and didn't stop completely when running. I made a protein shake for lunch and brought 2 mandarin oranges. I had a mandarin orange earlier in the day as well I think before my nap. I also took a 20 minute nap right when the plumber came by until 1 pm. So about 1230 to 1 pm, because tired. So I can add another hour to my sleep with 2 naps. My protein smoothie had 6 slices of banana I froze which is about 1 banana, because I sliced them all about 1-1 1/2" slices and put all in a lg ziploc bag in the freezer. I also added the last of cashews about 1/4 cup, 1 serving protein powder and 1 1/2 cups almond milk. It rained earlier in the day between 3pm and 6 pm because there was fresh water on the outside of work before taking my last client before my lunch break and the outside was still light out. Daylight savings time. I only ate about 1/3 the smoothie on my lunch because I wanted a falafel bowl instead. It was not as good as the first bowl, still spicy, but the falafels weren't fresh, I got there 10 minutes before they closed all the shops close at 8 pm and the store I am looking at tomorrow at 8 am also closes at 8 pm. It must be part of the quarantine hours or maybe always has been those times. After work I was really thirsty and drank a whole bottle of water in the car that I didn't have to force down, and a little over half of another bottle at home of water. Must be the hummus sodium in the hummus and falafels. Got home around 1030 pm from work and went to bed around 1115 pm with dishes in the sink. We need more paper towels already and other supplies. Got a new client that booked for 630 pm in Yorba Linda for an hour on Wednesday and my regular tomorrow at 12 pm. But also, and most importantly, my exam in chemistry is tomorrow. I studied nomenclature some more before adding to this database. The power point was open directly on the nomenclature chart.</t>
  </si>
  <si>
    <t>strawberry poptarts walmart generic brand, serving is 2 poptarts</t>
  </si>
  <si>
    <t xml:space="preserve">2 servings mission tortilla triangles 
(280	14	2	4	36	4	180)
1 serving pea protein vanilla
(120	2	0	18	6	1	360)
2 tbs cocoa
(20	1	0	2	6	2	0)
1 1/2 cups almond milk
(45	3.75	0	1.5	1.5	0	172.5)
2 avocados
(644	58	8	8	34	36	28)
3 corn tortilla quesadillas
6 corn tortillas
(300	3	0	6	63	6	60)
1/2 cup mozz/parm. cheese blend
(200	12	8	16	4	0	560)
2 of the roommate's strawberry poptarts
(400    10       5       4       74      1       240)
1 tbs cocoa
(10	0.5	0	1	3	1	0)
1 tbs honey
(60	0	0	0	17	0	0)
1/4 cup almond milk
(7.5	0.625	0	0.25	0.25	0	28.75)
=280+120+20+45+644+300+200+400+10+60+7.5
=14+2+1+3.75+58+3+12+10+0.5+0+0.625
=2+0+0+0+8+0+8+5+0+0+0
=4+18+2+1.5+8+6+16+4+1+0+0.25
=36+6+6+1.5+34+63+4+74+3+17+0.25
=4+1+2+0+36+6+0+1+0+0
=180+360+0+172.5+28+60+560+0+0+28.75
</t>
  </si>
  <si>
    <t>Woke up at around 620 am, its my day off, but have to leave by 730 am to meet a Sala Studios property manager at the Riverside location. The roommate got home at that time and I got up from bed before 630, made my coffee and fed the babies. He cleaned their messes. Had to pay gas bill didn't know they changed it or that I didn't pay it, the closing bill. I changed it to the roommate's name before but then cancelled, now they reinstated him into this address on the bill and said mine is past due, I will be billed past due fees and also its the closing bill. It wouldn't let me pay the past due fee because it didn't even show it. I don't even know if it will now show up on my credit history. Then I had a reg BM after finishing my 1st cup of coffee. Took my weight at 141.2 lbs and did the measurements at 7 am. Made my 2nd cup of coffee at 710 am and got ready to leave by 730 am, no shower, have to do the dishes too. I went to the studio and saw the suites. Many of them, they look cool, but pricey. I don't have enough clientel to work there and pay the rent there and my personal rent and bills and 2 car payments. But would consider it if I had someone to split the hours and rent of the studio with and also if I knew that Sola salons provides enough clients to make a reasonable income from and not just take rents from small, female business owners renting space from them. I then went to Winco and got much needed supplies for the house, then home to unload them and off to IKEA to get the kitchen rolling cart for my lipocavitation machine if I decide to stress my self out a ton with aquiring a new studio space to rent that is twice my own personal share of rent and has no way of keeping guests waiting in a lobby, or a place to watch kids while mommy pampers herself. It could be great for those moms and ladies who get everything done at once and have the money for a spa day, like their nails, hair, lashes, massage, facial, etc. They have all of the above business owners there. I was out the door by 935 am and got to IKEA at about 1015 am because of slight traffic out of Corona before the 71. Got back home by 1120 pm and changed to scrubs for private client, gave her the CBD referral card and treated her knee with CBD only from other client's samples she gave me. I still haven't given her SOAP notes at 1033 pm recap of the day. I just turned in my lab from last week due tomorrow and finished he exam, tough and not enough time to work out the word problems, started easy enough at the beginning 10 or so problems, but then there were 30 of them and 90 minutes seems like a long time until you work out all the problems and want to copy them down to look at later by hand. Also, my laptop camera for proctorio wasn't allowing me to take the exam for 6-7 tries until I notified the instructor and she was going to have me take the exam in front of the web cam in front of her, but then my laptop proctorio camera started working. Of course that makes sense and is dumb that it happened, but what doesn't make sense about a test and the proctoring equipment or some pig behind it fucking with the video feed or exam monitoring software. Not unlikely at all, ever, or anywhere, or any time. But did terrible before she grades it of course, didn't finish last 5 problems, moved on to next one before completing others and didn't write any answer because I realized I should look for less time consuming problems before going into the word problems and couldn't write down the last problems from 28-30 to look at later. The significant figures could have thrown off some answers, and also her chemical formulas had the subscripts disabled or not in that software, so the chemical formula had to be written out different. Its likely the others did just as bad as me. I am as confident in my test taking skills as theirs in this scenario. Don't think there is anybody who answered all questions and sigfigs in time allowed unless they knew the questions before hand. Going to make the SOAP notes and receipt for client and send them to her before I go to bed. In the morning I am going to celebrate with cake I bought earlier in the week my roommate's birthday. And maybe put together the cart for the lipocavitation machine that rolls from IKEA. Bed time planned for 11 pm and it is 1040 pm.</t>
  </si>
  <si>
    <t>slice of chocolate cake, similar to a chocolate cupcake, https://www.fatsecret.com/calories-nutrition/generic/cake-cupcake-chocolate</t>
  </si>
  <si>
    <t xml:space="preserve">chocolate birthday cake similar to a chocolate cupcake with chocolate frosting
(164	5.4	1.2	1.7	29.2	0.7	176)
1 serving pea protein
(120	2	0	18	6	1	360)
2 tbs cocoa
(20	1	0	2	6	2	0)
1 1/2 cups almond milk
(45	3.75	0	1.5	1.5	0	173)
1 banana
(105	0	0	1	27	3	1)
2 avocados
(644	58	8	8	34	36	28)
1 serving Mission tortilla chips triangles
(140	7	1	2	18	2	90)
6 corn tortillas
(300	3	0	6	63	6	60)
1/2 cup mozz/parm blend cheese
(200	12	8	16	4	0	560)
=164+120+20+45+105+644+140+300+200
=5.4+2+1+3.75+0+58+7+3+12
=1.2+0+0+0+0+8+1+0+8
=1.7+18+2+1.5+1+8+2+6+16
=29.2+6+6+1.5+27+34+18+63+4
=0.7+1+2+0+3+36+2+6+0
=176+360+0+173+1+28+90+60+560
</t>
  </si>
  <si>
    <t xml:space="preserve">Woke up at 520 am and made coffee, cleaned few pet messes first, and fed the babies. Then looked at stuff online while drinking 1st cup of coffee. I felt dyhydrated and drank 1/2 a bottle of water before the coffee, and slept with waist trimmer on last night and had pain around 2 am that went away in LB and lower Right abdomen and I took off the waist trimmer at that time before waking at 520 am. It went away after drinking the water and coffee. Had a reg BM after drinking the 1st cup of coffee. Then logged onto canvas for the dashboard and to look at BIO18 documents and plans for this week. Yesterday there wasn't any lectures in BIO18 available to download and watch for this morning, for some reason it isn't available even though she placed the announcement and had the information on the exam this Thursday. This morning I put together the kitchen rolling cart from IKEA-RASKOG brand and my ultracavitation machine fit perfectly into it and the cords could lay perfectly somewhat into the bottom bins, can put oils and RF gel in there as well as an extension cord to roll around the room. Had the birthday song with the roommate and my little boy Mr. Goody the other two were sleeping. Then did the dishes and got ready for work. Plan on washing my hair today. Did that, ran late again but always get there on time. Out the door by 730 and a few minutes. Lost an earring in the shower. Saw the back to it on the carpet, but the earring wasn't to be found. A pair of the silver diamond ones that I got from Macy's for $30 for spending more than $50 last year. Sent an order through on Amazon that I was making yesterday at lunch time and ate a protein smoothie I made at home with a banana, 1 serving vanilla pea protein, 2 tbs cocoa, 1 1/2 cups almond milk. Had my 3rd cup of coffee, had a little bit of instant coffee in the smoothie but not all the smoothie gets in my belly from the sides. I had my 4th cup of coffee after work and at home budgeting my amazon order of massage supplies and after eating 3 corn tortilla quesadillas with the mozz/parm blend and paprika and 1 avocado. For lunch at work had an avocado with 1 serving approximately of the Mission tortilla chip triangles as guacamole from a cup smashed like so. I have a new client today in Yorba Linda. My massage supplies included 3 different and separate hair covers of paisley, black, and a neat looking painted type print each $11 each, a mini hydrocollator that looks the same as the $300-$600 ones but is only up to 8" high and 6"X4"X8". So I will likely be dissappointed to its size but it comes with 4 hot packs. I also ordered a neck hot pack and  a 12" hot pack that probably won't fit in the unit, but it was $190 for the hydrocollator and $11-$13 each for the separate hot packs. Ordered 3 separate silky short robes $22 each and 2 wire handled baskets for the idea that I would rent a spa studio and have the client put her/his things in the basket and wear the silky robe between visits. Just an idea. A black, teal, and purple robe all medium sized, and the basket looks from the picture like it would hold their shoes and stuff $10 each, but will likely also be much smaller and a disappointment. I also ordered a duffel bag from Wrangler that looks more durable than the one I got at Burlington that scuffs and got holes from resting on the black top when rolling my machine or massage spa supplies to clients from vehicle street parking. That was about $43 for the bag. Also ordered some tubes of bio freeze only 2 and will take the longest about 2 weeks to arrive and cost about $24. And 4 microfiber dark grey twin sheet sets at $15 each and a 6 package compression sock with different prints on the image but says black on the color for $20. Plus tax for all but free shipping with Prime. Tomorrow I get most of the supplies, but the hydrocollator in 1-2 weeks and biofreeze in 2-3 weeks, and the other stuff by Sunday. The hair covers are something I think will save me the annoyance of having my flyaway hairs hit me in the eyes or tickle/scratch my face while massaging someone and they have buttons to the sides for face masks' handles to cover your ears and prevent flyaway hairs from hitting the inside of the ears as well. Got to the new client's house early 20 minutes, she was nice, she scheduled another massage for Friday with her husband and the lipocavitation machine to try and tighten up her abdominal liposuction mark under the skin that left an indent 3 months post-op with 5-10 treatments and lymphatic drainage massage. I got home around 8 pm and reviewed the genetics material for today, didn't eat anything. Knees and low legs swollen even with compression socks, the knees makes sense but not the ankles. Stress and added sugar earlier, not enough water, and too much sodium in diet and not doing my regular workouts. The gym is open now and I should go there as the ground outside isn't level and I twisted my R knee a few weeks ago or last workout. Went to bed a little after 9 pm, work up at 12:30 am stress, pee. Reviewed the answers I got wrong again, she corrected them. No curve, said everybody did good overall. One of her written formulas is wrong, I emailed her earlier about the chemical equation for ammonium phosphate, she wrote as Al for aluminum. I got one wrong that was answered due to not writing the units 'amu' and another I thought was wrong, because it was the molecular weight of Nitrogen when asked to find the molecular weight of 1.00 moles of N in ammonia NH3, was actually right, but wrong because the answer should have included 'g' for grams and 3 sigfigs for 14.01 as 14.0 g. Another I answered was wrong because I didn't use the correct conversion in 1.06 qt = 1L and left it as 1 qt when rushing through the dimensional analysis of a simple conversion. One problem I wrote down as asking the micrometers um, but didn't see that it asked in mm not meters. I thought it was easy and got it wrong because rushed I didn't notice it asked mm instead. I got all the chemical formulas wrong. I thought I would get some right, but mistakenly wrote Fe for lead instead of Pb and perchloric acid I know is the highest oxyanion but I didn't write the right chemical formula for it and wrote HClO3 instead of HClO4, potassium manganate I knew I would miss K2MnO4 but wrote KMgO4, and iron(II) sulfide I wrote as Fe2(SO3)3 instead of Fe2S. Many wrong that I answered were typos or missed units or sigfigs. There were 4 in total not answered. That and the chemical formulas from the name of the substance. Stayed up an hour reviewing the exam just taken. My score was a 94% before the exam and now it is 79%. If my final is better it can replace this exam score. </t>
  </si>
  <si>
    <t xml:space="preserve">I went to bed at about 920 pm and woke up at 1230 am from stress to review Chemistry exam just taken answers posted to see where I went wrong and what was missed until about 1:30 am. Went to sleep around 2 am and woke up around 530 am and got out of bed around 545 am. In total about 6 1/2 hours of sleep. My ankles are swollen this morning at 6 am, they were last night too. My instructor emailed me that she fixed the problem on the exam that showed aluminum chemical formula to ammonia's NH4 and gave me a point. And that the one I thought was bicarbonate was bisulfate so no point there. I need to study those chemical equations. But first genetics to study. My health is declining. I fucking hate test and exam studying and preparing, and memorizing and exhausting my hands and time with reviewing and memorizing. I really fucking hate it. But drew some charts of meiosis and mitosis to help me as well as studied genetics. Some instructors give fair problems in a fair amount of time, and others make the whole test taking a nazi/japanese concentration camp. I want to do well, so I must make sacrifices with my health and time to get there, seems like such a nuissance that needs to be monitored. Of course when I have to find time to study and relieve stress somebody new wants a massage and I want to grow my business and yet not a lot of them are return clients. Only a few. That is why I shut off my weekends to do the work I need to do. Extra money helps and should make me less stressed, but my bills are covered, I need the time to commit to studying and doing homework and reading. I had a reg-lg BM after my 1st cup of coffee right when the roommate was unloading his work gear around 610 am or so. Then a 2nd cup and studied. Took measurements around 830 am, and lost some possible bloat from yesterday. Ankles still swollen and neck cramps up note taking and looking down to note take and read. Class starts or lecture for BIO18 at 9 am in 20 minutes or less. Going to eat a couple quesadillas and scrambled eggs with sourcream. Took the exam and had a snack before my chemistry lecture. The automated grade seemed low on the genetics exam,but probably the instructor has to go in and look at the type in answers. Helped the roommate with his taxes online on my lab break at 730 pm instead of having a snack. I didn't keep track of this data until the end of the day but the food I ate was 2 eggs scrambled with 2 tbs sourcream and in 2 tbs olive oil with 2 corn tortilla mozz/parm quesadillas before the genetics lecture around 830 am, then had lunch of a protein smoothie with 1 banana, 1 serving pea protein, 1/2 cup almond milk because it was the last of it and some of my 3rd cup of coffee, 2 tbs cocoa and later a couple of mandarin oranges along side the smoothie. At 4 pm after the exam and in the middle of my chemistry lecture I had another 2 mandarin oranges. I had some packages delivered to the amazon hub locker and picked those up after lecture around 445 pm, then at 530 pm after making penne red fennel 1 pkg with a red bell pepper, a green bell pepper, and 1 cup of mushrooms white sliced, 2 tbs olive oil, and 1 jar of prego 3 cheese sauce, had a bowl with 1/2 cup of mozz/parm blend cheese. Before I left to get the packages of hot stones and hair caps for healthcare to keep flyaways out of face I had a lg piece of the chocolate cake about 2 cupcakes worth. I also started my rag today with spotty light noticed around the time of starting my genetics exam at around 1 pm. No workouts and tons of homework and studying. I have a few return clients tomorrow and 1 booked with me Saturday morning at ME because she found me on yelp and lives in Chino and able to drive and wants specifically a lymphatic drainage massage with a sequence of them. And ME is better suited for this, due to their discounted rates after the first massage after each month's dues used. </t>
  </si>
  <si>
    <t>bowl of pasta recipe 3-18-2021 penne red fennel</t>
  </si>
  <si>
    <t>pot of pasta penne red fennel red/green bell peppers 2 total/2 tbs olive oil/1 cup white mushrooms sliced/prego 3 cheese, makes about 4 bowls</t>
  </si>
  <si>
    <t xml:space="preserve">2 eggs
(140	10	3	12	0	0	140)
4 corn tortillas Guerrero brand
(200	2	0	4	42	4	40)
1/3 cup mozz/parm cheese
(133.3	 8	5.3	10.7	2.7	0	373.3)
1 serving vanilla pea protein
(120	2	0	18	6	1	360)
1 banana
(105	0	0	1	27	3	1)
1/2 cup almond milk
(15	1.25	0	0.5	0.5	0	57.5)
2 tbs cocoa
(20	1	0	2	6	2	0)
4 mandarin oranges
(160	0.8	0.4	2.4	40.4	5.6	8)
lg piece of chocolate cake with frosting or 2 cupcakes similarly
(328	10.8	2.4	3.4	58.4	1.4	352)
1 bowl of pasta penne 3/18/2021 recipe
(458.5	11.2125	2.2125	23.575	71.675	12.275	602.75)
1/2 cup mozz/parm cheese
(200	12	8	16	4	0	560)
=140+200+133.3+120+105+15+20+160+328+458.5+200
=10+2+8+2+0+1.25+1+0.8+10.8+11.2+12
=3+0+5.3+0+0+0+0+0.4+2.4+2.2+8
=12+4+10.7+18+1+0.5+2+2.4+3.4+23.6+16
=0+42+2.7+6+27+0.5+6+40.4+58.4+71.7+4
=0+4+0+1+3+0+2+5.6+1.4+12.3+0
=140+40+373+360+1+57.5+0+8+352+603+560
</t>
  </si>
  <si>
    <t>Starbucks grande nitro cold brew with sweet cream, https://www.starbucks.com/menu/product/2122237/iced?parent=%2Fdrinks%2Fcold-coffees%2Fnitro-cold-brews</t>
  </si>
  <si>
    <t xml:space="preserve">1 serving pea protein
(120	2	0	18	6	1	360)
2 tbs cocoa
(20	1	0	2	6	2	0)
1/2 cup frozen blueberries
(42	0	0	1	13	2	1)
1 banana
(105	0	0	1	27	3	1)
bowl of pasta Lunch
(458.5	11.2125	2.2125	23.575	71.675	12.275	602.75)
starbucks grande nitro cold brew sweet cream
(70.00	5.00	3.50	1.00	4.00	0.00	20.00)
bowl of pasta dinner
(458.5	11.2125	2.2125	23.575	71.675	12.275	602.75)
1/3 cup winco mozzarella cheese
(80	5	3.5	6	1	0	190)
3 tbs sourcream
(90	7.5	5.25	1.5	3	0	22.5)
=120+20+42+105+458.5+458.5+70+80+90
=2+1+0+0+11.2+11.2+5+5+7.5
=0+0+0+0+2.2+2.2+3.5+3.5+5.25
=18+2+1+1+23.6+23.6+1+6+1.5
=6+6+13+27+71.7+71.7+4+1+3
=1+2+2+3+12.3+12.3+0+0+0
=360+0+1+1+602.8+602.8+20+190+22.5
</t>
  </si>
  <si>
    <t xml:space="preserve">Went to bed at 1030 last night, got up at 430 am this morning and made coffee, cleaned up pet messes, fed the babies, made notecards on ch4 chemistry ppt slides with examples, and only 1 formula for percent yeild, quiz Tue on ch4. Also organized my notebooks with tabs for the information to study on homework scratch paper, used with the solns of the masteringLab, the lecture notes and things important like where to find redox, and stuff to memorize etc. Need more flash/note cards. Also went over yields. Theoretical, limiting and excess reagents, combustion stoichiometry, etc. Had a BM reg-lg size around 530 am after 1st cup of coffee. I don't feel tired. I have some clients after work today and using my RF machine. Hopefully, my duffel bag arrives soon. I have some more items to pick up at the hub locker for amazon possibly before work. I need to use my time wisely even on lunch breaks or down time at work to study chemistry. Going to look over the ppt and lectures for genetics. Have a discussion post due Monday night in BIO18 with thought. Also, hw for chemistry ch5 not due till Wed nor the lab till Friday, its a lengthy one too, a worksheet. Had a starbucks for lunch grande nitro cold brew w/ sweet cream. After work, the bowl of pasta was smaller, but had to add the Winco shredded mozzarella cheese and 3 tbs sourcream for more flavor. Went to the massage and they are a great couple. Super nice and love their cat. I used the RF tool on her abs and the aqua-gel but she said it could still feel the burn if set higher than 40% RF power and also on the vacuum, on lowest setting for vacuum and 20%-25% power. Laundry, notes, emails, database research input, and bed around 1115 pm. </t>
  </si>
  <si>
    <t>ahi tunu, serving 2 pcs sushi, https://www.calorieking.com/us/en/foods/f/calories-in-japanese-raw-tuna-sushi-nigiri/dRH0pXbUTO-_tklypq6u1Q</t>
  </si>
  <si>
    <t>salmon, serving 2 pcs sushi,  https://www.calorieking.com/us/en/foods/f/calories-in-japanese-raw-salmon-sushi-nigiri/Q3eMQgVHRfOct_GXeY9aog</t>
  </si>
  <si>
    <t>spicy mayo, serving 2 oz 1 pkg condiment, https://www.calorieking.com/us/en/foods/f/calories-in-condiments-spicy-mayo/XKs-hi5UQcmDmdyUttVVwg</t>
  </si>
  <si>
    <t>teriyaki sauce, serving 1 tbs 0.6 oz, https://www.calorieking.com/us/en/foods/f/calories-in-sauces-teriyaki-sauce/31p8AsaFT7q7WEs1X9AO1A</t>
  </si>
  <si>
    <t>pineapple_1cup, 5.8 oz, https://www.calorieking.com/us/en/foods/f/calories-in-fresh-fruits-pineapple-raw/m4JttugzRT2KyGMkrrZkzQ</t>
  </si>
  <si>
    <t>pinapple poki bowl 1/4 cup</t>
  </si>
  <si>
    <t>brown rice, 1 cup 6.9 oz, https://www.calorieking.com/us/en/foods/f/calories-in-rice-long-grain-brown-rice-cooked/_W12T-lpSI-Nm25pKDkvrw</t>
  </si>
  <si>
    <t>poki brown rice 1 1/2 cups</t>
  </si>
  <si>
    <t>cucumbers, serving 1 cup 3.7 oz, https://www.calorieking.com/us/en/foods/f/calories-in-fresh-or-dried-vegetables-cucumber-with-peel-raw/nKvHV3A9TamX5TW2U8mjdA</t>
  </si>
  <si>
    <t xml:space="preserve">cucumbers poki 1/4 cup </t>
  </si>
  <si>
    <t>sesame seeds serving 1 tbs 0.3 oz, https://www.calorieking.com/us/en/foods/f/calories-in-seeds-whole-sesame-seeds-roasted-toasted/FyvsC9v-QiOYvcWSJCvszw</t>
  </si>
  <si>
    <t>ginger root poki bowl 1 teaspoon 0.1 oz seving, https://www.calorieking.com/us/en/foods/f/calories-in-fresh-or-dried-vegetables-ginger-root-raw/-TXI3lP0RCav-6oUYlV6Ww</t>
  </si>
  <si>
    <t>wasabi 1 teaspoon serving, https://www.calorieking.com/us/en/foods/f/calories-in-japanese-wasabi-root-raw/hcWfFF5TRE63dEPlZbo-iA</t>
  </si>
  <si>
    <t xml:space="preserve">1 serving pea protein
(120	2	0	18	6	1	360)
2 tbs cocoa
(20	1	0	2	6	2	0)
1/2 cup frozen blueberries
(42	0	0	1	13	2	1)
1 banana
(105	0	0	1	27	3	1)
Poki Bowl
1/4 cup salmon 
(134	3.9	0.9	7.1	16.7	0.6	193)
1/4 cup tuna bluefin ahi
(106	0.4	0.1	8	16.7	0.6	186)
2 tbs spicy mayo
(80	9	2	0	0	0	80)
2 tbs teriyaki sauce
(32	0.2	0	2.2	5.6	0.2	1380)
1/4 cup pineapple
(20.5	0.05	0.025	0.225	5.4	0.575	0.5)
1/4 cup cucumbers
(4	0.025	0.025	0.175	0.95	0.125	0.5)
1 tbs sesame seeds
(51	4.3	0.6	1.5	2.3	1.3	1)
1 1/2 cups brown rice
(324	2.7	0.6	7.5	67.2	5.25	15)
2 tbs ginger
(2	0.1	0.1	0.1	0.4	0.1	1)
1/4 tbs wasabi
(5	0.1	0	0.2	1.2	0.4	1)
6 corn tortillas Guerrero brand
(300	3	0	6	63	6	60)
1/2 cup mozzarella winco brand
(160	10	7	12	2	0	380)
2 chocolate cupcakes
(164	5.4	1.2	1.7	29.2	0.7	176)
=120+20+42+105+134+106+80+32+20.5+4+51+324+2+5+300+160+164
=2+1+0+0+3.9+0.4+9+0.2+0.005+0.025+4.3+2.7+0.1+0.1+3+10+5.4
=0+0+0+0+0.9+0.1+2+0+0.025+0.025+0.6+0.6+0.1+0+0+7+1.2
=18+2+1+1+7.1+8+0+2.2+0.225+0.175+1.5+7.5+0.1+0.2+6+12+1.7
=6+6+13+27+16.7+16.7+0+5.6+5.4+0.95+2.3+67.2+0.4+1.2+63+2+29.2
=1+2+2+3+0.6+0.6+0.2+0.575+0.125+1.3+5.25+0.1+0.4+6+0+0.7
=360+0+1+1+193+186+80+1380+0.5+0.5+1+15+1+1+60+380+176
</t>
  </si>
  <si>
    <t>Woke up at 530 am by alarm, reviewed the discussion and power point slides in genetics and folded laundry from yesterday after cleaning up one pet mess, making my coffee, and feeding the babies, had 2nd cup of coffee after folding the laundry. I bought some French press from IKEA when I went earlier in the week and had some coffee grounds from Starbucks ground French press style, but haven't had time to clean the item and follow instructions for cold brew of french press coffee. Had a lg BM after 2nd cup of coffee. Then took measurements crunched for time. Had a banana, frozen blueberry, pea protein and cocoa powder smoothie for breakfast with a little bit of coffee for 3rd cup in it. For lunch I had a poki bowl and violated meat free but its fish, so not the vegetarian I have been for almost 4 years now. with 1 scoop of salmon, one of the tuna, the spicy crab meat that I didn't really eat, over brown rice about 1 1/2 cups with spicy mayo 2 tbs and teriyaki sauce about 2 tbs with ginger 1 tbs, pineapples 1 scoop about 1 slice chopped, sesame seeds toasted about 1/2 tbs, about 1/4 cup chopped cucumbers too. And my 4th cup of coffee from work's keurig the Donut Shop one today. After work ate 3 quesadillas normal style and shared with the babies, later had a large piece of chocolate cake about 2 cupcakes worth in size. My amazon order arrived of the duffel bag after doing some writing of nomenclature for each individual compound from the week 3 worksheet with polyatomic charges and fixed or variable metal charges as well as other notes on notecards. Then completed the week 5 power point fill in for genetics. We have a chapter 4 quiz in chemistry Tuesday, homework due Wednesday but the masteringLab was froze earlier and couldn't look at the 3 hours they estimate to complete it, also a lab dry lab worksheet on ionization and oxidation from the chapter 5 slides I need to go over and make flashcards for. I need to get more flashcards and maybe some of those little notecard boxes they sell at Michael's craft store by my work. My ankle is still swollen and my right knee. I wanted to workout but I didn't due to catching up on prepping for stuying and studying while preparing the note cards. I got some plastic bags for laundered linens after watching them in gallon size and the sandwhich bag size for food or small work items for private clients and dryer sheets when picking up one of the other robes I ordered at the hub spot. And another one is waiting for me to pick it up there tomorrow morning before work, that and another little basket. Not bad size. Probably sell the same thing at the dollar tree but convenient to order it on Amazon for $10 and use my monthly prime subscription for free delivery. Still need the biofreeze order and especially the hydrocollator that hasn't shipped yet. I don't plan on using it any time soon, but want it here and ready. Tired. Been tired. Have a discussion I need to do before the end of the weekend. Rag my 3rd day and only medium. yesterday was medium light, and the first day was light. Usually its spotty-light, med-light, heavy, med-heavy, med-light, light for 6 days approximately. It might be the red fennel pasta and not eating it with cheese and having the peppers because of the phytohormones in fennel. I had my 5th cup of coffee while eating the quesadillas and making the flashcards for chemistry on nomenclature. Went to bed at 1030 pm</t>
  </si>
  <si>
    <t>dark chocolate honey combs, 1 serving 2 pcs</t>
  </si>
  <si>
    <t>pot spaghettie, 3-21-2021 recipe, gluten free spaghettie Barilla, 1 pkg beyond meat, 1 cup mushrooms white sliced, 2 tbs olive oil, broccolie 2 cups, prego 3 cheese 1 jar</t>
  </si>
  <si>
    <t>bowl spaghetti 3-21-2021 recipe, makes 5 bowls</t>
  </si>
  <si>
    <t xml:space="preserve">bowl of past 3-18 recipe
(458.5	11.2125	2.2125	23.575	71.675	12.275	602.75)
protein smoothie
1 serving pea protein vanilla
(120	2	0	18	6	1	360)
1 banana
(105	0	0	1	27	3	1)
1/2 cup frozen blueberries
(30	0.25	0	1	5.5	3.5	0)
3 mandarin oranges
(120	0.6	3    1.8  30.3   4.2	6)
6 corn tortillas
(300	3	0	6	63	6	60)
1/2 cup mozzarella Winco brand shredded cheese
(160	10	7	12	2	0	380)
3 cups or 1 bottle red wine Trivento Red blend
(615	0	0	0	20	0	30)
2 pcs dark chocolate honeycomb
(130	5	2.5	1	24	1	75)
bowl spaghettie 3/21/2021 recipe
(543.8	22.636	5.316	23.4	62.6	4.6	772.412)
2 pcs dark chocolate honeycomb
(130	5	2.5	1	24	1	75)
1/4 cup mozzarella cheese
(80	5	3.5	6	1	0	190)
=458.5+120+105+30+120+300+160+615+130+543.8O+130+80
=11.2+2+0+0.25+0.6+3+10+0+5+22.64+5+5
=2.2+0+0+0+3+0+7+0+2.5+5.3+2.5+3.5
=23.6+18+1+1+1.3+6+12+0+23.4+1+6
=71.7+6+27+5.5+4.2+63+2+20+24+62.6+24+1
=12.3+1+3+3.5+6+6+0+0+1+4.6+1+0
=602.8+360+1+0+60+380+30+772.4+75+190
</t>
  </si>
  <si>
    <t>Woke up just before 530 am around 527 am and got out of bed at 530 am. Made coffee, cleaned up the pet mess in living room, and fed the babies after taking them outside to pee. The computer froze up wasted time for file exporer not working after looking at AMazon shopping, I think the wifi tv from Amazon has spyware in it, I reset the wifi and tried other laptop but didn't have the study material for week 4 or week 5. I finally unplugged the amazon tv and the laptop worked. I don't trust it. my laptop froze after shopping on Amazon for infrared spas and lights just curious on what to add to my mobile services for massage. Didn't get anything. I did some notes once up on ch5 ppt slides after having my 2nd cup of coffee and a reg lg BM. Took measurements at 6:45 am. The roommate was home about 630 am. I had laundry I put in earlier I need washed and told him I would put his in the wash after mine and not to add to my wash load. I don't have to get ready until 730 am for work to leave by 830 at latest. My menstruation seemed to skip the heavy phase all together. Today from last night only changed my mensa pad before bed and in am without heavy flow. So would say medium flow now. yesterday med-heavy but more medium, before that light-med, and then before that straight light without spotty. Went to work by 820, checked hub locker by that time. Actually left by 810 am and got to work at 8:40 am. I took the dodge charger today, the ford transit out of fuel. Got my other robe and basket. AFter work got the biofreeze. A hair cap and my hydrocollator still enroute. For lunch had the smoothie, of 1 banana, 1/2 cup frozen blueberries, 1 serving pea protein, and water and some coffee. Had my 4th cup of coffee at lunch, the donut shop keurig brand. Went to Staples and spent nearly $40 on notecards, a sketch book, eraser, pens and coloring pencils, and $10 on notecard boxes. AFter work, had a Sprouts trip before home and got beyond meat, bananas, wine triveno or something brand red blend, and dark chocolate honey combs. At home, finished the discussion without replies in genetics. Had the whole bottle of wine over 2-3 hours with 3 quesadillas normal style. Had a 2nd BM around 6 pm sm sz after 2nd cup of wine. Total of 2 3/4 dollar tree skinny mug size cups filled with wine from that bottle. The bottle was drank in entirety by the end of the day. Ordered some spa items on amazon and tried to build a decal window cling to advertise renting truck with supplies, but too expensive at $80 each. I ordered a spa facial machine with steamer pro grade and a microdermabrasion pro machine with diamond tip. And a red light pain therapy device. I also made a pot of gluten free spaghetti with broccoli florets in a bag, 1 cup leftover white mushrooms, 1 jar of prego 3 cheese sauce, and 1 yellow bell pepper, and 1 pkg beyond meat. I had a bowl of it. It makes about 4 bowls. This is the 3-21-21 pasta recipe. I knocked out early after drinking the bottle of wine and the bowl of pasta. Went to bed with the light on and woke up at 3 am. I probably went to bed around 9 pm. Was feeling drunk and groggy but finished the discussion reply after searching for the email a recruiter sent to my j@tmn email from Kite for data coder of asst scientist-bioinformatics I. To answer the discussion question. Looked at the chemistry exam I bombed, and then the ppt 5 slides. Went back to bed at 430 am and woke up at 6 am lying in bed and stretching until 630 am. Got out of bed and made ppt5 notecards in chemistry 1A until 80% dones. Had my 2 cups of am coffee, a lg BM before 2nd cup of coffee. Took my measurements at 830 am.</t>
  </si>
  <si>
    <t>raspberries_1cup</t>
  </si>
  <si>
    <t>poki double salmon bowl</t>
  </si>
  <si>
    <t xml:space="preserve">2 bowls of pasta 3-21-21 recipe
(1087.6	45.272	10.632	46.8	125.2	9.2	1544.824)
4 pcs of dark chocolate honeycomb
(260	10	5	2	48	2	150)
lunch/dinner at work:
pea protein 1 serving
(120	2	0	18	6	1	360)
banana
(105	0	0	1	27	3	1)
frozen blueberries 1/4 cup
(10.5	0	0	0.25	3.25	0.5	0.25)
frozen raspberries 1/3 cup
(14.00	0.00	0.00	0.33	4.33	0.67	0.33)
frozen blueberries 1/3 cup
(23.33	0.33	0.00	0.67	5.67	3.00	0.00)
poki bowl
(554.50	11.18	2.15	17.80	96.55	8.35	901.00)
banana
(105	0	0	1	27	3	1)
=1087.6+260+120+105+10.5+14+23.33+554.5+105
=45.27+10+2+0+0+0+0.33+11.18+0
=10.6+5+0+0+0+0+0+2.15+0
=46.8+2+18+1+0.25+0.33+0.67+17.8+1
=125.2+48+6+27+3.25+4.33+5.67+96.55+27
=9.2+2+1+3+0.5+0.67+3.0+8.35+3
=1544.8+150+360+1+0.25+0.33+0+901+1
</t>
  </si>
  <si>
    <t>woke up at 3 am. I probably went to bed around 9 pm. Was feeling drunk and groggy but finished the discussion reply after searching for the email a recruiter sent to my j@tmn email from Kite for data coder of asst scientist-bioinformatics I. To answer the discussion question. Looked at the chemistry exam I bombed, and then the ppt 5 slides. Went back to bed at 430 am and woke up at 6 am lying in bed and stretching until 630 am. Got out of bed and made ppt5 notecards in chemistry 1A until 80% dones. Had my 2 cups of am coffee, a lg BM before 2nd cup of coffee. Took my measurements at 830 am. On my rag, but light flow almost spotty. Made flashcards on ppt 5 and ppt 14.5 until 1130 am. Mr. Growly has been having a cough that won't go away, and I thought it was his asthma or allergies, but he is struggling to breath for the last few days, not consistently but most of the time. The roommate took him to the vet thinking it is kennel cough or pneumonia, we argued. I gave him $45 to help, he has plenty of his own money. I love Mr. Growly but he is 12 years old, and has had seizures more frequently, two times in last few months. Hopefully, what he has is treatable. I ate a bowl of pasta at 845 am then worked on the flashcards. Haven't gotten to the homework or the lab. Not so sure about the unanswered redox questions in last slide of ppt 5. Also, the first part of the lab or dry lab worksheet we went over in lab wasn't done and will have to do on my own. We skipped it in lab, and it is lengthy over all types of reactions in ppt 5, The homework is due Wed. quiz 3 on ch4 is Tue lab to start, and lab questions to answer before the lab tomorrow is due. My client today rescheduled last night, thankfully because I needed this time to study and write up my note cards. I have a client tomorrow at 12 pm and will have to work out the lab and the prelab questions as well as a big chunk of the homework and studying for chapter 4 quiz before I leave at 1120 am to get to that appointment and be back by 1-130 pm. The lecture starts at 3 pm. Break for 1 1/2 hours 430-6 pm, when the quiz and prelab questions are due. Mr. Growly has heart disease. They are treating him at the vet till he gets him at 545 pm. He spent $600 to get him meds, xrays, and tests. Had another bowl of pasta and called ATT to fix wifi for roommate he has lousy connection on the phone 40 minutes sending me a pkg booster to boost his signal for free spoke with Luz. this was around 12 pm. Had 3rd cup of coffee and fed the babies too. Mr Growly is at the vet. I hope he is ok, especially with heart disease. Poor, sweet baby. Love that tiny little guy. Plan of napping for 30 minutes by 1 pm and getting ready for work at 130 pm. Got about 25 minutes of rest napping around 1 pm and got up 10 minutes before 130 pm. Made a smoothie for work using pea protein, the last of it, need more,a banana fresh, and the last of the blueberries, about 1/4 cup blueberries and 3/4 cup frozen blackberries and raspberries. I had that when I got to work I drank that and had a banana that I ate on my break with a poki bowl or after it to be exact. This poki bowl same place, but 2 servings salmon about 1/2 cup salmon all together, masago, 1 1/2 cups brown rice, 1/4 cup pineapples, and teriyaki sauce about 2 tbsp with wasabi 1 tbs, ginger about 1 tbsp, sesame seeds about 1 tbs, and 1/4 cup cucumbers. No spicy mayo today. Busy at work but managed to review some of my flash cards before going back to work. Bed time around 1130 pm. Got to get up early and study for the quiz and work on prelab questions and the dry lab worksheet, and chapter 5 homework.</t>
  </si>
  <si>
    <t>1 serving, proper serving  about 1/2 coffee reg. sized mug from Dollar Tree, https://www.calorieking.com/us/en/foods/f/calories-in-wines-cabernet-sauvignon/CrK1LhsWThmi-V0qkeqQqQ,   and for sodium a rough estimate for red wines from: https://www.livestrong.com/article/302771-calories-sodium-in-wine/</t>
  </si>
  <si>
    <t xml:space="preserve">1 bowl pasta 3-21-21 recipe breakfast
(543.8	22.636	5.316	23.4	62.6	4.6	772.412)
1 banana
(105	0	0	1	27	3	1)
6 pcs dark chocolate honeycomb brkfst am snacks
(130	5	2.5	1	24	1	75)
bowl pasta last of it lunchtime
(543.8	22.636	5.316	23.4	62.6	4.6	772.412)
2 mandarin oranges lunchtime and before lecture and during lab break
(40	0.2	0.1	0.6	10.1	1.4	2)
3 quesadillas during hour break after lecture
6 corn tortillas Guerrero
(300	3	0	6	63	6	60)
1/2 cup cheese
(160	10	7	12	2	0	380)
3 quesadillas after break with cinnamon added during 20 minute break
6 corn tortillas Geurrero
(300	3	0	6	63	6	60)
1/2 cup cheese
(160	10	7	12	2	0	380)
1 banana
(105	0	0	1	27	3	1)
2 poptarts strawberry of the roommates during last half of lab
(400	10	5	4	74	1	240)
1/2 a mug about 1 cup of Predator wine cabernet sauvignon with a lady bug logo on cap
its tart, not like my merlot
(115.00	0.00	0.00	0.50	3.70	0.00	12.00)
=543.8+105+130+543.8+40+300+160_300+160+105+400+115
=22.6+0+5+22.6+0.2+3+10+3+10+0+10+0
=5.3+0+2.5+5.3+0.1+0+7+0+7+0+5+0
=23.4+1+1+23.4+0.6+6+12+6+12+1+4+0.5
=62.6+27+24+62.6+10.1+63+2+63+2+27+74+3.7
=4.6+3+1+4.6+1.4+6+0+6+0+3+1+0
=772.4+1+75+772.4+2+60+380+60+380+1+240+12
</t>
  </si>
  <si>
    <t xml:space="preserve">Woke up at 530 am, cleaned a lot of pet wet messes, made coffee, had 2 cups and a reg lg BM after 1st cup of coffee and before 2nd cup of coffee, also still light on mensa almost spotty, and fed the babies before my coffee. Started the review of ppt wk 4 ch 4 slides and then the roommate came home by 630 am and explained how to give Mr. Growly his heart meds and water pill and other pill. Didn't eat breakfast till 845 am after taking measurements. Had about 4 pcs of dark chocolate honeycombs that were left. Shared with the babies as well. Need to go grocery shopping. Did all that after seeing my client who is super great to be around for her weekly massages, and did great on quiz, thankfully, less questions I had time to complete. Everybody did well on it. Have a lab to complete. Watched all the videos. Going to do my paper work and email to cool client after entering data in this database. I had a panic, anxiety, temper tantrum before seeing her that I washed my face and didn't put on makeup, because I don't have time for anything. This 5 unit class typically should take 2-3 hours per unit a week of work outside of the scheduled class and lab time but is taking more like 6 hours per unit a week to do decent. I read the prelab questions while getting ready, and am not confident in all this information to answer the lab questions with ch 5 material that I was just studying for ch 4 material for the quiz. Thankfully, I did the little survey about her and gave all good reviews, because it is a difficult subject for anybody, but I absolutely do not do well or remember or recall information when stressed and I know it. I don't like being stressed like I am conditioning myself for war and only need to remember information in times of stress instead of loving the material and just recalling it because I can and love it so will be able to. Its completely different methods. So had to let out a couple roars and tears and then wash my face and go to client. Totally forgot about it, and then took the quiz, was super stressed and forgetful, then I saw how few questions, skipped first one and then went back to it after doing 2 more, for time constraint, and realized it was a simple stoichiometry eqn. She said to the class not to expect the exam 2 to be as simple and to study, because this was one chapter. I believe her. </t>
  </si>
  <si>
    <t>85 degrees celsius bakery bottled 16 oz milk chocolate iced coffee, 2 servings per bottle, bottle:</t>
  </si>
  <si>
    <t>85 degrees celsius bakery blueberry muffin lg size.http://www.85cbakerycafe.com/wp-content/uploads/Nutrition-Facts.pdf, pg 13</t>
  </si>
  <si>
    <t>85 degrees celsius bakery 1/2 banana choco cream squares, no nutritional info on it, using http://www.85cbakerycafe.com/wp-content/uploads/Nutrition-Facts.pdf to search for it. Substituting a similar item: black forest sliced cake p16</t>
  </si>
  <si>
    <t>pot pasta 3/24/2021 recipe 2 tbs olive oil/1 pkg beyond meat/1 pkg barilla red fennel rotini/1 jar prego 3 cheese pasta sauce/2 peppers red &amp; green</t>
  </si>
  <si>
    <t>bowl rotini 3/24/2021 recipe</t>
  </si>
  <si>
    <t xml:space="preserve">bowl pasta 3-24-21 recipe 2 bell peppers/1 jar prego 3cheese sauce/red fennel rotini/1 pkg beyond meat/2 tbs olive oil
(768.00	26.19	6.69	48.88	91.63	16.88	951.25)
2tbs sourcream
(60	5	3.5	1	2	0	15)
1/2 cup mozzarella cheese Winco brand
(160	10	7	12	2	0	38)
85 degrees celsius item:
blueberry muffin
(480	26	5	6	59	0	590)
1/2 a chocolate mouse cake like a chocolate muffin but with whipped cream
(165	7	5.5	2.5	22	0	30)
full bottle of their cold coffee the color of lots of cream and sugar in it, made about 4 mugs worth to drink, 2 at work and 2 at home. 2 servings per container, 16 fluid oz
(740	30	30	0	120	0	50)
bowl pasta
(768.00	26.19	6.69	48.88	91.63	16.88	951.25)
1/2 cup mozz
(160	10	7	12	2	0	38)
2 tbs sourcream
(60	5	3.5	1	2	0	15)
After finishing homework ch5 from 8pm-1210am
1 mug about 8/5 serving using winking owl nutrition for their cabernet substituting for the Predator lady bug cabernet  approximate nutrition
(195.2	0	0	0	6.4	0	0)
=768+60+160+480+165+740+768+160+60+195.2
=26.19+5+10+26+7+30+26.2+10+5+0
=6.7+3.5+7+5+5.5+30+6.7+7+3.5+0
=48.9+1+12+6+2.5+0+48.9+12+1+0
=91.6+2+2+59+22+120+91.6+2+2+6.4
=16.9+0+0+0+0+0+16.9+0+0+0
=951.25+15+38+590+30+50+951.25+38+15+0
</t>
  </si>
  <si>
    <t xml:space="preserve">Woke up at 530 am, cleaned up pet mess only one, took them out late last night, went to bed around 1145 pm. Made coffee, fed babies and then fed again with pasta I made last night and sourcream to give Mr. Growly his heart medicine. I isolated him to make sure he was the only one eating his food. Sometimes he doesn't eat. Then reviewed assignments to complete in Genetics, and then started the Chemistry HW, did 5 problems before stopping to get ready for work. I also folded my clothes from laundry I did late last night. Part of the reason I stayed up late to put the clothes in the dryer. It takes an hour and almost 45 minutes to wash on the only setting that works and spin dry so the lousy dryer can dry the clothes in close to one cycle. Then ate breakfast a bowl of pasta with cheese and sourcream 1 tbs. Still spotty on my rag from this morning. Had a reg lg BM after 1st cup of coffee, but didn't make 2nd cup of coffee until breakfast. Took measurements after 1st cup of coffee and right before breakfast and before 2nd cup of coffee. At work, I didn't have time to make lunch because I spent it picking up the microdermabrasion and red light therapy wand that plugs into wall and not cordless then got to work on time. The microdermabrasion machine looks neat but I have no idea how to work it. I was getting that and a rolling steamer to contract out or lease out to other side ventures like a partner esthetician to get more spa bookings for clients who want facials and massage or rent out the truck as is with equipment to an esthetician or massage therapist like Sola salons does by week for an unset or undecided amount like $200/week, or only by service using commission. This is how these business models work. Cost less than $300 for both in total, and the red light wand is for clients as alternative therapeutic for pain relief with CBD to penetrate fat cells and be more readily available when needed for managing arthritic pain when applied topically. At work, diet not on point. Went to 85 degrees celsius bakery the next freeway stop over and close to freeway work and shop, got a bottled milk chocolate tasting heavy cream and sugar coffee from refrigerator, a blueberry muffin and a choco banana cream cake. Ate and drank all by end of day except half the cake. Drank 1/2 serving of 16 oz coffee at work and another 1/2 at home after private client in South Corona between 5pm and 630 pm. Got back by 730 pm, ate another large bowl of pasta with 1/2 cup of mozzarella cheese and 2 tbs sour cream, shared with the babies. Growly's cough is back btw. Poor little guy. I didn't know if the roommate gave him his water pill at 7 pm but we agreed he would. Not good to give him twice the meds from failure to communicate because he could die or get more sick or similar. Took me a while to finish the remaining homework problems, but did well. I did all but one problem by the due date time of 11:59 pm, but think the clock is wrong on the system of masteringLab compared to mine by a few minutes. Mine said I had another minute or two. It was 'late' in entirety because not all the problems completed by due date time. But had a 92.? % on those completed and a 96.?% by the time I completed the last problem from 8pm-12:10 am. Bunch of useful information on gas-evolution, precipitation, double replacement, acid-base, and redox reactions. Definitely need to study and make flash cards for those bits of information for exam 2 on campus. the first week of April. Mine is on a Tuesday. Got tons more to do for chemistry the lab from last week, that I am more confident now that I did ch 5 hw, and the lab this week. Had a glass of wine that was left after the exam while tallying my nutrition from the web and photos of the items from the bakery with nutrition facts on it, only the coffee with an expiration date of yesterday. Client is nice. She didn't have her grandma watch her 2 year old. He is adorable, but got a 90 minute massage with him in the room. She was upset about something I think, but still rescheduled. I only say that because she usually tips $12-$13 and tipped me $6 on credit card. She always pays with credit card. Not sure if it was because of the environment with not being able to relax with her 2 year old covering her with blankets or handing her phone to her. She is a nice lady though. She told me about the whole salon suites in Dos Lagos that is temporarily closed that made me search out alternatives that ended up being out of my price range of consideration to invest into at this moment in my life. Still need to do her SOAP notes and will before going to bed. Don't work tomorrow and have classes in the afternoon, can sleep in. I also had to get rid of the giant boulders the roommate put into the recyclable and waste bin and put actual amazon cardboard boxes in the recyclable and law and garden in the lawn bin. He is so mentally challenged. He got upset when I told him he is the definition of white male privilege and called it racist and to watch my mouth. The trash hasn't picked up his shit and he refuses to empty it. He is retarded, super retarded and yet seems so normal. He does shit, expects others not to tell him anything about it and have me clean up his shit. He is annoying AF as fuck.So annoying. He is that character in a book that absolutely has one role and doesn't evolve or change by the end of the story or book because he has no depth and is only meant to be an antagonist to anybody. Finishing up this glass of wine, then expecting bed to be around 2 am after finishing up the SOAP notes. </t>
  </si>
  <si>
    <t>pot of 3-25-21 gluten free spaghetti/prego 3cheese/2 bell peppers red orange/1 pkg beyond meat/2 tbs olive oil</t>
  </si>
  <si>
    <t>Organic Pure cane sugar 1 serving is 1tsp</t>
  </si>
  <si>
    <t>Organic Pure cane sugar 1 serving is 1tsp, 1 tbs is 3 tsp here as:</t>
  </si>
  <si>
    <t xml:space="preserve">Woke up 610 am got out of bed to feed the babies and put Growly's heart meds in his food at the same time everyday. Alarm went off at 6:30 am, went back to bed by about 645 am and got out of bed at 830 am. I went to bed at 330 am after spending 2 hours designing some window decals to promote my side biz and also try out new marketing ideas to grab attention. So I probably got about 5 hours but more like 4 1/2 hours of sleep. Got up and made coffee and folded laundry from yesterday's linens. Fed the cat outside because I saw her outside. She has a limp, poor baby, but has had it for a few days now. Noticed it Tuesday. Still a little spotty, not light but spotty. Didn't have a lg BM until 11 am approx. while drinking 3rd cup of coffee and after having a large bowl of the last of the pasta made a few days ago on 3-23-21. Started first half of week 6 ppt in genetics Bio-18. Tired now by 1130 am, and have all day of class starting at 3 pm. Might take a nap later. Measurements around 1 pm. Ate 2 quesadillas with cinnamon and paprika at around 1215 pm and shared last half of choco banana cake with babies. Finished the 2nd part of genetics recorded lecture. Made another pot of pasta with gluten free spaghetti, prego 3 cheese, 2 bell peppers orange and red, and 1 pkg beyond meat at break time between lecture and lab. The plumber David came by earlier before 1 pm to install a water heater, but Dave didn't tell us anything about it. He left the old one outside or the same one. But I heard him drilling and making banging noise under the house. I had made some cold pressed coffee earlier in the morning before starting the lectures in genetics that I drank a cup after taking a 10 minute nap around 1 pm. I put some organic sugar I had about a year now in the cabinet and some sour cream in it. I know, but no dairy. It didn't dissolve, so not an aqueous solution. But tasted good. I finally took out the kitchen stuff and mat from the IKEA trip last week early in the day into use. Only washed the coffee mug. I don't trust putting hot water into it, because it could be pyrite and not sure, but could break or crack. Like a pyrite bowl I put in the microwave last time I bought kitchen stuff there. I also took out all the note cards, pencils, pens, erasers, sketch pad, etc from Staples that was still in the bag a week, and the two decorative boxes from Michael's craft store bought at same time.  I was able to copy my notes on the videos of chemical reactions from my notebook into my personal lab manual before lecture and put together the facial machine, but screw up the wheel. Put it in my car and fixed the wheel with my personal tools and secured it to the inside. Its a light weight version of the pro quality facial steamers at work. I think I got my hydrocollator that I spent $200 on and it looks really tiny, smaller than a shoe box. This should be interesting. But it got great reviews, so could work fine for single or couples to plug it in and use the heating pads on their backs. I will have to upload a photo. I just opened it and forgot that I was also expecting a wifi booster for the roommate's room since he bitches and complains and gets on my case about getting it fixed. They sent me the wifi. Thats great, because that would have been a super tiny hydrocollator if it was. I have ordered two other items like my kabrow balm for eyebrows from benefit that was tinier and the aquagel for the RF machine that I thought would be the size of a regular 16 oz bottle of rubbing alcohol, but was more like a hand sanitizer portable size. It was misleading because it said 64 g, and that was confused with 64 oz. Not the same thing. I only saved $3-4 for ordering the tiny versions. Those items came in about 2 weeks ago. Bed time around 930 pm shortly after class ended. Mom called 10 minutes before class got out. </t>
  </si>
  <si>
    <t xml:space="preserve">1 1/2 bowls pasta
(1152.00	39.28	10.03	73.31	137.44	25.31	1426.88)
4 tbs sourcream
(120	10	7	2	4	0	30)
4 corn tortillas Guerrero
(200	2	0	4	42	4	40)
1/3 cup mozzarella cheese
(106.67	6.67	4.67	8.00	1.33	0.00	253.33)
1/2 chocobanana cake from 85degrees celsius
(330	14	11	5	44	0	60)
1 cup sirens starbucks medium roast French ground coffee cold pressed 5 hours in fridge
with 1 tbs pure can sugar full circle brand
pure can sugar
(45	0	0	0	12	0	0)
1 tbs sour cream
(30	2.5	1.75	0.5	1	0	7.5)
bowl pasta
(639.25	25.25	6.13	29.00	75.63	4.75	394.25)
1/4 cup mozzarella cheese
(80	5	3.5	6	1	0	190)
2 tbs parmesan cheese winco brand
(20	1.5	1	2	0	0	100)
cup of coffee cold brew with 1 tbs pure cane sugar
(45	0	0	0	12	0	0)
2 strawberry walmart brand poptarts of roommate's
(400	10	5	4	74	1	240)
=1152+120+200+106.7+330+45+30+639.3+80+20+45+400
=39.3+10+2+6.7+14+0+2.5+25.3+5+1.5+0+10
=10.0+7+0+4.7+11+0+1.8+6.1+3.5+1+0+5
=73.3+2+4+8+5+0+0.5+29+6+2+0+4
=137.44+4+42+1.3+44+12+1+75.6+1+0+12+74
=25.3+0+4+0+0+0+0+4.8+0+0+0+1
=1426.9+30+40+253.3+60+0+7.5+394.3+190+100+0+240
</t>
  </si>
  <si>
    <t>85 degrees celsius sea salt coffee medium</t>
  </si>
  <si>
    <t>85 degrees celsius hokkaido cheese tart</t>
  </si>
  <si>
    <t>chocolate hazelnet muffin</t>
  </si>
  <si>
    <t xml:space="preserve">bowl pasta 3-25-21 recipe
(639.25	25.25	6.13	29.00	75.63	4.75	394.25)
1/4 cup mozzarella cheese
(80	5	3.5	6	1	0	190)
85 degrees celsius sea salt coffee medium
(220    14       9      1	22	0	200)
chocolate hazelnut muffin tasted crappy, the oil was gross in the pan, tasted like mineral oil coated muffin, tried about 1/2 of it before throwing in the trash
(350	20.5	4	4	39	0	315)
hokkaido cheese tart
(230	18	10	5	20	0	140)
3/4 of 3 cheese quesadillas, bc tortillas broke off 1/4 of the shells in bag
 6*3/4=9/4 or 2 1/4 corn tortillas
(225	2.25	0	4.5	47.25	4.5	45)
1/2 cup mozzarella cheese
(160	10	7	12	2	0	380)
bowl pasta 3-25-21 recipe
(639.25	25.25	6.13	29.00	75.63	4.75	394.25)
=639.3+80+220+350+230+225+160+639.3
=25.3+5+14+20.5+18+2.25+10+25.3
=6.13+3.5+9+4+10+0+7+6.13
=29+6+1+4+5+4.5+12+29
=75.6+1+22+39+20+47.3+2+75.6
=4.75+0+0+0+0+4.5+0+4.75
=394.3+190+200+315+140+45+380+394.3
</t>
  </si>
  <si>
    <t>Woke up at 430 am to complete the worksheet on chemical reactions, stoichiometry, etc due today by 1159 pm. Got half way done. Mostly done in lab over last week but messy. Have to read through mess and calculate Molar mass and check items. Will finish the rest tonight. Had the rest of cold pressed about 1/2 cup with water, then 2 cups of my regular instant blend after making more of the cold pressed. Gave Mr. Growly his medicine when I woke up and the other when I get home around 5 pm and plan on working on homework till completed of this worksheet. I did my normal routine with feeding the babies after cleaning up some pet messes. Had a lg BM before finishing my 3rd cup of coffee for the day, then finished it. Checked the roommate's return he got and they took out an extra $100 approx bc they didn't charge his card even though the information was provided because the roommate wanted me to check it and asked why it was $100 less. Then took measurements around 705 am. then had a big bowl of spaghetti. Went to bed around 9pm. Was tired and started feeling it on how alert or focused I was in studying and memory recall.</t>
  </si>
  <si>
    <t>pot of pasta 3-27-2021 recipe 1 pkg Barilla red fennel penne, 1pkg beyond meat, 2 tbs olive oil, 1 jar prego 3 cheese sauce, makes 4 bowls</t>
  </si>
  <si>
    <t>bowl of pasta 3-27-2021 recipe</t>
  </si>
  <si>
    <t xml:space="preserve">3 bowls of pasta 3-26-21 recipe
(811.25	31.9375	7.8125	50.875	88	15.875	993.75)
(811.25	31.9375	7.8125	50.875	88	15.875	993.75)
(811.25	31.9375	7.8125	50.875	88	15.875	993.75)
8 tbs sourcream winco brand
(240	20	14	4	8	0	60)
1/2 cup mozzarella cheese winco brand
(160	10	7	12	2	0	380)
1/4 cup mozzarella cheese Stater Bros brand
(80	6	3	6	2	0	180)
2 strawberry poptarts of the roommates
(400	10	5	4	74	1	240)
=811.25+811.25+811.25+240+160+80+400
=31.9+31.9+31.9+20+10+6+10
=7.8+7.8+7.8+14+7+3+5
=50.9+50.9+50.9+4+12+6+4
=88+88+88+8+2+2+74
=15.9+15.9+15.9+0+0+0+1
=993.8+993.8+993.8+60+380+180+240
</t>
  </si>
  <si>
    <t>Woke up at 530 am, some time in the middle of the night woke up to have some water. Was going to study and read genetics ch5 to complete the discussion or prep for it, but only went over the slides some more yesterday before going to sleep. Left discussion open, but only looked at the topic after making a pot of penne, prego 3cheese, and 1 pkg beyond meat. All gluten free and plant based, no additional veggies, but didn't eat until before work. No shower today, just washed face. Did normal routine but no pet messes to clean, and new routine, drank last of cold brew, gave Mr. Growly his meds in his food with other babies separately as normally done, put the pasta in fridge, went over emails, have a couple inquiries on lymphatic drainage massage via my website being routed to my personal email. They used to go to my outlook email with website name but somehow have been changed to my personal email. Never fixed. I had a bowl of pasta for breakfast with 1/4 cup mozzarella cheese and 3 tbs sourcream. Had a bowl for lunch with 2 tbs sourcream and 1/4 cup cheese. Then a  bowl for dinner with 3 tbs sourcream and mozzarella cheese from Stater Bros. The other two bowls used the last of the Winco Mozzarella cheese. Shared with my babies the breakfast and dinner bowls of pasta.Still spotty today. This is the oddest menstruation I have had. I missed the heavy and extemely heavy days and went longer with more spotty and light days. Genetics homework next for discussion, reading the chapter and answering the questions to respond best to the discussion post. Very interesting stuff, both subjects. Plenty to keep me busy in both especially chemistry if I get bored. But not going to happen. An exam on Thursday in Genetics on this homework chapter 5, need to make some notecards after filling out the study guide with ppt info and additional  info from the text book. Also have some lab work to enter in a finer format. I sent in a very chicken scratch worksheet yesterday before going to bed and she announced an extension a couple days, but I am busy and rewriting the 10pp of the worksheet out would take another 2 hours to do. I figure thats why its called a worksheet, and not a formal report. After work I picked up this baker's rack that my cool client told me about that she couldn't sell on offerup and was going to sell it for $40. I realized I was looking for what she was describing and was going to pay $200 at IKEA for the glass door cabinets for my stuff, but wanted the arms that were metal on her baker's rack, that isn't the same thing really, but can hold nice toiletries or other items, especially if I get my own fancy salon room. But also nice for the pups who like to pee on everything, and wood pilters? what ever describes that wood splits apart. The metal will clean up great. Its actually really nice. I gave her $80 even though she reduced it to $40. She originally wanted $120 for it. Very nice couple. We're all UCSD alumni too, but they graduated in 2009 or so and me 2015. I am older than them and went to college at 32 I finished upper division and earned my BS there in economics and math transfering from Norco college. Where I am again 10 years later as I started my lower division there in 2011. This time doing prerequisites for a doctoral program. Went to bed at 930 pm.</t>
  </si>
  <si>
    <t>brie cheese Ile de France brand serving size 1 oz or 30 grams, 5 servings per pkg</t>
  </si>
  <si>
    <t>sesame oil https://www.calorieking.com/us/en/foods/f/calories-in-oils-sesame-oil/zBCgd25UQyywHp5OZXLU-A 1 tbs</t>
  </si>
  <si>
    <t>cream cheese generic 1 tbs https://www.calorieking.com/us/en/foods/f/calories-in-cream-cheese-regular-or-soft-cream-cheese/7H_cS7RSQlm_s0J7_UfSLw</t>
  </si>
  <si>
    <t>poki double salmon bowl w 2 tbs sesame oil and 2 tbs cream cheese</t>
  </si>
  <si>
    <t>chocolate mouse cheesecake from prepackaged cheesecake factory , serving 1 slice, but 6 slices per container</t>
  </si>
  <si>
    <t>Woke up at 6 am not by alarm. Cleaned up a few pet messes and gave Mr. Growly his meds in the food I feed the babies, restarted the dryer of my clothes started yesterday and in the middle of the night around 330 am when I got up to pee and drink water. The cold brew might be too strong or dehydrating. I had my regular instant cup of coffee for my 1st cup of coffee. The gym is open now and was charged my $29/month fee. I should be going to it. Time. A client wanted the appointment this Monday that is already set up for another client this Monday. She is a new client and her husband wouldn't be able to have a massage. I returned her email to see if the following Monday would work instead. I plan on answering the discussion questions before going to work. After reviewing the ch5 content on sex determining chromosomes. I didn't do the discussion but typed up the written responses for HW5 in BIO18, then went to work after having the last bowl of pasta with 2 tbs sour cream and 1/4 cup mozzarella and sharing with the babies of course. At work, I didn't pack lunch, but got a car wash for the Transit Connect and ate a poki bowl the same style as last time I got before waiting in the long line at the circle K where I also put fuel in the van. I did a variation of the 2 servings 2 scoop poki with 2 tbs sour cream and sesame oil with the teriyaki sauce. About 2 tbs each of those. At work, I was early and cleaned up the car magnets and reapplied them to the Transit Connect before work. and studied a few chemistry nomenclature. I already forgot a few. Then had two more clients before going home. I had a sweet tooth and picked up some prepackaged chocolate mouse cheesecake, a bottle of blackforest merlot, some French Brie cheese, and a box of organinc blueberry frozen waffles. Not gluten free. Also, I was complaining about my rag, and this morning before going to work at 730 am I took a peek at the orange moon that was big and round in the sky. I didn't think much of it, until I was putting my makeup on in the car and felt the blood come out. I was supposed to be ending my rag because I had been spotting since Tuesday, but this was a light amount of blood flow. Then at work, got the low back cramps while massaging 1st client, new. Then had more blood flow, and a big clot drop and some blood about medium flow and didn't have mensa pads so used the paper towels rolled up. Then a lot of blood came out at home, it poured out, gushed a lot, soaked the undies, went through to the pants and down leg. I fortunately had half a bag of very heavy flow pads to put on and cleaned up with a wash cloth. Drank wine and organized some. with the brie cheese. Feel low on blood iron levels. No coffee after work, so only 3 cups today so far. The 3rd was at lunch time as always. Unless I have it before last client before lunch. Going to work on the discussion question now. I already know the answer, then put in the lab part A equations neatly in formula mode with Word. The moon circada rhythm when I looked at it could have been the reason this happened, but also it could be that I dropped two eggs this month as I am getting older and am 39 years old. Went to bed after completing the formulas entered into the lab around 930 pm.</t>
  </si>
  <si>
    <t>pasta gluten free spaghetti/beyond meat/2 peppers yellow red/2 tbs olive oil/1 jar prego3 cheese, makes 4 bowls</t>
  </si>
  <si>
    <t>bowl of pasta 3-28-2021 recipe</t>
  </si>
  <si>
    <t xml:space="preserve">bowl pasta 3-27-21 recipe
(811.25	31.9375	7.8125	50.875	88	15.875	993.75)
2 tbs sour cream
(60	5	3.5	1	2	0	15)
1/4 cup mozzarella cheese
(80	5	3.5	6	1	0	190)
poki bowl same as the day with 2 servings salmon
(1140.5	417.175	404.15	413.8	482.55	394.35	1707)
3 glasses merlot or the bottle
(615	0	0	0	20	0	30)
about 2 oz or 2/5 the package of Ile de France brie cheese
(200	20	16	10	0	0	420)
2 slices the chocolate mouse cheesecake prepackaged by Cheesecake Factory
one of my slices is 1/16th a cake, the serving is 1 slice of 6 parts about 1 serving
(460	33	20	6	39	2	210)
2 servings brie cheese
(200	20	16	10	0	0	420)
bowl of pasta 3-28-21 recipe (639.25	25.25	6.125	29	75.625	4.75	394.25)
=811.25+50+80+1140.5+615+200+460+200+639.3
=31.9+5+5+417.2+0+20+33+20+25.3
=7.8+3.5+3.5+404+0+16+20+16+6.1
=50.9+1+6+413.8+0+10+6+10+29
=88+2+1+482.6+20+0+39+0+75.6
=15.9+0+0+394.4+0+0+2+0+4.75
=993.8+15+190+1707+30+420+210+420+394.3
</t>
  </si>
  <si>
    <t>intenational Delight carmel coffee creamer serving size 1 tbs</t>
  </si>
  <si>
    <t xml:space="preserve">bowl of pasta 3-28-21 recipe
(639.25	25.25	6.125	29	75.625	4.75	394.25)
1/2 serving chocolate cheesecake
(230	16.5	10	3	19.5	1	105)
bowl of pasta 3-28-21 recipe
(639.25	25.25	6.125	29	75.625	4.75	394.25)
bowl of pasta 3-28-21 recipe
(639.25	25.25	6.125	29	75.625	4.75	394.25)
1/2 serving chocolate cheesecake
(230	16.5	10	3	19.5	1	105)
3 coffee creamers international delight carmel flavor with work coffee 5th cup, the 4th cup was on the way to work after getting back from the private client of the instant coffee
(105	4.5	0	0	15	0	45)
=639.25*3+105+230*2
=25.25*3+4.5+16.5*2
=6.1*3+0+10*2
=29*3+0+3*2
=75.6*3+15+19.5*2
=4.75*3+1*2+0
=394.3*3+45+105*2
</t>
  </si>
  <si>
    <t xml:space="preserve">Woke up at 6 am, but got up around 1 am to pee and drink water, was dehydrated and also put the bed covers on from the dryer. Went back to bed without the heater on. Made Mr. Growly his food with his meds, and fed the babies, had a cup of instant coffee. and completed the discussion question in BIO18 and responded to a classmate's post. Had a BM reg lg size after 1st cup of coffee and made 2nd cuf of coffee. Recapped and organized my chemistry work for this week. I have a quiz on ch5 tomorrow and prelab questions to complete before the 6 pm lab, and the completed lab that I need to start part 2 on the unknown and work out the analysis of data that is due Thursday the 1st of April. No blood flow this morning, but not taking any chances, will know by the end of the day if still menstruating by being spotty. Nothing yet. Had a weird heavy flow yesterday that lasted when I got home till before bed time. I am a tiny bit spotty. Because two hours later at 940 am when getting ready for my 11 am MLD lipocavitation client, I saw a tiny spot of blood. So I will mark this as menstruation. Still shedding uterine lining. Hopefully not a fluke random heavy flow later or anything heavier than spotty. Had 3rd cup of coffee, the last leftover of cold brew diluted with water and microwaved. Didn't make another pitcher. This was after or while reviewing ppt slides on the quiz material of ch5 and ch14.5 for chemistry tomorrow. Also, had to cancel a Friday appointment, because client is going to be busy. And we cannot coordinate a time that works for both of us. Good thing she isn't a monthly subscriber. We could change that, but the whole schedule conflicts make that challenging. Today, the client is also super nice. Has the cute, friendly cat. She confirmed the appointment recently because it didn't say cancelled. I get notifications if someone alters the appointments. At work I ate the last bowl of pasta made yesterday as is heated though, and a slice or 1/2 serving of the chocolate cheesecake before starting work and after looking at chemistry flashcards. Then had light spotting throughout the day. I caught a glimpse of the moon again, round and bright but higher up in the sky after work on the way home off the freeway and later when I got home another heavy flow and huge blood clot fell that soaked the light flow pad and had to change to heavy flow pad and new underwear. This menstruation cycle is very weird. Fortunately it happened at home and not at work when the heavy flow hit. Had 4th cup of coffee instant on way to work and the 5th at work with 3 carmel coffee mate creamers about 3 tbs total. Went to bed at around 12 am. After my heavy rag had very painful lower abdominal and low back pain that wouldn't go away. Sharp and felt it moving in there, gas, water, blood, sharp pain on lower right abdomen and inside lower abdomen around where descending colon and rectum are roughly located from visuals. I drank a bottle of water and felt stuff moving around. Had a small BM that was dark like the wine I had the other day and solid, usually they aren't. I have been eating more meat like the sushi and the bottle of wine, the hormones for my uterine lining also. I imagined it was my uterine fibroid growing and going through cell division and pushing on the other organs and bowel in the lower abdominal cavity. Not a great meditatitve state to block pain. Somehow fell asleep by midnight. Not painful enough for tears, or painful enough to irritate my nervous system and make me vomit or have diarreah. It eventually subsided. Felt like I drank a bunch of cytokines and they hit my lower bowel. and I also thought it could be the poki bowls with wasabi hitting my bowels later and I am sensitive to spicy foods, but also the tons of sugar and cream I have been adding to my diet. Not sure. But bed time by 12 am. </t>
  </si>
  <si>
    <t>organic blueberry waffles Vons brand wheat-gluten product, 2 waffles serving:</t>
  </si>
  <si>
    <t>impossible meat pkg, 3 servings per pkg</t>
  </si>
  <si>
    <t>Good&amp;Gather gluten free spaghetti, 6 servings per pkg</t>
  </si>
  <si>
    <t>pasta recipe gluten free spaghetti Good&amp;Gather, impossible meat pkg, 1 jar Good&amp;Gather pasta sauce, 2 tbs olive oil, 1 orange bell pepper, 1 pkg broccoli florets</t>
  </si>
  <si>
    <t>Good&amp;Gather 3 cheese pasta sauce, 5 servings jar</t>
  </si>
  <si>
    <t>Good&amp;Gather mozzparm shred cheese, serving 1/4 cup</t>
  </si>
  <si>
    <t>bowl of spaghetti 3/30/21 recipe</t>
  </si>
  <si>
    <t xml:space="preserve">blueberry waffles organic
(190	7	1.5	4	29	2	340)
brie cheese from other night, 2 servings
(200	20	16	10	0	0	420)
blueberry waffles organic
(190	7	1.5	4	29	2	340)
bowl pasta 3-30-2021 recipe
(661.75	22.125	8.25	22.75	57.25	7.25	831.25)
tbs organic sugar with 4th cup of coffee
(45	0	0	0	12	0	0)
1/4 cup almond milk Silk unsweet
(8	0.8	0	0.25	0.25	0	28.8)
bowl pasta 3-30-2021 recipe
(661.75	22.125	8.25	22.75	57.25	7.25	831.25)
mozzParm cheese both bowls about 1/2 cup total
(200	12	8	16	4	0	560)
1 glass of wine after quiz
(123	0	0	0	4	0	6)
=190+200+190+661.8+45+8+661.8+200+123
=7+20+7+22.1+0+0.8+22.13+12+0
=1.5+16+1.5+8.25+0+0+8.25+8+0
=4+10+4+22.75+0+0.25+22.75+16+0
=29+0+29+57.25+12+0.25+57.25+4+4
=2+0+2+7.25+0+0+7.25+0+0
=340+420+340+831.3+0+28.8+831.25+560+6
</t>
  </si>
  <si>
    <t xml:space="preserve">Woke up at 630 am by alarm. Felt better. But lower abs still feel something needs to be fixed there. My rag isn't heavy but medium flow over night. And before the cramping up that ached terribly had stopped the heavy flow and blood clots. Did the normal routine of making Mr. Growly his heart meds in his food while feeding the babies, my coffee, and reviewing the course work to complete in both courses for today and also the week. Had a solid reg BM before finishing my 2nd cup of coffee dark in color but not black, then took my measurements. Finished my 2nd cup of coffee while reviewing chapter 5 homework responses and questions from a few weeks ago. I have a client later today I will leave by 1130 am to get to. Plan on looking and possibly completing the lab questions before that time or at least taking a shower. Had breakfast of 2 wheat blueberry frozen organic type and 2 servings or 2/5 of the brie which is the last of it. I have been eating the shell of the Brie, because its too creamy to take off and is bitter. Could also be why my lower abdomen hurt really bad last night. I marked the gluten free as no. Wheat is gluten. This was at 815 am. 3rd cup of coffee after taking a 10 minute nap, folding linens from yesterday, putting roommate's clothes in dryer, doing the dishes and finishing reveiw of the ch5 homework and worked out solutions of mine. Then looked over prelab questions and flashcards in chemistry on solubility, non solubility, gas-evolution, double reactions, nomenclature. Plan for showering at 1030 am, leaving by 1130 am finishing and out the door with my regular super nice client by 1230 pm, grocery shopping for necessities at 1pm and by 2 pm home. We'll see how that goes. Lecture starts at 3. Prelab questions due by 6 pm before the quiz starts at 6 pm. Showered at 10:40 am after completing the youtube short videos and the prelab questions associated with them and drawing in the template tables into the lab manual, taking photos, adding to the prelab questions, saving as a pdf. Then uploaded to the site before putting on my makeup. Took the quiz 9 word problems to be done in 30 minutes minus the few minutes to set up and test proctorio. Of course I bombed it. I hate her exams and quizzes. They are 25-30% of the grade overall. I should probably just drop the course and improve my health. I do fine on the homework. But between her ridiculous quizzes and exams and these clients who all of a sudden want massages, I am not going to be getting an A or B in it. I will probably keep my genetics course. I had a bowl of pasta at the beginning of lecture. a cup of coffee with 1 tbs sugar thats organic and 1/4 cup almond milk, then took a nap for 15 minutes between 440-500 pm, then studied the worksheet and the flash cards. They proved useless. Too much shit crammed into 10 pages, then memorizing and mixing between two chapters. Threw the scratch paper away, got a 4/25, mostly due to not answering any questions, as I started them and couldn't finish them due to stress. I hate being stressed, it blocks my brain functions for recall. Not even sure why I log in to her lectures, she posts the recorded ones right away to download. I am tired when listening to her. Got me feeling depressed about this course, and then have to listen to her during lab after the quiz. Half the class didn't log in either. Usually 17-21 people, only 10-11 people. We're doing some online lab that's digital. If I drop the class I will get a W, and I have put a lot of time and effort into it to not really show much for it. I have went from 0 clients a week, to now, right now I have 3-6 this week, and I am behind. We are working on this week's digital lab and I still have to enter part II of last lab and the write up and tables and study for a quiz in genetics on Thursday, complete the lab I am behind in for Friday. I have a client tomorrow after work and can use tomorrow night afterwards and the morning to study more for genetics but this chemistry class is a bitch with my time and has me doing a lot. I don't think I can handle it and need to drop it. I need a class with a lab, but not right now. I'll wait. The quiz questions aren't available to review or look at, so I cannot share how much your supposed to recall. I couldn't recall most of what I studied. The quizzes are 10%, exams 30% and final exam 25%. </t>
  </si>
  <si>
    <t xml:space="preserve">Guerrero corn tortillas 6
(300	3	0	3	63	6	60)
mozzParmesan cheese blend 1/2 cup Good&amp;Gather
(200	12	8	16	4	0	560)
2 bowls of 3-30-21 recipe pasta
(1323.5	44.25	16.5	45.5	114.5	14.5	1662.5)
1 protein smoothie chocolate Olly brand, 1 serving
(130	2	0	18	9	2	320)
2 bananas
(210	0	0	2	54	6	2)
2 1/4 cups almond milk protein shake and 4th cup of coffee
(67.5	5.625	0	2.25	2.25	0	258.75)
1 tbs organic sugar 4th cup of coffee at home
(45	0	0	0	12	0	0)
3 creamers of international delight carmel creamers the coffee at work 3rd cup
(35	1.5	0	0	5	0	15)
=1323.5+130+210+67.5+45+35+300+200
=44.25+2+0+5.6+0+1.5+3+12
=16.5+0+0+0+0+0+0+8
=45.5+18+2+2.25+0+0+3+16
=114.5+9+54+2.25+12+5+63+4
=14.5+2+6+0+0+0+6+0
=1662.5+320+2+258.8+0+15+60+560
</t>
  </si>
  <si>
    <t>Woke up at 1240 am ish, in lots of pain, same as other night, after a bunch of blood and a clot in undies, had to change pad, the lower abdominal and low back ached, drank a bottle of water entirely in two parts, walked around and tried sitting and going to bed but it hurt a lot, sharp pain all over lower midsection. Not much blood passed after the huge heavy flow that woke me. I took a shower and felt a little better by the time done washing hair and body and for the water to go through my system. Braided my hair and was able to go to sleep by 145 am. I woke up by alarm at 530 am and gave Mr. Growly his meds, fed the babies, drank my coffee, and worked on the lab from last week due tomorrow or by the end of the day today. Wasn't able to determine the unknowns but got the video notes in for descriptions of reactants. I have to compare to the reactions in part 1 observed. Took measurements after 730 am and before eating and after finishing 2nd cup of coffee. Had a reg solid BM reg color as normal after 1st cup of coffee and before my 630 alarm went off. The roommate had just arrived a few minutes before that time. At work ate a chocolate protein shake with 2 bananas with tips cut off and 1 serving protein powder and about 2 cups of almond milk. Then after work, had a bowl of pasta no cheese the last of it and a 4th cup of coffee with 1 tbs organic sugar and 1/4 cup almond milk. Made me too relaxed and had to shake it off, my eyelids felt heavy. Went to clients and got their 15 minutes late due to traffic and started another 15 minutes late. She is super nice though. She will be busy and get back to me on scheduling her next massage. Her cute 2 year old was in the room with us bored because his ipad wasn't charged and playing with all sorts of stuff like his big blocks and other random parts of toys. He likes to put a bunch of stuff on her to cover her, like pieces of paper, the blankets already in the room, her foam rollers, etc. I ran out of eucalyptus oil and will have to remember to get some more at Sprouts or Marshal's. Rather be Sprouts but the line to wait is long. I haven't been there since the quarantine lifted some. Only the Chino Hills one has a line. Not the Corona Sprouts. For Breakfast I had a bowl of pasta and no cheese, because I ate it fast. Was able to send my super nice client yesterday her notes and reciept, but the jotform submissions to download was filled in all blank and emailed her my forwarded email of the jotform receipt that gets sent. I now have a 5 hour family massage with a previous family of two plus another two from a referral. Great people. Sunday I don't work at ME but will study if I don't drop the courses, and have a couples massage for 3 hours in Chino Hills at 6 pm. Also a very nice couple. Got home around 8 pm, and still on my rag, spotty, but afraid to drink a glass of wine in case I wake up again like the insides of my belly are kicking me and my low back. Disinfected the supplies, used hot stones and was going to use the massage gun but she didn't today because was tender in muscles, and got my oily hands on it, so it had to be disinfected. Also, tried out using the hotpacks but in hot water instead, and they didn't stay warm in the pot of water I brought, and 35 minutes of traffic. I left around 10 minutes till 5 pm and got there at 545 pm. I was supposed to be there at 530 pm, the south 15 is backed up at that time and now with the express lanes, its worse. I am going to try out my hydocollator by plugging it in and using it on my Sunday clients. The other family massage wants me to go up the stairs and its too much to use any add-ons to bring up the stairs too. I finished the soap notes and receipt for today's client, and emailed admissions at my college to ask them to give me an excused withdraw from my chem course due to the stress and history of cancer, her unfair tests/exams, how heavy they are weighted, being distracted by the camera while taking exams, etc. I have a course I can actually and realistically do well in quiz tomorrow. I want to get great sleep tonight, forget about the lab and the class for now, and study for my other course quiz. It is very interesting, so is chemistry, but the course is designed to filter out for elite super test takers with no full time job, or other factors, and spend way too much time and forget all stress and constraints while interpreting exam questions to recall how to answer them. Ate some quesadillas with the Target Good&amp;Gather mozzparmesan blend, it was delicious, 3 of them with paprika. Shared with Princess. Went to bed around 10 pm.</t>
  </si>
  <si>
    <t>Good&amp;Gather broccoli</t>
  </si>
  <si>
    <t>bowl of 4/1/2021 pasta recipe</t>
  </si>
  <si>
    <t>penne red fennel barilla/1 pkg broccoli frozen Good &amp; Gather brand/1 pkg beyond meat/1 yellow bell pepper/2 tbs olive oil/4 tbs sourcream Winco brand 1 pot makes about 5 bowls</t>
  </si>
  <si>
    <t>Starbucks Nitro cold brew with sweet cream https://www.starbucks.com/menu/product/2122237/iced?parent=%2Fdrinks%2Fcold-coffees%2Fnitro-cold-brews</t>
  </si>
  <si>
    <t xml:space="preserve">2 bowls of pasta 4/1/2021 recipe
(1494	57.6	16.4	90.2	162.2	34.4	1850)
1/4 cup mozz Stater brand
(80	6	3	6	2	0	180)
1/4 cup mozzParm Good&amp;Gather brand
(100	6	4	8	2	0	280)
3 corn mozzparm blend quesadillas
6 corn tortillas Guerrero
(300	3	0	6	63	6	60)
1/2 cup mozz/parm Good&amp;Gather brand
(200	12	8	16	4	0	560)
Grande Nitro Sweet Cream approximately because it looked mostly cream
(70    5    3.5      1      4     0     20)
=1494+80+100+300+200+70
=57.6+6+6+3+12+5
=16.4+3+4+0+8+3.5
=90.2+6+8+6+16+1
=162.2+2+2+63+4+4
=34.4+0+0+6+0+0
=1850+180+280+60+560+20
</t>
  </si>
  <si>
    <t>Woke up at 430 and laid in bed until 10 minutes before 5 am and got up, cleaned pet messes, took babies outside, warmer weather this week, not chilly like previous week. Made their food and Mr. Growly's meds, one pill he used up of the one he takes every 12 hours. He still has the other 2 meds. I had a cup of coffee, no BM movement until 3rd cup, I drank water and had the 3rd cup of coffee. The other plumber or worker of the landlords came by right before I felt like having a BM, with some movement, but feeling dehydrated. He was rude, because the gate is locked, but I unlocked it and asked him to keep the gate closed for our dogs to not escape, and he didn't acknowlege the request, and I asked him after unlocking it and he said he would. He's an old guy in late 60s or 70s even. The landlord has some older workers, I think his bug spray guy is 80 years old. I have class at 9 am and was working on the quiz 2 study guid of ch 5 on sex determining chromosomes and factors. I finished by 830 am and took my measurements, still no BM. I felt somewhat brain fogged or bogged to start off the day, not alert and ready. But thankfully no heavy and painful menstruation in the middle of the night that felt like I was ran over my midsection the last two other nights. Had a BM after entering the data for measurements and updating notes, made another 3 quesadillas before lecture in genetics. Earlier while getting over brain fog or minimal brain clarity less so than normal at the beginning of the day I finished the laundry and prepacked the linen and top cover sets and disinfected hot stones and oils to put in the work van. The hot pads are still drying and were still drying at that time. This house is ca. 1908-1911 Spanish Flu era part of the historical district of Corona, CA, and the workers the landlord has have probably spent a lot of their younger years working on this house. It is odd to have workers that old though. Did the lecture, more of a Q&amp;A, only 4-5 females, some questions, ended early. Found documents to prove my stress related oncology for hodgkins and uploaded those and the form to norco college to remove me from CHE-1A with an EW excused withdrawal because it is stressing me out. Sent that by 10:22 am. The landlord stopped by too to do something with the other side or basement not sure what. He was gone by the time I sent it. Then made flashcards and got ready for quiz. Took the quiz, and feel like I did well on it. Some questions are input types that require actual grading as the other quizes are. I am going to continue the chemistry course, but not invest too much stress into it or my time, if late, then late. I am waiting for the excused withdrawal to be approved, and if not then I have to complete the course so might as well. Made pasta and then logged into course. Thinking about not, and finishing lab, but don't know yet. I also had a sweet cream nitro cold brew from Starbucks when I went to the bank to get a cashier's check from the roommate's share of rent he had me transfer to my checking account. Put that on the porch for the landlord to grab when he is able to. Expecting my decals from build a sign to come in soon. Also, I started out spotty, but when I left to get the cashier's check and coffee, a bunch of blood fell out and soaked light pad, got on driver seat. Had to use some paper towels after entering the bank and thankfully not have it drip down my leg. I used the paper towels while driving back home and waiting in Starbuck's drive thru. They put more sweet cream than coffee in my nitro sweet cream. Bed time around 10 pm.</t>
  </si>
  <si>
    <t xml:space="preserve">2 bowls pasta 4/1/2021 recipe
(1494	57.6	16.4	90.2	162.2	34.4	1850)
1 cup mozz cheese Stater Bros
(320	24	12	24	8	0	720)
1 serving chocolate protein powder
(130	2	0	18	9	2	320)
1 1/2 cups almond milk
(45	3.75	0	1.5	1.5	0	172.5)
1 banana
(105	0	0	1	27	3	1)
3 carmel coffee creamers International Delight
(105	4.5	0	0	15	0	45)
2 glasses of red blend used approximate merlot nutrition
(246	0	0	0	8	0	12)
2 quesadillas
4 corn tortillas Guerrero
(200	2	0	4	42	4	40)
1/2 cup Mozzarella Stater Bros brand
(160	12	6	12	4	0	360)
=1494+320+130+45+105+105+246+200+160
=57.6+24+2+3.75+0+4.5+0+2+12
=16.4+12+0+0+0+0+0+0+6
=90.2+24+18+1.5+1+0+0+4+12
=162.2+8+9+1.5+27+15+8+42+4
=34.4+0+2+0+3+0+0+4+0
=1850+720+320+172.5+1+45+12+40+360
</t>
  </si>
  <si>
    <t>Woke up at 5:15 am and got out of bed a few minutes later, made my coffee, made Mr. Growly his meds and the babies their food, cleaned up one pet mess. Finished the last unknown part of the lab and answered the questions, but when I inserted the image of my lab notebook, the whole file was distorted in layout view that wasn't portrait, when I tried to fix it, the tables for part 1 didn't fit and there would be about A-O tables to fix in number , so I left it in the wide format I think is called orientation view instead of portrait. Haven't checked to see if I got the EW from norco college, just doing what I can. One client today after work, she is getting the 10 MLD massages post-op, today will be the first one. She lives in Riverside, so hopefully, not too much time to get to her in Friday traffic from Chino by 5:30 pm. I get out of work a little after 4 pm. Had a lg BM solid one after 2 cups of coffee and before my measurements at 7:23 am. Then ate breakfast. Need to get some fuel in my vehicle before going to work, but it might make it.  I had a bowl of pasta 4/1/21 recipe and 1/2 cup of mozz Stater bros brand, then for lunch a 3rd cup of coffee with 3 carmel creamers and a protein shake with 1 serving chocolate protein powder, 1 banana, 1 1/2 cup almond milk. For dinner a bowl of pasta with 1/2 cup mozz cheese Stater brand. Went to Dollar Tree on lunch break and got fuel before that at Shell in Chino Hills. I got 10 bottles of their coconut oil that doesn't solidify in the cold and stays liquid. I love it. And 7 pkgs of their 3 small bottles per pkg to mix the oil and aroma for each client. I had my bowl of pasta for dinner before going to my 530 appointment in Riverside, but off Mckinley, so not far from me, about 10-15 minutes on the side streets, but still Friday traffic. The new client is nice and moving around great for 2 weeks post op tummy tuck, but had 3 C sections before and she bought the prepaid manual lymph drainage massages for 10 hour MLD for $45 each instead of $60 each. She also prebooked each appointment for Fridays and Mondays. Spaced between, and plans on doing the lipocavitation on her side area after that time. I checked email and won't be getting approved for an Excused Withdrawal unless the withdrawal is approved by my doctor but I am not paying for health insurance right now and can't do that. So I will have to see if I can do better in the course. Or take a W by May 15 if in the below C range. Possibly below the B range take a Withdrawal, because I could bomb the final and not just a D or close, but like I did the last exam practically a zero and showed up, but blanked on the questions. It could be the CBD oil I use on client before taking exams, or the fact I hate being on camera stressed and having to think about problems that don't allow enough time to write them down to read them on paper instead of the computer screen with a camera looking at you. Have time to study this weekend and Tuesday before the exam, but have to complete the homework for Chapter 6 due in a day or two. Also, work on genetics course work for the power point slides this week and lectures. Taking a glass of wine right now unwinding in a way. Its a brand from Target that I didn't drink the whole 3 glasses from the other day on Tuesday when I had the first glass of wine from it. Called 'the Headliner' red blend from Target. I had the first glass after bombing the quiz on Tuesday. Also had the middle of the night aches in midsection from the full moon cimbiatic cycle and my lengthy painful menstruation, unless I am somehow psychic or 'intuitive' from my nervous system binding to my clients over time and pick up their pain instead. Just a thought, a crazy one. But I have been massaging people who have had extreme pain around those areas of their bodies recently due to surgery.  I have also been massaging for more than 15 years. I drank a bottle of water while finishing this glass of wine. I could look at the flash cards I have and also the homework in ch 6 due before Monday. Tomorrow is a lengthy day. Work 8-2pm, then at 4-9pm a five hour family massage split between 4 family members but local. No 2nd glass of wine tonight. Sunday I don't have a couple's massage until 6 pm. Have laundry to do before going to bed and wake up by atleast 5:30 am. If I wake up at 6:30 am I have to eat and shower to get to work by 8 am. Again, no 2nd glass of wine tonight. Hopefully, I don't wake up in the middle of the night in pain. I also started out spotty, but around 9:45 am had a medium heavy gush of blood that soaked the light pad and some around the pad on my undies but not through to my pants. I still had 3 more massages to complete by that time. No cramps though. The loss of blood could be the reason for the brain fog too. To be clear (1 hour later) it is now 830 pm and after that 1st glass of wine I decided to drink the 2nd one and feel like my brain fog is on, its game time for it. And not my client's CBD oil that gives me it. It most likely is that irritation I get from trying to think and be on camera looking into it while thinking. So, 2nd glass of wine for the evening, and finishing up client's SOAP notes and the receipt and how to enter into my own business expenses/income database. Made an extra column for 'balance' though I should have done it with my monthly subscriber a month ago. Not a big deal. This business is like a little kid I just created a couple years ago and am shaping into a growing, living, product of me. I have some window decals on the way. Stress is what blind sides me and gives me brain fog. I am great when not stressed. I will have to wear my blue light blockers when taking quizzes/exams online and see if it helps. Had a reg solid BM by middle of drinking 2nd glass of wine and some of another bottle of water at around 9 pm. I also want to note that I received those hydrocollator pad covers today and thought they were the window decals. Amazon was on time this time, and a few others. Pretty good. Password still says AmazonSucks in it among other things. Getting the max benefits for this monthly membership expires tomorrow or soon. Still waiting on those decals. I want to see if they work for the non-metal parts of my van to advertise to people, and if so, I want to get more. These ones include a special offer of two free add-ons to Covid vaccinated clients, a decal for 'proud sponsor of the best massage therapist in Corona' with images of a male and female getting crowned and wearing sashes, and something else I am blanking on. They are supposed to arrive on or before my exam 2 in chemistry 1A. Not excited or anxious until I know they can be used on my van. Ford Transit Connect. I also increased my selling price on Tred, because no buyers interested in last few months. I increased it back to $20,000 from $18,000 because it is a great car, and not going lower as time goes on, so if anybody is checking it and waiting, they can kiss my ass. To bed around 10 pm</t>
  </si>
  <si>
    <t>mozzarella cheese Stater Bros brand, 1/4 cup serving</t>
  </si>
  <si>
    <t xml:space="preserve">1/2 bowl pasta 4/2/21 recipe
(373.5	14.4	4.1	22.55	40.55	8.6	462.5)
1/2 mozz cheese SB
(160	12	6	12	4	0	360)
3 carmel creamers at work 3rd cup of coffe1/2 bowl pasta 4/2/21 recipe
(373.5	14.4	4.1	22.55	40.55	8.6	462.5)
1/2 mozz cheese SB
(160	12	6	12	4	0	360)
3 carmel creamers at work 3rd cup of coffe
(105	4.5	0	0	15	0	45)
2 servings protein powder
(260	4	0	36	18	4	640)
2 1/2 cups Almond milk
(75	7.5	0	2.5	2.5	0	287.5)
4 corn tortillas (Guerrero)
(200	2	0	4	42	4	40)
1/4 cup mozzarella cheese SB
(80	6	3	6	2	0	180)
2 eggs
(140	10	3	12	0	0	140)
2 tbs olive oil
(240	28	4	0	0	0	0)
1/4 cup mozz SB
(80	6	3	6	2	0	180)
=373.5+160+105+260+75+200+80
=14.4+12+4.5+4+7.5+2+6
=4.1+6+0+0+0+0+3
=22.55+12+0+36+2.5+4+6
=40.55+4+15+18+2.5+42+2
=8.6+0+0+4+0+4+0
=462.5+360+45+640+287.5+40+180
(105	4.5	0	0	15	0	45)
2 servings protein powder
(260	4	0	36	18	4	640)
2 1/2 cups Almond milk
(75	7.5	0	2.5	2.5	0	287.5)
4 corn tortillas (Guerrero)
(200	2	0	4	42	4	40)
1/4 cup mozzarella cheese SB
(80	6	3	6	2	0	180)
=373.5+160+105+260+75+200+80
=14.4+12+4.5+4+7.5+2+6
=4.1+6+0+0+0+0+3
=22.55+12+0+36+2.5+4+6
=40.55+4+15+18+2.5+42+2
=8.6+0+0+4+0+4+0
=462.5+360+45+640+287.5+40+180
</t>
  </si>
  <si>
    <t>Woke up just before 530 am and did the normal routine, clean pet messes, take them outside, was a little chilly when I woke up, made Mr. Growly his meds and fed the babies, had my coffee. Less time to do anything, have to get ready by 630 am. Still have laundry to fold. Did that and looked at half the ch 6 gases ppt slides in chemistry and watched the other AMoeba sisters video on gel electrophoresis in Genetics. Had 2 cups of coffee total, downed the 2nd one fast as after 630 am and had laundry put away, packed the smoothie supplies for breakfasta and lunch. Had  a reg solid BM after 2nd cup of coffee. Did measurements at 640 am. Showered and got ready for work. Don't plan on coming back until 930 pm or between work and private clients for a family massage special from 4-9 pm split 4 family members time. Still spotty, but could have another bloody gush during work. Bringing extra pads just in case. Light today but some medium flow at night during Family massage slightly half way through the five hours. Very nice family. They want to do that every month on Saturdays. I had about half a bowl of the pasta for breakfast from the other night on 4/2/21 with 1/4 cup mozzarella cheese Stater Bros brand. That was the last of the pasta, and for lunch I brought all the smoothie supplies, but the cup to blend it in, so I ate bits of the 2 bananas for lunch. Got some supplies for work from Marshall's of 2 long handle dry brushes for potential MLD clients needing dry brushing and only $4 each, and a pack of their aromatherapy with Eucalyptus, Peppermint, and Lavendar for only $8. They smelled great. When I stopped by for my break after work I made the smoothie with just 2 1/2 cups almond milk and 2 servings or 4 scoops of the chocolate protein powder and made 2 quesadillas with Mozzarella cheese about 1/3 cup Stater Bros brand. The last of the corn tortillas. Need to go grocery shopping. Went to Navy Federal after the family massage and deposited the check for the 10 MLD massages from my new client in Riverside into my savings account. At work I had 3 carmel creamers for my 3rd cup of coffee their Donut shop keurig, and when arriving home from work before going to the family massage I had my 4th cup of coffee. Had a couple eggs scrambled with  a couple tbs almond milk and 2 tbs olive oil with 1/4 cup mozzarella cheese around 11 pm. Looked over assignments in Genetics before that and have a discussion due Monday. In chemistry study and homework ch 6, but I already know that. She extended the lab I just turned in to the 9th in her announcements. I wrote a reply to the last email on my EW application and told them the doctor said I am susceptible to stress and showed the database and factors that affect and determine health are being effected by the course load. And asked when deadline is to elect pass/no pass and if I can take other subsequent courses if I get a pass in it. And when deadline for W for withdraw is and how it effects my GPA or what it affects.</t>
  </si>
  <si>
    <t>frozen bag blackberries, raspberries, blueberries, been in freezer a year or so, serving 3/4 cup</t>
  </si>
  <si>
    <t>bertolli pasta sauce alfredo sauce, 7 servings per jar, or 1/4 cup</t>
  </si>
  <si>
    <t>pot pasta 4/4/21 recipe 1 jar bertolli alfredo sauce, 1 pkg impossible meat, 1 red pepper, 2 tbs olive oil</t>
  </si>
  <si>
    <t xml:space="preserve">1 bowl of pasta from pot of pasta makes 4 bowls </t>
  </si>
  <si>
    <t xml:space="preserve">Strawberry poptarts walmart brand
(400	10	5	4	74	1	240)
bowl of pasta 4/4/21 penne pasta
(1173	57.75	29.5	46.5	25.5	7.25	961.25)
1/2 cup mozz G&amp;G
(200	12	8	16	4	0	560)
1 serving pea protein chocolate Olly
(130	2	0	18	9	2	320)
1 1/4 cup mixed frozen berries
(133.33	8.33	1.67	1.67	33.33	15.00	0.00)
2 cups almond milk Silk
(60	5	0	2	2	0	230)
bowl of pasta 4/4/21 penne pasta
(1173	57.75	29.5	46.5	25.5	7.25	961.25)
1/2 cup mozz G&amp;G
(200	12	8	16	4	0	560)
=400+1173+200+130+133.3+60+1173+200
=10+57.8+12+2+8+5+57.75+12
=5+29.5+8+0+1.7+0+29.5+8
=4+46.5+16+18+1.7+2+46.5+16
=74+25.5+4+9+33.3+2+25.5+4
=1+7.3+0+2+15+0+7.25+0
=240+961.3+560+320+0+230+961.3+560
</t>
  </si>
  <si>
    <t xml:space="preserve">Woke up around 530 am, got out of bed around that time. I didn't have any pet messes to clean, gave Mr. Growly his meds and fed babies, had a cup of coffee, did the SOAP notes and receipts for clients last night and emailed them. Looked at some stock images of moms with robes and kids and grandmas for May Mother's Day all month long promotion. Need to wait some more for my window decals, before designing and making that promotion, because I still haven't received them and I want to make sure they are right for my van. I emailed the admissions counselor last night or this morning about using the database I sent with hospital docs as a machine learning database for predicting my health based on the number of days of menstuation, BMs, hours of sleep, weight lost or gained, calories consumed as indicators of stress and my disease being associated with high levels of stress. It must have been last night because I didn't check my email. I had 3 cups of coffee and no BM, had a couple strawberry poptarts of the roommates he left on counter, and tested out the hydrocollator machine on my clients tonight. I want to make sure the water gets hot and will soak into hot pads and not be less than a hot temperature that doesn't burn or is only warm. I noticed a piece of the plastic was broke where screw is that holds the plastic cover onto the metal when carrying by handles, might come off and pour hot water all over me. Need a way to keep it in the van while transporting, because I can plug it in. I have an extension cord I got at Best Buy yesterday. I folded the linens and supplies from clients yesterday. also, I went over the ch 6 ppt slides of last week to answer discussion and decided I need to read the book for that chapter for better clarity, my notes aren't great from when I filled in the blanks and typed in extra content the instructor talks about to elaborate on each slide. I didn't take my measurements until 10 am, was waiting for a BM. Didn't happen by that time. Just peed a lot. I drank a whole bottle of water while finishing 3rd cup of coffee. Still spotty light mensa flow. Today is Easter Sunday. I read chapter 6 and then took a nap halfway through for 15 minutes, was tired. Made some pasta before reading the chapter of penne red fennel, impossible meat, 1 red bell pepper, 2 tbs olive oil and 1 jar bertolli alfredo sauce. Had a bowl of it with 1/2 cup shredded cheese mozzarella Good&amp;Gather brand. Had 4th cup of coffee and still no BM by 230 pm and made a smoothi of a serving of protein powder, 1 1/4 cups berries frozen from freezer that have been there about a year and used some earlier. They had ice all over the berries, and 2 cups almond milk. It ended up spilling on me in splashes because the ice didn't get chopped off enough and when it went back into the tall cup spashed it all over me. Good thing I wasn't ready for work. Tested the hydrocollator and it has a setting that keeps it from running the whole time but checks temperature. The hot pack seems to work like it should and not too hot. I just have to figure out how to transport it to clients to use. I need a rolling case. For now, maybe my laundry basket. The top seems secure enough as long as I don't take turns going more than 25 mph it should be fine. It holds a lot of water about 5 gallons or 4-4 gallons, I filled up my large spaghetti pot with it before making pasta earlier and had to use it 5 times but not completely filled to cover the pads. Too many pads too, so had to take out the neck pad. I have the covers so thats good. They might have something for it at DDs. Put the hydrocollator in the van around 4 pm, then ate a bowl of pasta with mozz cheese. Took a shower and left for my 6 pm in Chino Hills before 530 pm. Got back home before 10 pm, did the laundry or started it and washed the stones and put the hydrocollator in the kitchen from the car. The hot packs stayed hot and the clients liked them. They helped them relax. It was plugged in the car and worked the whole time, was kept hot. The battery beeped by the time done 3 1/2 hours later. It runs on its own supply. </t>
  </si>
  <si>
    <t>chocolate chip cookies walmart from roommates cookies, serving 1 cookie</t>
  </si>
  <si>
    <t xml:space="preserve">Woke up by alarm at 630 am, no pet messes to clean. Went to bed around 1115 pm last night after putting laundry in the dryer. Made Mr. Growly his meds and fed the babies, had to get water from the car for 2nd cup of coffee while making 1st cup of coffee. All out inside the house of water bottles. I only drink water from packaged water bottles that go through the filtration and inspection process and preferrably without bpa toxins in plastic. Fed the cat outside around that time 645 am or so. No BM yesterday and had a lg BM solid this morning after 1st cup of coffee. Finished the clients SOAP notes and receipts from last night and sent them out, then completed the discussion in genetics due today. Did zero studying for the chemistry exam this Tuesday, and still haven't checked to see if I got an excused withdrawal from last email or student registration. I have a client for her 2nd MLD of 10 prepaid massages at 1115 but leaving by 1045 am. she lives about 3 miles away. Not that far. But unexpected road work could delay, and we started early last time. I noticed a pending transaction in my checking and didn't have a receipt, but found out the IN-HOME TYLER CHINO CAUS pending charge was for a Best Buy purchase of the extension cord and clock I want to take back that was emailed to me and not printed, because of my BestBuy preferences that I have to login to change. I had breakfast, a bowl of pasta made the other day with parmesan and mozz cheese G&amp;G brand. The 4-3-21 recipe. I do still need to reply to a classmate's post in discussion by the end of the day. But going to wait. I noticed some typos in my own post after posting it. Folded the linens and put in separate gallon plastic baggies. Finished he response then took a shower and got ready for my 1115 appointment 3 miles away. I need to get some groceries on the way back before going to work. Still a light mensa flow. Got back from client's house, put linens in laundry, and unpacked groceries from Winco by 130 pm. Ate a bowl of pasta and fed the babies, then filled in this database, after doing the dishes and making a smoothie for my break with chocolate protein powder, berries frozen, and almond milk which I made before making my pasta to eat after unpacking groceries. Late on ch6 homework, but will start it tonight after work and finish it tomorrow before the exam2 at 3 pm. That is for chemistry even though I plan on dropping it, want to see if it helps taking exam in person. Left for work by 220 pm. Had 3rd cup of coffee while eating my first bowl of pasta for breakfast, and plan for 4th cup at work. Didn't calculate creamers, so probably none tonight. I still need to do the client's soap notes and receipt for her 2/10 MLD massage she already paid for. Very nice lady. Plan on making more from her when she gets her BBL. </t>
  </si>
  <si>
    <t>bowl of pasta 4-3-21 recipe
(1173	57.75	29.5	46.5	25.5	7.25	961.25)
1/4 cup mozz G&amp;G
(100	6	4	8	2	0	280)
1/4 cup parmesan cheese
(40	3	2	4	0	0	200)
2 chocolate chip cookies of roommates
(240	10	6	2	34	2	200)
bowl of pasta 4-3-21 recipe
(1173	57.75	29.5	46.5	25.5	7.25	961.25)
1/4 cup mozz G&amp;G
(100	6	4	8	2	0	280)
1/4 cup parmesan cheese winco
(40	3	2	4	0	0	200)
1 serving pea protein chocolate Olly
(130	2	0	18	9	2	320)
1 1/4 cup mixed frozen berries
(133.33	8.33	1.67	1.67	33.33	15.00	0.00)
2 cups almond milk Silk
(45	1.75	0	0.6	0.6	0	70)
3 coffee creamers carmel international delight
(105	4.5	0	0	7.5	0	45)
=1173+100+40+240+1173+100+40+130+133.3+45+105
=57.8+6+3+10+58+6+3+2+8.3+1.8+4.5
=29.5+4+2+6+29.5+4+2+0+1.7+0+0
=46.5+8+4+2+46.5+8+4+18+1.7+0.6+0
=25.5+2+0+34+25.5+2+0+9+33.3+0.6+7.5
=7.25+0+0+2+7.25+0+0+2+15+0+0
=961.3+280+200+200+961.3+280+200+320+0+70+45</t>
  </si>
  <si>
    <t>Mission tortilla rounds chips serving 1 oz ~10 chips</t>
  </si>
  <si>
    <t>nachos 2tbs olive oil/1 pkg beyond beef/2 bell peppers orange and red, makes 3 bowls</t>
  </si>
  <si>
    <t>bowl nachos</t>
  </si>
  <si>
    <t xml:space="preserve">nachos beyond meat/orange and red bell peppers/2 tbs olive oil
(448.00	33.33	8.00	27.33	11.00	3.67	469.00)
1/2 cup mozzarella cheese Winco brand
(160	10	7	12	2	0	380)
3 tbs sour cream Winco brand
(180	15	10.5	3	6	0	45)
serving of tortilla chips mission tortilla rounds ~10 chips
(140	7	1	2	18	2	90)
nachos beyond meat/orange and red bell peppers/2 tbs olive oil
(448.00	33.33	8.00	27.33	11.00	3.67	469.00)
1/2 cup mozzarella cheese Winco brand
(160	10	7	12	2	0	380)
3 tbs sour cream Winco brand
(180	15	10.5	3	6	0	45)
serving of tortilla chips mission tortilla rounds ~10 chips
(140	7	1	2	18	2	90)
6 corn tortillas Guerrero
(300	3	0	6	63	6	60)
1/2 cup mozzarella cheese Winco brand
(160	10	7	12	2	0	380)
=448+160+180+140+448+160+180+140+300+160
=33.3+10+15+7+33.3+10+15+7+3+10
=8+7+10.5+1+8+7+10.5+1+0+7
=27.3+12+3+2+27.3+12+3+2+6+12
=11+2+6+18+11+2+6+18+63+2
=3.7+0+0+2+3.7+0+0+2+6+0
=469+380+45+90+469+380+45+90+60+380
</t>
  </si>
  <si>
    <t xml:space="preserve">Woke up around 3 am and had some pain in my lower back, went back to bed and woke up at 4 am and got out of bed, pain in my lower abdomen and lower back. I drank half a bottle of water before bed when my lower back and abs started hurting a little around 1130 pm when I went to bed. Drank another half of bottle of water around 3 am, before going back to bed. I am still bleeding, a clot fell out when peeing around 3 am. At 4 am downed a bottle of water, made my cup of coffee early. My pain wasn't its worst at that time, I checked the SOAP notes I wrote last night before bed for the client yesterday morning to see if I could download it as it wasn't working again with the fill in part of the submissions. My email showed it completed, but the jotform online site was showing empty data in the form to download. It worked so downloaded it. I was going to email it to client but started feeling a lot more intense pain in lower midsection.  In a lot of pain around lower abdomen and lower back. Maybe I am gluten intolerant now that I haven't had it for so long. I had a deli chocolate cookie, 2 yesterday of the roommates yesterday, and when I had the last terrible back and lower abdominal pain I also was eating gluten and a lot of processed sweets around the time of the cheesecake. I didn't eat anything spicy. It could also me my uterus lining aching as its still bleeding and stress from having to study for this exam today and finish a late homework to prepare for the exam. It was a lot of pain. I didn't have to pee and had a tiny BM. Started feeling like I might vomit after drinking my coffee. By 445 am, I squatted above the toilet to see if I could have another BM, but instead a whole bunch of blood clots poured out and it lifted a weight from my lower back and lower abs. No BM, but a lot of blood. Then started bleeding more. Didn't pee either, like the water went straight to my uterus and emptied out a bunch of the lining clotting along it. The fibroids likely block the blood and it forms clots. This is the longest menstruation I have had in a while. Like years as a while. I only remember bleeding non-stop for weeks when on blood thinners when being treated for Hodgkins Disease and having a blood clot in my upper thorax. A DVT. Deep Vein Thrombosis. After the lymph node removal in my neck back in 2014. Went to bed by 5 am and woke up at 615 am, so I can add another hour to my sleep. I was still bleeding heavy, and some clots, but not as much pain. I didn't have a BM all morning, was finishing ch6 homework, and finished it by 12 pm with a 20 minute break to make some beyond meat with olive oil and 2 bell peppers orange and red with 1/2 cup mozzarella cheese, and some tortilla rounds chips and 3 tbs sour cream at around 1030 am. Because I needed a break and the worker of the landlords was over. He looks like a creep. Still here. 2 hours till I leave to go to the campus for exam 2. I need to take my measurements, so I will now. I have already had 3 cups of coffee since 430 am when I first got up, and 2 after 630 am. Had my 4th cup of coffee before taking a shower around 130 pm and leaving for the exam at 2 pm with no creamer in any of them coffees as I use the work creamers and am not at work. Was able to go to the exam site and study up using my made flashcards, didn't have any for chapter 6. I liked the exam on paper and person instead of online. Could have a physical copy and write on it, instead of looking at a screen. Got as many points as possible. After the exam and on campus, I dropped a lot of blood clots on my mensa and am bleeding heavy. My complexion looks pale in the bathroom lights there. I am probably very low on iron. But the pain isn't as intense as earlier in the day. When I got back I put on a couple of the window decals, but there are bubbles under the stickers. I thought they would be removable window stickers. They still look good enough to get the promotion across. I put on the covid one for happy hour add-on services, and the one for special events with women in robes toasting and one wearing a tiara and a biracial couple in the sauna wearing robes and smiling all of them. I have to look into designing the Mother's Day window decal. I also need a car wash, but its white, so not noticeable as long as not close. I made 3 quesadillas the normal style on break and we worked on our labs in lab on our own for remaining time. The professor told me I did well on the exam in chat during quiet time, she must have been grading them. Very nice lady. Fortunately the exam wasn't that difficult and my mind didn't blank. thankfully. Went to bed shortly after class ended around 930 pm. </t>
  </si>
  <si>
    <t>almond breeze milk, 1 serving is 1 cup, https://www.instacart.com/landing?product_id=42844&amp;retailer_id=105&amp;region_id=237880178&amp;mrid=115840673&amp;utm_source=instacart_bing&amp;utm_medium=sem_shopping&amp;utm_campaign=ad_demand_shopping_food_ca_losangeles_bing&amp;utm_content=accountid-146005746_campaignid-367693851_adgroupid-1210562746126611_device-c&amp;utm_term=matchtype-e_keyword-_targetid-pla-4579259774669206_locationid-&amp;msclkid=250e7d27b3b617f2867a1d49f0709745</t>
  </si>
  <si>
    <t>Dates, 4 dates: https://www.calorieking.com/us/en/foods/f/calories-in-fresh-fruits-medjool-dates/-R74ltwGQI-2ffcxo6pFCA</t>
  </si>
  <si>
    <t>hersheys chocolate syrup, 4 tbs, https://www.calorieking.com/us/en/foods/f/calories-in-syrups-chocolate-syrup/YWolsx2JTXiskD9ar4lDHw</t>
  </si>
  <si>
    <t>feta cheese 4 1" cubes or about 1/4 cup, https://www.calorieking.com/us/en/foods/f/calories-in-cheese-feta-cheese/VSnj7K8lSoOTI1TpD_iCzw</t>
  </si>
  <si>
    <t xml:space="preserve">bowl of nacho meat
(448.00	33.33	8.00	27.33	11.00	3.67	469.00)
3 tbs sourcream
(90	7.5	5.25	1.5	3	0	22.5)
1/2 cup mozz cheese winco brand
(160	10	7	12	2	0	380)
almond milk 2 cups by Almond Breeze
(60	5	0	2	2	2	340)
hersheys syrup 4 tbs
(180	0	0	0	48	4	20)
Dates four Dates
(266	0.1	0	1.7	72	6.4	0)
feta cheese 4 cubes 1"
(179    14.5    10.2    9.7    2.8    0    759)
2 servings chips
(280	14	2	4	36	4	180)
feta cheese 4 cubes 1"
(179    14.5    10.2    9.7    2.8    0    759)
1/4 cup pasta 3 cheese sauce prego
(35	0.75	0.25	1	5.5	0.5	240)
six corn tortillas (Guerrero)
(300	3	0	6	63	6	60)
1/2 cup mozz cheese winco 
(160	10	7	12	2	0	380)
=448+90+160+60+180+266+179+280+179+35+300+160
=33.33+7.5+10+5+0+0.1+14.5+14+14.5+0.75+3+10
=8+5.25+7+0+0+0+10.2+2+10.2+0.25+0+7
=27.33+1.5+12+2+0+1.7+9.7+4+9.7+1+6+12
=11+3+2+2+48+72+2.8+36+2.8+5.5+63+2
=3.67+0+0+2+4+6.4+0+4+0+0.5+6+0
=469+22.5+380+340+20+0+759+180+759+240+60+380
</t>
  </si>
  <si>
    <t xml:space="preserve">Woke up at 430 am and got out of bed, soaked my undies in blood. Bled a lot, but no middle of the night back or lower ab pain, because I drank almost a whole bottle of water before bed. Cleaned up some pet messes. Realized I think I have an exam this week in Genetics and its already Wednesday. I need to look that up. We don't, but do have homework due after Spring Break. Going to go back to bed. I have an appointment at 630 pm tonight after work. Laid in bed until 515 am then got up and made coffee and fed the babies and gave Mr Growly his meds. Paid the electric and two car payments. My elecetric bill is $40-$50 higher now that it is in the roommate's name. The gas bill is already paid. Got paid from my full time job today and it was a good amount. The next one will be similar to the last one in February due to the missed day on Easter Sunday. And this last one had an extra day for last half of March having 31 days in it from 16th - 31st. Haven't heard from this new client on Friday who wants me to go to Wildomar on Friday with the Friday traffic, and make it in 1/2 hour after my earlier client's appointment cancels. I emailed her when I got the appointment booked, but haven't heard a reply. She lives outside the bounds of time and distance, and might have to charge her extra if the drive time is a while or cancel for that reason alone and call her or call her before since she is new. After paying some bills had a BM reg size. Feeling dehydrated. Need to drink more water, but have been bleeding a lot, the water goes right to the uterus. I emailed the client and will see if she replies, confirms, cancels, calls, etc. I will pay my last smileDirect invisible braces payment this month, for a product that doesn't work well and not worth $2250. I started that early April 2019 with a $250 down payment and $80 a month. Made a Mother's Day promo Window decal and its on its way. Should be here in time to market on my van for Mother's Day. Ate the last of nachos with chips sourcream and cheese mozz, dishes, showered, plan on eating chips with hummus today but fresh hummus and bringing my own chips. Forgot measurements until getting ready and after shower, had enough time. Took measurements after eating and 2nd cup of coffee. No 3rd cup by this time, even though got up early at 430 am, still got 7 hours from 930 pm to 430 am. Also, cramping slightly, been losing weight, could be weather change, added stress, working more on the side, and eating the same or less, also losing a lot of blood. Non-stop now. Heavy day to start see by the end if tapering off. It has cycles now. Non stop menstruation now since the 18th of March and it is now the 7th of April. For lunch I had Hummus Republic and found out the zesta feta hummus, was actually just zesty feta. Had a small container to go and its spicy. I only ate about 1/4 cup of it with my tortilla chips because its spicy. I also had their chocolate vegan shake made with 4 dates, 4 tbs hersheys chocolate syrup, and 2 cups of almond milk by Almond Breeze the regular sweetened kind. It was good but I felt tired after drinking it.  Only had 1 massage for an hour after it then home. I have the 630 pm MLD massage in Yorba Linda I will leave by around 545 pm to get to. When home, had to check security cameras because the roommate said he saw some cop cars out in the alley parked for a while. Checked and around 2:03 pm to about 2:20 pm there was a narc car and a cop car and a bummy guy indistinguishable by distance on a bike hanging out in the alley, possibly trying to steal supplies from the plumber's truck that was in the alley. Who knows? I talked to one of the estheticians at work to start the morning, because I heard them talking about wanting to earn extra money. And she is considering renting my esthetician supplies for 20% of her service cost to do facials and waxing on the side or with me for a mother's day special with microdermabrasion facial, waxing, massage, for $200. I can now make some window decals for that one. Also, had 4th cup of coffee when I got home and updated this data. I am still bleeding heavy and had blood clots earlier in the day, it was seeming lighter around afternoon, but then gushed more during the day.  Before leaving I also had 3 quesadillas, with a side of feta cheese and pasta sauce. Stayed awake until I put the clothes in the dryer, and then went to bed around 10 pm. </t>
  </si>
  <si>
    <t>2 Neopolitan icecream sandwhiches Great Value brand</t>
  </si>
  <si>
    <t>5 snack size snickers candy bars about 2 reg sized, https://www.calorieking.com/us/en/foods/f/calories-in-chocolate-snickers-chocolate-bar/IYBahNeOTOCVfqHTdgauRw</t>
  </si>
  <si>
    <t xml:space="preserve">Woke up at 430 am and got out of bed 15 minutes later. Cleaned some pet messes, made 1st cup of coffee, bled really heavy during the night again, made the babies their food and gave Mr. Growly his heart meds. He was under the bed whole time. He might be hot, its not that hot inside the house, its a little warm but chilly outside at this time. Mr. Goody and Princess went outside to potty and came in right away instead of lingering and making me wait like they do when I have them potty outside at night before bed. Princess does anyways. Got some homework and lectures to view and write down notes on in genetics and labs to work on for chemistry. Next week is spring break, and we have a little break that I can use to catch up on work. I finished the part 2 lecture and wrote in the ppt slides of blanks for ch9 by 645 am. The roommate was home 15 minutes before that time. This instructor will be doing a live lecture but also has a recorded lecture up to view. We are looking at ch10 for this lecture. After filling in the blanks, I need to read the chapter. Same with chapter 10. Its good to study from, but feel like there is more depth to the content in the book than in the lectures. Good motivation to read the book and find that other information. Her study guides are good too. Little additional info is added and the many interjections of ums are distracting. She is probably distracted by her own recording or video when recording herself talking on the recorded lectures. Reminds me of a classmate who went by Caiti, in my grad bioinformatics research course who railed my lecture post for choppy tech and microphone problems, but her lecture had 1000s of 'um' s in it that otherwise I had to call brain farts and the instructor said it was offensive. Then, don't have us critique other people who leave negative criticism and allow us to criticize their work. The instructor of that course was retaliating because I told her she was allowing bullying in the discussion posts. The most annoying thing about online education is the discussion posts for the classmate criticisms and public posts. Every course has to post something about the way to post like nettiquette to follow or no bullying etc. Going to read or look through chapter 9 and see what chapter 10 is about. The morning lecture I will participate in, but know we won't finish it, because this same instructor has to pause every slide to get the participants in the zoom to navigate to the emojis to give a thumbs up or to the microphone to turn it on to say they understand or ok to move on. Such a stressor when time to get things done isn't being maximized. Like the dryer you think will take an hour to dry the clothes but you have to run it through 3 hours of cycles or more to get the clothes dry. I do like and respect this instructor, but the lectures can almost be avoided or not fill in the blank, because they make me anxious to pause or switch screens to fill in the blanks, and miss anything additional added, that isn't really additional information, only a few slides have other information to the slide. Was feeling tired, but decided to wash the blankets because Mr. Growly got poop stuck to his butt and dragged it on the bed blankets, didn't read the ch9 or ch10, but looked over the content on DNA structure and analysis and replication. Ch 7 we skipped, but it actually looks interesting because it discusses linkage in chromosomes and reminds me of linkage analysis research reports that didn't get much discussion but were an area to test for disease specific origination in linkage of genes on the chromosomes and the statistical analysis of the genes in my particular research studies' studied for my research on Uterine leiomyomas and gene origination or pathogenesis of the disease. There weren't many examples or information to google that could explain it better. Might read that one before reading the ch9 and ch10 genetics book. Did the dishes, and almost forgot to take measurements. Had a lg BM around 610 am while finishing the genetics ch9 part 2 lecture. Then did the laundry folding and dishes around 8 am. The workers of the landlord arrived around 8 am to work on the next apartment in this duplex. I was going to clean and cut the hairs on Mr. Growly's poodle butt before lecture but he hid under the bed. I took the pet staircase away from the bed so they wouldn't get on the bed without covers on it. They are in the wash. For breakfast, before putting blankets in the laundry around 8 am, I had 3 quesadillas with mozz Winco brand and Guerrero corn tortillas, and 1/4 cup of the marinara sauce and parmesan cheese to dip in. The prego 3 cheese sauce. and winco parmesan cheese. I had my 3rd cup of coffee after finishing the ch9 part 2 recorded lecture to write the fill in the blank answers into. The ch10 lecture starts at 9 am live, but there are recorded versions. I felt tired after that lecture and negative about the fill in the blank type format and having to read the chapter from the book to understand better. It made me tired mentally and the reason I was going to take a nap but washed the blankets instead. There was some useable area, Mr. Growly only got a little of his poop stuck to his but on the pillow cover he lays on, not the bed. But I did those chores and made breakfast at that time and didn't feel tired. Also, had read through the overview of the chapters 7, 9, and 10. Seems interesting. Finished live lecture at slide 24 of 32 then finished the recording to complete fill in the blanks on ch10 ppt for genetics by 1040 am. I ate 5 snickers snack size candy bars, 2 neopolitan walmart brand ice cream sandwhiches, and 2 poptarts shortly after around 11 am, then began reading reading some more of chapter 7 only the first section or 2 on linked genes. Nothing in the chapter on linkage analysis, but that the genes being close to each other and on the same homolog make them linked genes. I skimmed the book and found the back section on gene therapies interesting, read most of it, took a 15 minute nap around 12 pm, then woke up and read the rest of it. Interesting, on how they use in vivo and ex vivo gene therapies or technology to delete or edit genes and replace with inserted normal genes into the deleted or inhibited genes to reproduce normal cells in the body. It is easier to use blood for in vivo as it can be extracted and treated with normal genes and reinserted in many billions of copies to flood the system into reproducing the normal genes instead of the mutant deadly variants born with. But for tissue cells with various compositions, it is more difficult to get the right cells to take up the treated gene therapies, and ex vivo or vectors using viruses such as the common cold virus and lento virus and even HIV all deactivated can bind with the normal gene DNA copies to be inserted into cells and produce healthy genes that can cure or temporarily cure a person. Although, there is a high rate of death and complications that give rise to death in some trials due to auto immune response. Stem cells and such can be implanted with normal cells to enter the body and not be rejected by immune system. There are genes that have mutant variants that are copied and placed into people with a disease such as leukemia that will deactivate the binding activity responsible for HIV and prevent it from forming and cause the person to be cured. When doing my own research on data Zinc Fingers type genes came up often and it explained these are binding motifs of genes that can replace or inhibit some genes. There is still much work to be done to prevent the caveats like activating certain promotor genes that cause one illness while trying to prevent another. And also the safer deactivated viruses like the cold and lentovirus can only carry up to 10kb long genes, when many human genes are much longer in sequence length than that capacity. It was Study Case 6 of 6 studies that all are about 1/2 a chapter long to read, but interesting. I am going to work on my lab due in 2 days now. We don't have lecture in chemistry today but will have a lecture in the lab today, because the other part of the class is taking their exam 2 today at 3 pm that didn't take it Tuesday when I did. The workers and the landlord and his wife came by from what I saw on the cameras outside thought it was his son and his girlfriend. The wife dyed her hair dark and its long. Wasn't expecting guests, and them fiddling with the other side made our electricity go out powering the lights in the living room. I was trying to do the lab but had to repeat everything and didn't put pants on all day, lounging around on my rag and my day off. So the landlord and his workers came inside because the roommates told them to and I wasn't dressed decent for them to be shown where the outlet is. So I had to put on my pajamas. My roommate didn't tell them I need to put my pants on or that they should wait. Its retarded. They are renting out the other side once they are done working on it for the next month and a half for $1800/month. That's $300/month more than here. The roommate wants to have it rented out to someone we know because he doesn't want to have to give up one of his parking spots. But that is expensive. I don't have enough clients to pay that sort of additional rent and utilities a month. He wouldn't be able to pay the utilities and my share of rent on this side either. It would have to be a rented apartment with a studio inside, but not a commercial business since its residential as far as I know. </t>
  </si>
  <si>
    <t xml:space="preserve">six corn tortillas (Guerrero)
(300	3	0	6	63	6	60)
1/2 cup mozz cheese winco 
(160	10	7	12	2	0	380)
1/2 cup prego 3 cheese sauce
(70.00	1.50	0.50	2.00	11.00	1.00	480.00)
1/4 cup parmesan cheese
(40	3	2	4	0	0	200)
2 stawberry poptarts
(400	10	5	4	74	1	240)
5 snack sized snickers candy bars approx 2 reg sized candy bars
(500	24	9	8	66	2	240)
2 neopolitan icecream sandwhiches
(300	10	6	4	38	2	240)
10 chips approximately
(140	7	1	2	18	2	90)
3 tbs sourcream
(90	7.5	5.25	1.5	3	0	22.5)
1/4 cup mozzarella cheese Winco brand
(80    5     3.5     6     1     0     190)
bowl of nachos same recipe as the other day 4-5-21
(448.00	33.33	8.00	27.33	11.00	3.67	469.00)
8 corn tortillas
(400	4	0	8	84	8	80)
3/4 cup mozz cheese winco brand
(240	15	10.5	18	3	0	570)
=300+160+70+40+400+500+300+140+90+80+448+400+240
=3+10+1.5+3+10+24+10+7+7.5+5+33.3+4+15
=0+7+0.5+2+5+9+6+1+5.25+3.5+8+0+10.5
=6+12+2+4+4+8+4+2+1.5+1+27.3+8+18
=63+2+11+0+74+66+38+18+3+0+11+84+3
=6+0+1+0+1+2+2+2+0+190+3.7+8+0
=60+380+480+200+240+240+240+90+22.5+190+469+80+570
</t>
  </si>
  <si>
    <t>Bluecheese Centercut brand, serving 1 oz 28 g, total pkg is 5, so about 2 tbs</t>
  </si>
  <si>
    <t xml:space="preserve">2 bowls of nachos
(896.00	66.67	16.00	54.67	22.00	7.33	938.00)
serving chips Mission tortilla rounds
(140	7	1	2	18	2	90)
6 corn tortillas Guerrero
(300.00	3.00	0.00	6.00	63.00	6.00	60.00)
1/2 cup mozz Winco brand
(160.00	10.00	7.00	12.00	2.00	0.00	380.00)
4 tbs sourcream
(120.00	10.00	7.00	2.00	4.00	0.00	30.00)
2 tbs blue cheese
(110.00	9.00	5.00	6.00	1.00	0.00	260.00)
banana
(105	0	0	1	27	3	1)
poki bowl approximate
(982.50	13.78	2.75	38.80	174.75	13.05	1283.00)
orange
(81	0	0	2	21	4	2)
7 coffee creamers
(245	10.5	0	0	35	0	105)
=896+140+300+160+120+110+105+982.5+81+245
=66.67+7+3+10+10+9+0+13.78+0+10.5
=16+1+0+7+7+5+0+2.75+0+0
=54.67+2+6+12+2+6+1+38.8+2+0
=22+18+63+2+4+1+27+174.75+21+35
=7.33+2+6+0+0+0+3+13.05+4+0
=938+90+60+380+30+260+1+1283+2+105
</t>
  </si>
  <si>
    <t>Woke up at 515 am and got out of bed 5 minutes later, not by alarm, Mr. Goody barked to be on the bed, Mr. Growly bullies him and keeps him from using the stairs. I made Mr. Growly his meds and fed the babies after cleaning a few pet messes, then made my coffee. Had a lg BM after 1st cup of coffee and worked on the lab, did 3 trials of each of the 25-20-15 mL HPK and all same changes then entered in all data for part I and the calculated avg molarity of the standardized NaOH that is off by quite a bit from 0.1 M NaOH, at 0.003291 M NaOH, but did it correctly as far as I can tell. Then finished the 2nd cup of coffee. Also cancelled the Wildomar appointment at 8 pm after my 530 pm MLD. Too far and drive time says 30 minutes to an hour to get to client. That is beyond the limits of price and drive time. I apologized in the cancellation. I haven't talked to her or heard any replies from the client via email or in response to the square notification she got in cancelling or editing the appointment. It will be dark at that time and also don't feel comfortable going to a new client I haven't talked to at darkness. I ate the other 2 bowls of the nachos by the end of the day. The last bowl after the client at 530 in Riverside/Corona area and after getting groceries from Sprouts. I added 2 tbs blue cheese and 2 tbs sourcream. The first nachos bowl was for breakfast with a serving of tortilla chips and 2 tbs sour cream. For lunch I had a poki bowl with added albacore tuna pretty much the same way except no edemame and added sweet corn that tasted gross. And didn't eat.  This poki bowl had salmon, albacore, blue fin tuna, misago, pineapples, sweet corn, wasabi, brown rice, and cucumbers with mild house sauce similar to soy sauce and teriyaki. I didn't eat all of it. At work I had 7 creamers, 6 were french vanilla about the same calories as the carmel ones, the 7th was a carmel one, or actually the 4th one was. I had 2 cups of coffee there and 2 at home totalling 4 cups all day. Also had 3 quesadillas with the last bowl of nachos. And a banana. Took back my clock that I got almost a week ago or about a week ago. I planned on taking it back because it doesn't work when not plugged in, it says it would, but only keeps the time in place running in the background. Pointless to bring to massage clients to ask to plug in. Yesterday I was on a medium light bloody flow of this very long lasting menstrual cycle and today very light, pink blood, not quite spotty but not flowing a lot of blood. Still had a few blood clots yesterday even though medium light. They were tiny clots. I plan on eating an orange some time between 8:20 PM and before I go to bed, hopefully accomplished on the lab due tomorrow night by 10 pm. Sent out receipt and SOAP notes of client by 8:50 PM and noticed the wrong receipt number and date and time on last receipt and sent client the right data. I was probably rushed and sending it out before work. Because it was in the morning. Went to bed a little after 11:30 pm after doing the virtual part of the lab and calculating molarity.</t>
  </si>
  <si>
    <t xml:space="preserve">8 corn tortillas
(400	4	0	8	84	8	80)
1/2 cup mozz provolone G&amp;G brand cheese
(90	6	3.5	7	2	0	200)
1 avocado
(322	29	4	4	17	18	14)
3 bananas
(315	0	0	3	81	9	3)
1 orange
(81	0	0	2	21	4	2)
1 serving pea protein Olly chocolate
(130	2	0	18	9	2	320)
2 cups Silk almond milk
(60	5	0	2	2	0	230)
2 neopolitan ice cream sandwhiches of roommates
(300	10	6	4	38	2	240)
3 coffee creamers
(105	4.5	0	0	7.5	0	22.5)
=400+90+322+315+81+130+60+300+105
=4+6+29+0+0+2+5+10+4.5
=0+3.5+4+0+0+0+0+6+0
=8+7+4+3+2+18+2+4+0
=84+2+17+81+21+9+2+38+7.5
=8+0+18+9+4+2+0+2+0
=80+200+14+3+2+320+230+240+22.5
</t>
  </si>
  <si>
    <t>Woke up at 5:30 am by alarm tired, but the 1st cup of coffee woke me up. Gave Mr. Growly his meds and fed the babies, and cleaned up one pet mess. They went out right before I went to bed last night and didn't make many pet messes in the house. I should have a few hours after work and after the private client in South Corona to complete the lab. Few calculations. Did the laundry before reviewing what else needs to be completed in the lab. I ate 2 quesadillas with 1 whole avocado and then made 2 quesadillas for lunch. Almost forgot my measurements, and took those running late for work with waist trimmer on and lifted it up for the abs fat after eating my meal and drank 3 rd cup of coffee on way to work, had 4th cup at work with 3 creamers french vanilla. Also 2 bananas and an orange, and packed an avocado but didn't eat it, got home and thought my appointment was at 530 but checked on my lunch break for 330, so rushed in with worker vehicles and landlord's in alley, got out the hydrocollator. At client's on time, a A hole looking tall white pig looking guy with a german shepard was giving me a dirty looklike a mad dog stare down across the street then said hi like he didn't stare me down, when I turned away, because I gave him an equally dirty look right back to that white guy looking at me like I'm some sort of thug or girl who should get hit by his piece of shit stare down of me as a white guy. Not my type of clients. I am just going to my client's house to provide massage services and some scumbag white guy wants to look at me like that. My client is from a nice middle class black family too. I ignored himbut thought about him while massaging my client and afterwards saw a white lady walking by on the same opposite side of the street who made eye contact with me and smiled then drove up the street on the way out and saw an older white guy a little older than the other white guy working on his lawn what attempted to make eye contact with me while driving by and smile. That was odd, probably all part of the same household. The hotpacks relaxed her back a lot, that and the hot stones, she fell asleep some with the hot packs on her back. Got home, very low on fuel, need to get some more on the way to work tomorrow. Made a protein shake of 1 banana 2 cups almond milk and 1 serving Olly brand chocolate pea protein. Drank that while entering this data and then working on my homework. Figured out how to get the molarity right, so it was closer, I was multiplying by the standard molarity, when I needed to just divide by the discovered liters to titration equivalence and divide the moles by that amount. Then figured out the net ionic equation at work on scratch pad. Need to fill in and answer the report problems now and upload the attached lab notebook sheets to the report before midnight or 20% off on points. It is almost 7 pm now. The roommate's shoulder hurts and wants me to massage him instead of using the massage gun, biofreeze, or a hotpack. I told him when he gets back from working out and when I am done with my homework. The instructor extended the deadline for this assignment to the 15th, and I found out a few hours before it was due by checking announcements, because I thought she might. I got stumped on the last 2 questions, because I wasn't sure how they were worded what it or they were asking. It seemed like it was asking to titrate the reverse for the molarity of an acid from an approximated base, but the acid is solid so must be dissolved, then how to discover the molar mass given both are not really known if standardized means approximate molar mass. Also, the table fill in was confusing to figure out what mass or substance is unknown solution but we can find the molar mass of the base from the given molarity of the acid. I wasn't sure what it was asking. Turned it in after emailing instructor. She was super cool and gave me extra points on my exam we took earlier probably because she had to curve it for the rest of the class. Not sure, didn't ask. Just asked about the questions that stumped me. Went to bed around 11 pm after restarting the dryer. My mensa was tapering off all day light pink spotty with excess liquid as normal. It seems like it is getting back to normal. again</t>
  </si>
  <si>
    <t>mozzProvolone Good &amp; Gather 1/4 cup serving</t>
  </si>
  <si>
    <t>vegetable oil soybean oil Target brand, serving is 1 tbsp</t>
  </si>
  <si>
    <t>1 bowl of pastafrom 4-11-2021 recipe</t>
  </si>
  <si>
    <t>pasta pot recipe 4-11-2021, makes about 6 bowls filled, beyond meat 1 pkg, 2 pkgs barilla gluten free fetuccini, 1 jar prego 3 cheese sauce, 1 red bell pepper, 1 green bell pepper</t>
  </si>
  <si>
    <t>protein smoothie
2 bananas
(210	0	0	2	54	6	2)
1 serving chocolate protein powder
(130	2	0	18	9	2	320)
2 cups almond milk
(60	5	0	2	2	0	230)
3 coffee creamers
(105	4.5	0	0	15	0	45)
3 1/2 quesadillas with mozzProvolone and bluecheese
7 quesadillas Guerrero
(350	3.5	0	7	73.5	7	70)
3/4 cup mozzProvo cheese
(270	18	10.5	21	6	0	600)
two cubes or about 1/4 cup or large tbs bluecheese 1 serving
(110.00	9.00	5.00	6.00	1.00	0.00	260.00)
avocado whole
(322	29	4	4	17	18	14)
bowl pasta 4/11/21 recipe 
(686.17	21.42	4.83	25.00	103.75	7.17	663.33)
parmesan cheese 2 tbsp
(20	1.5	1	2	0	0	100)
glass beringer red crush wine Main&amp;Vine sublabel
(195.2	0	0	0	6.4	0	0)
glass beringer red crush wine Main&amp;Vine sublabel
(195.2	0	0	0	6.4	0	0)
bowl pasta 4/11/21 recipe 
(686.17	21.42	4.83	25.00	103.75	7.17	663.33)
glass beringer red crush wine Main&amp;Vine sublabel
(195.2	0	0	0	6.4	0	0)
=210+130+60+350+270+110+686.2+20+195.2+195.2+105+686.2+195.2+322
=0+2+5+3.5+18+9+21.4+1.5+0+0+4.5+21.4+0+29
=0+0+0+0+10.5+5+4.8+1+0+0+0+4.8+0+4
=2+18+2+7+21+6+25+2+0+0+0+25+0+0+4
=54+9+2+73.5+6+1+103.75+0+6.4+6.4+15+103.8+6.4+17
=6+2+0+7+0+0+7.17+0+0+0+0+7.2+0+18
=2+320+230+70+600+260+663.3+100+0+0+45+663.3+0+14</t>
  </si>
  <si>
    <t xml:space="preserve">Woke up at 6 am not by alarm, and cleaned pet messes, one of the babies belly is upset, fed Mr. Growly his meds and the babies their food, then made my coffee and made the SOAP notes and receipt for client and emailed them to her. The roommate came in complaining about his shoulder Right side, told him I would massage him after work. I also need to get fuel in my car as it is very low before I go to work. Had a second cup of coffee and caught up on yesterday's notes for this database. Folded laundry and made a smoothie. I had a late start going to pack tortillas, an avocado, and cheese for later at work on my break. Had 3rd cup of coffee after folding linens and taking my measurements. No BM by 3rd cup. Felt like I might, but too close to getting ready. Didn't shower yesterday or today it looks like. But didn't sweat and my arms are always clean and my clothes. Finished 3rd cup of coffee after measurements and measurements after my protein smoothie with 2 bananas, 1 serving chocolate protein, and 2 cups almond milk. Packed quesadillas with bluecheese and mozzprov mix for lunch with quesadilla maker and roll paper towels. Had a reg BM after 3rd cup of coffee and before 8 am. The workers were next door working and didn't have a spot to park my van at first. I did the dishes and brought in the hydrocollator from the car and used it to massage my roommate. I uploaded a video of it about 35 minutes long on youtube my janisharris1982@gmail account. Too long for instagram. His shoulder has been aching all the way to his upper trapezius and levator scapulas and scalenes and rhomboids. Used 4 hotpacks in total on his back and chest, biofreeze, infrared light with CBD cream, and biofreeze for his R shoulder ubns R side and his Left pecs and anterior deltoid that also was tight and ached. Went to Winco to get some more water, and disinfecting wipes, wet catfood, large size laundry detergent, paper towels and toilet paper and a cheap bottle of red blend Beringer wine for $5. Drinking it now. Its like a wine spritzer, very mild. Also with water to drown it out. It is spring break but have some notes and homework to catch up on and flash cards to make. Not tonight, though, because my creative night, going to put out more snazzy blogs and promotions and link the blogs to my recent video of massage therapy healing a shoulder injury. At work I had 3 creamers I didn't note above, in my 4th cup of coffee. I had 3 cups of coffee before going to work this morning. I had a bowl of pasta I made before massageing the roommate. I posted it to my janis@themassagenegotiator blog and youtube site and also on instagram in bits and pieces at janisharris1982. 'The Roommate Massage that Heals' is the youtube search. Had 2 glasses of wine by 9:33 pm. Had a bowl of pasta after massaging the roommate. He laid on the table with the hot packs soaking on his chest while I ate, then disinfected and laundered the linens and hot pack covers and put the items back in the work truck other than the hydocollator and hot packs in the laundry. Made a new blog on memory and massage helping with it and if someone forgets a special occasion to get regular massage to improve their memory. Then entered in the data of the day's diet into this database and notes for the day. Went to bed around 11 pm after a 3rd glass of wine. Menstruation is still light but shedding the lining. </t>
  </si>
  <si>
    <t>parmesan cheese shredded 1/4 cup serving Winco</t>
  </si>
  <si>
    <t>Wendys large center cut fries no salt added https://fastfoodnutrition.org/wendys/natural-cut-fries/large</t>
  </si>
  <si>
    <t>85 degrees celsius black forest cake, http://www.85cbakerycafe.com/wp-content/uploads/Nutrition-Facts.pdf</t>
  </si>
  <si>
    <t>nacho cheese sause about 1/4 cup Wendy's brand, generic nutrition: https://www.calorieking.com/us/en/foods/f/calories-in-sauces-cheese-sauce-ready-to-serve/3llnQ7rURJaqfD_4L7nhqQ</t>
  </si>
  <si>
    <t xml:space="preserve">bowl pasta 4-11-21 recipe
(686.17	21.42	4.83	25.00	103.75	7.17	663.33)
3/4 avocado some was cut off that held black in it
(241.5	21.75	3	3	12.75	13.5	10.5)
1/4 cup parmesan shredded cheese Winco
(110	7	4	10	2	0	330)
bowl pasta 4-11-21 recipe
(686.17	21.42	4.83	25.00	103.75	7.17	663.33)
1/4 cup parmesan shredded cheese Winco
(110	7	4	10	2	0	330)
wendys lg french fries
(480	23	4	7	63	6	370)
nacho cheese sauce 4 tbs
(76	5.8	2.6	2.9	3	0.2	361)
black forest cake slice 85 degrees celsius
(330	14	11	5	44	0	60)
2 tbs sourcream
(60	5	3.5	1	2	0	15)
3 coffee creamers
(35	1.5	0	0	5	0	15)
=686.2+241.5+110+686.2+110+480+76+330+60+35
=21.4+21.8+7+21.4+7+23+5.8+14+5+1.5
=4.83+3+4+4.83+4+4+2.6+11+3.5+0
=25+3+10+25+10+7+2.9+5+1+0
=103.8+12.8+2+103.8+2+63+3+44+2+5
=7.17+13.5+0+7.17+0+6+0.2+0+0+0
=663.3+10.5+330+663.3+330+370+361+60+15+15
</t>
  </si>
  <si>
    <t>Woke up at 630 am by alarm and laid in bed until 730 am, feeling groggy from the wine last night and its cloudy outside. Cloudy days make me tired. Got up and made coffee and fed the babies and gave Mr. Growly his meds, then noticed the garbage disposal wasn't turning on with the switch, the roommate noticed it last night. Likely the workers of the landlord crossed the wrong wires and turned off the power to the garbage disposal switch. Dave said Michael will be here today probably all day and he can look at it and fix it. I have a client at 11:15 am then work from 3-10 pm today. Spring break but going to catch up on notes and reading. I have a 9:40 am tomorrow and a 12 pm appointment. Want to put the hydrocollator in the van early in the morning. I got a car wash on my Charger last night before going to the Winco to get groceries or more household goods. I haven't showered in 2 days and will do that today before my 11:15 am appointment. Steve the younger one and Micheal the older one but both older than mid 50s, were trying to figure out the plug. I cleaned up all the old mouse mess from a year or two ago, because we couldn't figure out how to remove the drawers. They removed them. I cleaned it while Steve was waiting for Michael to get back from Home Depot. They tried figuring it out from about 830 am past 9 am and I have to take a shower to get to my client by 1115 am. Its kind of making me sick, they don't wear masks, so I am and I smell ash stuck to it from the guys smoking lingering on them. Haven't had a BM yet, and would like to before they start hammering and drilling and banging on the walls. And before taking a shower. Had a small BM before leaving to my client's house around 10:50 am. Got there a little after 11 am. Her daughter was leaving for Six Flags with her bf. Still cloudy out, when I came back, there were 3 trucks in the alley, the workers and landlord's and somebody else's truck. I parked behind one, before leaving for work around 2 pm the plan. Had my 4th cup of coffee at that time and the sun was coming out some. I looked at how much a harp player would cost for 3 hours in Corona, CA while waiting for client to get ready around 1115 am for June 21 6-9 pm on a Monday. To throw a nonprofit event through gigsalad.com. Got my business cards in today. They were on the front lawn, not even on the steps. Not sure if it was USPS or fedEx or who did that but got them. Measurements taken after wearing 31" waist trimmer 10:30 am-1:45 pm and before lunch pasta. Had my 5th cup of coffee at work with 3 creamers to waken up a bit, felt exhausted or run down and tired. It worked. For dinner, since I didn't pack one, I had a piece of black forest cake from 85 degrees and a large french fries from Wendy's with 2 sides of sour cream and a side of nacho cheese sauce. I gave my coworker a business card, Jenny, who speaks Mandarin and understands some Cantonese for a potential client named Amanda who called around 6 weeks ago asking if I had any massage therapists that speak Chinese. She was nice, both of them. Jenny will let me know what she called about like if she wanted me to hire massage therapists who only speak Chinese or wants a mobile massage therapist who speaks Chinese. Had a full schedule which is great. My tomorrow morning client has to reschedule but I will find out when. I see my other client tomorrow with the R knee aches and have been feeling some R knee aches myself today and yesterday that hit while in session. Got home around 1030 pm. I am expecting my window decal to arrive some time this week, I thought today or tomorrow but it might be by the 16th. I have to check my email.Went to bed around 1115 pm</t>
  </si>
  <si>
    <t>lindt chocolate stick approx 3 balls in a stick size, https://www.calorieking.com/us/en/foods/f/calories-in-chocolate-lindor-milk-chocolate-truffles/vuOIO2RxRHOzJvHWtJxfRg</t>
  </si>
  <si>
    <t>welchs fruit snacks a lg bag approx 4 snack sized bags worth, https://www.calorieking.com/us/en/foods/f/calories-in-fruit-snacks-fruit-snacks-mixed-fruit/Ts5u5UOiQhWa6BrpDtDpdw</t>
  </si>
  <si>
    <t>2 bowls pasta
(1372.33	42.83	9.67	50.00	207.50	14.33	1326.67)
2 servings bluecheese
(220.00	18.00	10.00	12.00	2.00	0.00	520.00)
1/2 cup parmesan shredded cheese
(220	14	8	20	4	0	660)
1 serving chocolate protein powder
(130	2	0	18	9	2	320)
2 cups Almond Breeze almond milk
(60	5	0	2	2	2	340)
2 bananas
(210	0	0	2	54	6	2)
2 strawberry poptarts
(400	10	5	4	74	1	240)
1/2 stick of Lindt chocolate or about 3 balls worth
(220	17	12	2	16	1	35)
1 lg bag of fruit snacks
(519	0	0	4	124	0	60)
=1372.3+220+220+130+60+210+400+220+519
=42.8+18+14+2+5+0+10+17+0
=9.67+10+8+0+0+0+5+12+0
=50+12+20+18+2+2+4+2+4
=207.5+2+4+9+2+54+74+16+124
=14.3+0+0+2+2+6+1+1+0
=1326.67+520+660+320+340+2+240+35+60</t>
  </si>
  <si>
    <t xml:space="preserve">Woke up at 6:15 am but stayed in bed until after the roommate got home and my alarm went off at 630 am. Made the food for the babies and gave Mr. Growly his meds, my coffee and the roommate had already cleaned their pet messes before I got out of bed. Had to pee and still on my rag a little. Light blood or diluted blood. Spotty. Had a lg BM after 2nd cup of coffee. Had 3 cups of coffee, worked on a covid19 database analysis from some samples I downloaded and had before starting school but never got around to. I uploaded it to its own github repo and rpubs as a document. Just exploratory and finding genes with more than 3 fold or less than 40% down grade expression as well as copy number variations and compared to the other blood samples of diseased PBMCs after my client. My client missed a week and I got to her at noon on time. The workers were here as the norm for now until they are done about a month and a half was told by roommate. Client got an hour and a half because we're splitting one hour she missed due to vacation planned ahead of time and also loves the hot packs, we worked her knee. She thinks its much better. Dried the hot pad covers before next client and worked on analysis some more for covid 19. Didn't get around to studying or making flashcards or answering the study sheet. I need to stop by Target on the way back from my client later at 5 pm in South Corona because I need printer ink. I got some stuff at Stater Bros earlier. Like more pads, becuase I am still bleeding and stuff for a protein shake, just almond milk and bananas. Had a protein smoothie when I came back. I had a bowl of pasta for breakfast with bluecheese and parmesan shredded cheese. The cheese is tart and even after brushing my teeth, when I breathe and talk in my mask I smell sour cheese like its the clients feet or something, but its my breath from the blue cheese stuck to my face mask. Its kind of gross the smell like stank feet. Got home after client. Doing great with hot packs, and massage gun, no hot stones today. I was tired on the way there and slightly early so I stoppen in the CVS on her exit and got a lindt chocolate stick and bag of the green Welch's fruit snacks and ate all the fruit snacks and half the lindt chocolate, gave the other half to the babies when I got home. Had pasta when I got home with bluecheese and parmesan cheese shredded. My belly kind of ached. Not sure why. Still on my rag, the bananas also weren't all ripe, some rotten ends taken off and the rest was green yellow slightly but more yellow on the peel. Inside firm and new but slightly too new. My knee has been bugging me, the compression socks are pulling fluid above it and I haven't worked out in 6-8 weeks. I got my window decal and it looks nice but need a car wash to put it on. Hopefully no bubbles, not sure how to get rid of the bubbles. maybe put on wet with a squeegy. Don't have one but maybe get one at Dollar tree store. I had a couple strawberry poptarts after taking a swig of this cheap vodka I still have. After it being a really strong taste that burned and having stomach aches. Maybe a little medicinal and force me to drink water. Had the laundry from both clients in the wash on spin and then put into the dryer. Fed allie cat, but the cat thats eating it isn't the regular cat it hides when I come out to see it. Not sure what happened to the black cat, but it was injured and alive for a few weeks seemed better. It does have other places it goes to that feed it but hopefully it is ok. Its a sweet cat. </t>
  </si>
  <si>
    <t xml:space="preserve">last bowl of pasta 4/11/21 recipe
(686.17	21.42	4.83	25.00	103.75	7.17	663.33)
serving blue cheese
(110.00	9.00	5.00	6.00	1.00	0.00	260.00)
1/4 cup parmesan shredded Winco cheese
(110	7	4	10	2	0	330)
1 serving protein powder
(130	2	0	18	9	2	320)
2 cups almond breeze milk
(60	5	0	2	2	2	340)
1.25 bananas
(125	0	0	1.25	32	3.75	1.25)
2 oranges
(162	0	0	4	42	8	4)
2 strawberry poptarts
(400	10	5	4	74	1	240)
4 coffee creamers
(140	6	0	0	20	0	60)
6 corn tortillas Guerrero
(300.00	3.00	0.00	6.00	63.00	6.00	60.00)
2 servings blue cheese
(220.00	18.00	10.00	12.00	2.00	0.00	520.00)
1/2 cup mozz provolone G&amp;G brand shredded cheese
(180.00	12.00	7.00	14.00	4.00	0.00	400.00)
=686.17+110+110+130+60+125+162+400+140+300+220+180
=21.42+9+7+2+5+0+0+10+6+3+18+12
=4.83+5+4+0+0+0+0+5+0+0+10+7
=25+6+10+18+2+1.25+4+4+0+6+12+14
=103.75+1+2+9+2+32+42+74+20+63+2+4
=7.17+0+0+2+2+3.75+8+1+0+6+0+0
=663.33+260+330+320+340+1.25+4+240+60+60+520+400
</t>
  </si>
  <si>
    <t>Woke up at 5:30 am, restarted the laundry in dryer another cycle then washed my laundry. Worked on the Covid 19 analysis just adding in textual information as a better understanding of gene therapeutics and shortened some display data. The usual routine, Mr Growly's meds, feed babies, 1 pet mess to clean up, my coffee. Had a lg BM after 1st cup of coffee, had a 2nd cup of coffee finishing up covid 19 analysis edit of additional content, then folded laundry and put my personal laundry in dryer. Took measurements before breakfast around 7:27 am. Still a little spotty on rag, so marking it as menstruation. Have 2 clients separate locations tonight, edge of Corona Riverside at 5 pm 1 hour and a 1 hour in Yorba Linda edge of Corona other end, no traffic normally around that time. Both MLD type massages. One cancelled by 2pm and rescheduled for tomorrow at 7 pm. She is busy. The other is prepaid and will likely be getting her massage at 5 pm. At lunch I had 2 oranges and a protein shake, brought 2 bananas, but they look gross. The ends are brown and only ripe in the middle, so it was like eating 1 banana after taking off the ends. Had 4 creamers in my 4th cup of coffee, had the 3rd cup before work. Had 2 strawberry poptarts before leaving to my 5pm appointment. Got home, left hydrocollator in the car running off little battery. Will last through the night. Still spotty on my rag today. not a bunch of liquid. no clots. Finished client's notes then sent them to her with receipt. Had 3 quesadillas with bluecheese and the mozzProv blend of Good&amp;Gather brand. The burnt bluecheese tastes like mozzarella cheese sticks. Ate that before completing the notes. It was a little after 8 pm at that time. Linens and covers in the dryer too. Went to bed after sending out client SOAP notes, didn't want to start studying because I was tired and wouldn't study well. That was about 9-930 pm.</t>
  </si>
  <si>
    <t>Woke up at 520 am, ambulatory alarms out side, but was up earlier to tell Mr. Goody to shut up around 430 am for barking because Mr Growly wouldn't let him on the bed. Got out of bed, because I plan on studying. I have a couples massage at 1 pm in Corona, and then my rescheduled MLD in Yorba Linda at 7 pm. I left hydrocollator in the van and ran the vehicle about 45 minutes then left it running off 2nd battery. I input some analysis on my covid 19 analysis on a gene related to Down Syndrome VEGF and the DSR1 genes in severe cases. The VEGFC gene of the VEGF family showed 50% up regulation in severe cases. It is the vascular endothelial growth factor that causes tumors to grow. Down Syndrom people seem to be immune or have low cases of cancer. Then I wrote in the genetics homework questions to study for and the Exam 2 questions to study for. Didn't get to Chemistry yet. Plan for Sat/Sun as they aren't booked. Not taking any new clients after work those days. The landscaping guy Eddie was in the basement when I went to turn off my engine before 8 am or at 8 am, I was cooking another pot of red fennel penne/bynd meat/3 bell peppers no olive oil with prego 3 cheese sauce. I smelled cigarette smoke and didn't see him smoking. Assumed the worker Steve was with him in basement. They didn't park their truck because last Thursday they had to keep moving it for the garbage trucks for garbage day. They aren't making that much noise next door, all in the basement. Took the dogs out to pee with them working back there and Princess bit at Eddies R calf. She doesn't like him. I answered the ch6 homework questions and had 3 cups of coffee by 9 am. I had a couple strawberry poptarts, then entered in this data. Didn't take my measurements. But ate a bowl of the pasta that makes about 4 bowls of penne, with 2 tbs sourcream and 1/4 cup shredded parmesan Winco cheese, shared with the  babies after turning off van engine and letting hydrocollator run off 2nd battery around 8 am. Took my measurements at 10:15 am. The roommate got up to look and see where they were and pee. I think today is first day not spotty or bloody, just liquid discharge, the norm a few days after spotty it lasts. Used last of protein powder yesterday, only 1/4 serving left so threw it out. Went to Target after clients and got protein powder, wanted printer ink but they were all out, also picked up some bananas and threw out the nasty ones from Stater Bros off Hidden Valley I bought the other day that had brown dark brown at ends inside once peeled on all but 2 not touched. Also got a new small digital clock and AAA batteries for it. Then put that  laundry in the wash and dryer when I got home, sent out their receipt and SOAP notes and left for my 7 pm at 630 pm. Got there 15 minutes early as usual no traffic. I had a bowl of pasta before the 1st set of clients around 12 pm, then another before the last client for the day around 5 pm and 2 strawberry poptarts after that around 6 pm. Didn't eat when I came home, because wasn't feeling like a 4 th bowl of pasta. But considering it, but its almost 10 pm. The time went by fast. I have a couple's tomorrow in South Corona they're a nice couple. I referred her to my other client with knee arthritis and she likes the product this client markets for. Had a few people fill out consent forms the other day and this morning but not book an appointment. I emailed them both separately about when they would want a massage and a link to the booking site. One client responded back or potential client.  Had my 4th cup of coffee before leaving for my 7 pm client around 4:30 or 5 pm. After eating the 3rd bowl of pasta.</t>
  </si>
  <si>
    <t>Gardein soy meat substitute grounds, serving size 3/4 cup, 4.5 per bag</t>
  </si>
  <si>
    <t>barillaGlutenFreeSpaghetti_2oz, servings 7</t>
  </si>
  <si>
    <t>Birds Eye Brocolli frozen, servings 1 1/3 cups, 3.5 servings per pkg</t>
  </si>
  <si>
    <t>pot spaghettie, 4-16-21 recipe, 2 pkg barilla gluten free spaghetti/Gardein soy meat substitute grounds,pkg frzn brocolli, 2 yellow bell peppers, no added oil, 1 jar prego 3 cheese sauce</t>
  </si>
  <si>
    <t>bowl of spaghettie 4-16-21 recipe, makes about 6 bowls</t>
  </si>
  <si>
    <t>3 bowls of 4-14-21 pasta recipe
(1227.75	66.375	18.75	77.25	78.375	16.5	2985)
1/4 cup parmesan cheese regula Winco
(60.00	4.50	3.00	6.00	0.00	0.00	300.00)
6 tbs sour cream 
(180.00	15.00	10.50	3.00	6.00	0.00	45.00)
4 strawberry poptarts
(800.00	20.00	10.00	8.00	148.00	2.00	480.00)
=1227.75+60+180+800
=66.38+4.5+15+20
=18.75+6+3+8
=77.25+0+6+148
=78.375+0+0+2
=16.5+0+0+2
=2985+300+45+480</t>
  </si>
  <si>
    <t>penne 4-15-21 recipe similar to 4-1-21 recipe but 3 bell peppers 2 green, 1 red, pkg penne, pkg beyond meat, prego 3 cheese, no olive oil, no broccoli</t>
  </si>
  <si>
    <t>bowl of 4-15-21 recipe, makes 4 bowls</t>
  </si>
  <si>
    <t xml:space="preserve">bowl of pasta 4-15/21 recipe
(409.25	22.125	6.25	25.75	26.125	5.5	995)
2 tbs sourcream
(60	5	3.5	1	2	0	15)
1/4 cup mozzProv G&amp;G brand
(100	6	4	8	2	0	280)
1 serving pea protein
(120	2	0	18	6	1	360)
1 avocado
(322	29	4	4	17	18	14)
1 banana
(105	0	0	1	27	3	1)
1 cup Almond Breeze almond milk
(30	2.5	0	1	1	1	170)
3 coffee creamers
(35	1.5	0	0	5	0	15)
bowl of spaghetti 4-16-21 recipe
(723.17	9.17	0.42	68.00	88.46	20.38	1627.33)
=409.25+60+100+120+322+105+30+35+723.17
=22.125+5+6+2+29+0+2.5+1.5+9.17
=6.25+3.5+4+0+4+0+0+0+0.42
=25.75+1+8+18+4+1+1+0+68
=26.125+2+2+6+17+27+1+5+88.46
=5.5+0+0+1+18+3+1+0+20.38
=995+15+280+360+14+1+170+15+1627.3
</t>
  </si>
  <si>
    <t>Carls Jr stawberry cheesecake</t>
  </si>
  <si>
    <t>Carls Jr med french fries (ordered a small but they were the size of a medium)</t>
  </si>
  <si>
    <t>Betty Crocker Supreme Triple Chunk brownies, 16 servings per box, 1 egg 1/4 cup veg oil 1/4 cup water</t>
  </si>
  <si>
    <t>2 brownies, betty crocker made 12 brownies serves 16</t>
  </si>
  <si>
    <t xml:space="preserve">2 bowls pasta 4/16/21 recipe
(1446.33	18.33	0.83	136.00	176.92	40.75	3254.67)
3 1/4 bananas
(341.25	0	0	3.25	87.75	9.75	3.25)
1/4 cup parmesan cheese
(20	1.5	1	2	0	0	100)
1 serving pea protein
(120	2	0	18	6	1	360)
1 cup almond milk
(30	2.5	0	1	1	1	170)
Carls Jr small/med french fries
(300	15	2.5	3	39	4	600)
Carls Jr stawberry cheesecake
(320	17	10	7	35	1	250)
betty crocker 2 brownies
(480.00	6.67	4.00	2.67	69.33	2.67	226.67)
=1446.33+341.25+20+120+30+300+320+480
=18.33+0+1.5+2+2.5+15+17+6.67
=0.83+0+1+0+0+2.5+10+4
=136+3.25+2+18+1+3+7+2.67
=176.92+87.75+0+6+1+39+35+69.33
=40.75+9.75+0+1+1+4+1+2.67
=3254.67+3.25+100+360+170+600+250+226.67
</t>
  </si>
  <si>
    <t>Woke up at 530 am by alarm, input data into this data base and corrected the pasta recipe counts for wrong date and calculated nutrition for yesterday and day before yesterday. Cleaned up the pet messes to start, fed babies and gave Mr. Growly his meds, made my coffee first, had a lg BM when done inputing data for yesterday and day before yesterday data edits and before 2nd cup of coffee was finished. No blood for rag for last 2 days, I skipped a cycle however and it has been close to 30 days for a new cycle. because that last cycle never ended. I normally would be starting my rag around now. Few females I massaged yesterday were on their rags yesterday. Had to restart the dryer and folded clothes before eating a bowl of pasta from yesterday and showering for work. Have to leave by 725 am at latest. Measurements taken after lg BM and before eating pasta. No time after folding clothes. Packed supplies for protein smoothie later. Will eat a banana for breakfast instead. Did that and had 2 strawberry poptarts then for lunch had a 3rd cup of coffee my own instant, brought my own no creamer. And a smoothie with 1 1/4 bananas, took off some soft wet parts and ends of 2 bananas that I discarded, 1 serving vanilla Olly protein powder, and 1 cup of almond milk. Then on the way to my client's I was tired and stopped at the Carls Jr drive thru for some med french fries and a slice of stawberry cheesecake. When I got home I made a bowl of pasta after disinfecting supplies and putting linens in laundry and bringing hydrocollator inside. The client was nice, first massage, a bunch of cute little dachsunds, her brother's bday but she didn't tell anybody, so they were surprised she was getting a massage, her whole family there. Her ubns ached from repetitive copy filing printing at work that wasn't used to. Very tight L arm/shoulder, ub, LB. But was relieved and relaxed and less tense after wards, signature occipital neck stretch massage supine. Had 2 hot packs on her to start and massaged arms and then used massage gun on ubns and ESM. She felt much better she said and loved the massage. I need to start my chemistry homework and it is early 630. Want to read through the ppt first. then do it. My knee aches consistently for days now. I do my work standing and prop my R leg up but knee has been swollen and aches when I do.  I poured a 1/4 cup that cheap vodka 80 proof in a mug and diluted with water before entering in my nutrition for the day and drank it by 7pm before uploading this. Now will start reading the power point slides for chapter 7. Dilution is key, but not for this chapter, thermodynamics. Its all interesting, had to unwind or wound up with alcoholic humor only I get. Few people do. I try telling jokes at work and people look at me like I'm weird. So this guy I know since he was an extern at Massage Green back in 2016-2017. I know he likes It the clown Pennywise and the movie was out. I was massaging someone and thought, if I was a dude, what a great marketing gimmick, to have a photo of the It clown in a Ring doorbell offering his massage table in full clown costume and smiling, with a slogan that says, 'You won't get a clown from us...unless you want one' and told the dude that while washing my hands and a few witnesses and they all stared at me, and nobody laughed but me. And I thought it was funny. Because it would be funny. Whatever. They silently laughed inside. Thats what it was. But it would be a nice marketing gimmick, for a dude. Some people like creeping out their buds for fun. Why not? Studied but made some brownies that were in the pantry, I bought before dieting. Had the ingredients and a sweet tooth. Ate two of those and a banana. Finished reading/reviewing the ppt Ch7 slides but didn't start the hw bc tired. Bed by 10 pm.</t>
  </si>
  <si>
    <t>Woke up at 5:45 am, cleaned up a bunch of pet messes, made Mr. Growly his heart meds with food for all babies, drank my 1st cup of coffee, started typing in my hw for genetics ch6 and ch9 into word, drank another cup of coffee. Had a lg BM after talking to the roommate who wants me to schedule in his partner, Ronnie's, dog grooming Monday for him before I go to work. The landscaping guy is already outside around 6:45 am. Finished the hw typed in and saved as pdf to turn in, turned it in, due in 3 days. Need to do ch7 hw in chemistry. Made no notecards. Also, emailed a potential new client to schedule in this Saturday at 3 pm, lives in Corona, ubm only, 1st massage for ubns tension. I requested she hold the appointment with a credit card as I just unblocked it for her only due to it previously being blocked off to study. I will see if she secures the service with a credit card, and if not, then I will study instead. It is a requirement. I am taking a break from the compression socks too, because they seem to push up fluid above my R knee that causes it to ache like I have arthritis. Seeing if it is the compression socks or getting soft from not working out for 8 weeks. We'll see. I have a 3 hour couples massage at 5 pm. I want to put the hydrocollator in the van before leaving for work. Measurements taken after my lg BM and before breakfast. Packing a smoothie for lunch, eating the last of the 4-15-21 recipe penne pasta for breakfast with sourcream and parmesan cheese. The smoothie had an avocado, banana 1 cup almond milk and 1 serving vanilla Olly protein powder. I went to the car wash on my break and got my van washed, then after work traffic made me late 10 minutes, but I told the clients that when I left Chino to get to south Corona. After work I got some Gardein soy meat substitute and made spaghetti with 2 pkgs of the spaghetti Barilla gluten free, 1 pkg the Gardein soy, 2 yellow bell peppers, no olive oil, and 1 jar prego 3 cheese sauce. I had the linens in the laundry. And got the 2 new hot pack covers I ordered so washed those too. Got a new client tomorrow after work in Corona. My knees didn't feel too swollen without the compression socks on, but now are feeling it at 10:28 pm. I had a bowl of the pasta after I made it and shared with the babies with parmesan cheese about 3 tbs. Then made soap notes for clients and receipt. I only had 3 cups of coffee today, but might make it 4 to stay up to do SOAP notes and to maybe do some homework in chemistry, ch7 is due 11:59 pm Sunday. Went to bed around 11 pm.</t>
  </si>
  <si>
    <t>haribo gummy bears 9 servings</t>
  </si>
  <si>
    <t>hersheys chocolate almond and toffee bar 4 servings per Xl bar</t>
  </si>
  <si>
    <t>1 BOTTLE WINE ROSE GENERIC 3 GLASSES, https://www.calorieking.com/us/en/foods/f/calories-in-wines-cabernet-franc-red-wine-10-alc/-kpHuBQISOKXQPyfyKIobA</t>
  </si>
  <si>
    <t>1 slice pita bread, https://www.calorieking.com/us/en/foods/f/calories-in-bread-rolls-buns-white-pita-khoubiz-pocket/gVZwM5UNRSGaUF9qX5K2qg</t>
  </si>
  <si>
    <t>Woke up at 4:30 am and was going to go back to bed but got out of bed at 4:45 am and did the normal routine, cleaned a pet mess, made Mr. Growly his meds, fed the babies, made my coffee, then prepped the notebook for ch7 hw in chemistry and looked at some stuff on the headlines of msn or yahoo then logged into masteringChemistry. We had spring break, and I completely forgot about the other lab that is due I thought tomorrow, but the 20th. The virtual gas law lab. The hw ch 7 is due first and worth 10% and the lab is worth 25% of grade. I will do hw first, bc we lose 20% off the answers not completed. Had a lg BM after 1st cup of coffee around 6 am, then had 3 cups of coffee after bowl of pasta made the other day 4-16-21 recipe. Got up to #7 of 20 questions on hw7. Took measurements after eating pasta and 3 cups of coffee and doing dishes and folding linens from yesterday before eating pasta. Had 2 brownie cupcakes before 3rd cup of coffee and shared with babies all the brownies and pasta with 2 tbs parmesan cheese. Measurements taken at 745 am. I didn't eat the protein shake I made for lunch, I ate the falafel platter from the pizzita. It was delicious, more so than hummus republic. A client told me it would be. It was. It was more vinegar pickle back taste, but delicious, I am going to mark this the same as the falafel bowl from hummus republic. Then after work I worked on my roommate and used a bunch of my add-on services, cupping, hot stones, hot packs, lymphatic drainage with dry brushing, aromatherapy, massage gun, and regular swedish massage, his back is much more dense than last week. He doesn't pay, but offers the video to promote massage health and wellness benefits. I drank some Sofia wine I got at the Rite Aid on the way back home, a rose. I usually don't like them. There was a history of math reference to sofia the math figure who I don't recall what she found or discovered, but her name was Sofia and she had  a relationship with Voltaired or something like that and died young. Too bad for her. I liked her of course because she studied by candle light and I really have no idea what she discovered but she had some significance to be noted in history of the subject of history of math. So I picked that wine and drank the bottle by  8 pm. My ch 7 chemistry homework isn't due until tomorrow. But I have to take a few dogs to the groomer's that are the previous employer's dogs. They aren't groomed and he complained as he is a partner in quotes becuase for whatever reason the dude that paid him money and good money needed him to help with his social security and payment history in securing his loan or mortgage real estate offices. I packed a smoothie for lunch but didn't drink it, I went to Pizzita and got a falafel platter, using the same nutrition facts as hummus republic, the hummus, tziki sauce, cucumbers, green lettuce and falafels in a persian rice basalti type not gluten free and a slice of their baked pita bread like  a pizza crust. Started spotting in mid-afternoon. So, another menstruation mark. I had a bottle of the Sofia brand rose wine about 3 glasses and a lg bag of hasbro gummie bears. Went to bed around 10 pm.</t>
  </si>
  <si>
    <t xml:space="preserve">2 bowls pasta 4-16-21 recipe
(1446.33	18.33	0.83	136.00	176.92	40.75	3254.67)
1/4 parmesan cheese
(40.00	3.00	2.00	4.00	0.00	0.00	200.00)
1 falafel bowl
(1562	46.5	4	91.5	202	74.5	3955)
1 slice pita bread
(165	0.7	0.1	5.5	33.4	1.3	322)
1 bottle rose wine, 3 glasses
(377.00	0.00	0.00	0.30	10.90	0.00	0.00)
2 brownies
(480.00	6.67	4.00	2.67	69.33	2.67	226.67)
large hasbro bag gummie bears
(900	0	0	18	207	126	45)
=1446.3+40+1562+377+480+165+900
=18.33+3+46.5+0.7+0+6.67+0
=0.83+2+4+0+4+0.1+0
=136+4+91.5+0.3+2.67+5.5+18
=176.92+0+202+10.9+69.3+33.4+207
=40.75+0+74.5+0+2.67+1.3+126
=3254.67+200+3955+0+226.67+322+45
</t>
  </si>
  <si>
    <t xml:space="preserve">Woke up at 345 am, finished the homework once started by 830 am. Took a while on the problems, got two wrong, and the last question didn't have the standard enthalpy of formation for a couple substances or the correct one for water in liquid state. So they were designed to be incorrect. Got 87.5% on it. But its on time. My ankles are super swollen. So swollen my feet hurt. I have an 1115 am client for MLD, and had to take the roommate's friend's two bougersoi dogs to the groomers. They are adorable. Need to pull some cash out to pay for their service. I ate a bag of gummie bears last night, a large one. I have to recalculate the nutrition. Must have had a lot of sodium. Those falafels and hummus are loaded with sodium. Mr. Growly didn't eat his breakfast with his meds or the portion of my spaghetti I share. I had a reg BM after 3 cups of coffee. Didn't have any more coffee, but no naps. I have to pick up the dogs after my client and have cash. Also, work tonight. And that lab is due tomorrow and an exam in genetics this week. Had a bowl of pasta rushed with parmesan cheese because the roommate is throwing a temper tantrum about me taking the dogs to the groomers around 830 am when they don't open until 9 am. Took a shower when I got home after fiddling with the Garmin dashcam in Charger that isn't working now. Tried troubleshooting it, but its not staying on record mode keeps going to homescreen and restating the agreement. I turned it to look at a gray SUV earlier that was speeding towards me in the lanes a mile away and didn't slow down to show I was in the lanes already if the asshole hits me. I was sitting there for a good 10-15 seconds already. Assholes like that speed up to kill people with a T bone thinking they have the right of way. Right of way to avoid a collision and murdering people that are already in the road mother fucker! He didn't hit me or her, couldn't tell it was around 8:55 am turning onto 6th street from fullerton street blocking the nearest lanes perpendicular while the other far lanes going opposite direction get out of the way. After my client's massage and getting the cute little french bulldog Ozzie and cute pomeranian Benzo from the Groomers with the cash on hand plus the 60 and 3.50 fee at the circle K by client's house to pay for the service. I went home and ate a bowl of pasta with parmesan cheese and 2 avocados. Last of them before they get rotten. And had my 4th cup of coffee while filling out receipt and SOAP notes for my earlier client. Left for work after 2 pm. I have been seeing the cat I feed this week which is great, I thought she disappeared. Good to know she's safe. Her leg is better too. She had a limp last I saw her for 2 weeks. I rescheduled for the twice shot pfizer and still got in tomorrow at 930 am and around May 11th at 9 am. I ate a poki bowl double salmon, 2 servings cream cheese or about a 1/4 cup of it, edemame 1/4 cup, ginger, pineapples, cucumbers, brown rice, with the ponzu sauce, it doesn't have soy sauce or teriyaki sauce in it is what the server said, a little bit of wasabi but I din't eat much of it, maybe a pinch of it, but still had most of it there. Helped knock off how tired I was. I didn't have anymore coffee at work at any time. Got home and started the laundry. </t>
  </si>
  <si>
    <t>double salmon poki bowl with ponzu sauce instead of teriyaki sauce in cell A177 ingredients</t>
  </si>
  <si>
    <t>ponzu poki bowl sauce, https://www.calorieking.com/us/en/foods/f/calories-in-sauces-ponzu-or-ponzu-lime/7IfSf4aVS4WoaU11NMCwnA</t>
  </si>
  <si>
    <t xml:space="preserve">2 bowls pasta
(1446.33	18.33	0.83	136.00	176.92	40.75	3254.67)
1/4 cup parmesan cheese
(20	1.5	1	2	0	0	100)
2 avocados
(644.00	58.00	8.00	8.00	34.00	36.00	28.00)
double salmon poki bowl 
(578.5	11.075	2.15	17.7	101.75	8.25	1731)
creamcheese 1/4 cup
(102.00	10.20	6.40	2.20	0.80	0.00	86.00)
=1446.33+20+644+578.5+102
=18.33+1.5+58+11.08+10.2
=0.83+1+8+2.15+6.4
=136+2+8+17.7+2.2
=176.92+0+34+101.75+0.8
=40.75+0+36+8.25+0
=3254.67+100+28+1731+86
</t>
  </si>
  <si>
    <t>quaker rice cakes buttermilk ranch, 3 servings per bag, bag:</t>
  </si>
  <si>
    <t>quaker rice cakes sweet &amp; spicy chili, 3 servings per bag, bag:</t>
  </si>
  <si>
    <t>berry medley winco frozen brand, 7 servings per bag, 3/4 cup is a serving:</t>
  </si>
  <si>
    <t xml:space="preserve">blueberries frozen winco brand, 5 servings per bag, 1 serving is 1 cup: </t>
  </si>
  <si>
    <t>frozen bag mangos winco brand, 3.5 servings per bag, 1 serving is 3/4 cup:</t>
  </si>
  <si>
    <t>almond breeze milk unsweetened, serving is 1 cup and 8 per carton, 1 cup:</t>
  </si>
  <si>
    <t>cauliflower pizza marguerite winco, 2 servings per container</t>
  </si>
  <si>
    <t xml:space="preserve">2 servings protein
(240	4	0	36	12	2	720)
1/2 cup mixed berries frozen
(40.00	0.33	0.00	0.00	10.00	3.33	0.00)
4 cups almond milk unsweetened
(120	10	0	4	4	4	680)
1/3 cup blueberries frozen
(23.33	0.33	0.00	0.00	6.33	1.33	0.00)
1/3 cup mangos frozen
(40.00	0.22	0.00	0.44	8.89	0.89	0.00)
6 corn tortillas Guerrero
(300.00	3.00	0.00	6.00	63.00	6.00	60.00)
1/2 cup mozzarella cheese winco brand
(160.00	10.00	7.00	12.00	2.00	0.00	380.00)
1 bag rice cakes buttermilk ranch
(380.00	14.00	2.00	6.00	60.00	3.00	950.00)
1 bag rice cakes spicy &amp; sweet chili
(380	14	1.5	6	61	3	960)
8 tbs sourcream winco brand
(240.00	20.00	14.00	4.00	8.00	0.00	60.00)
2 blueberry organic waffles left in freezer about a month ago
(190	7	1.5	4	29	2	340)
=240+40+120+23.3+40+300+160+380+380+240+190
=4+0.3+10+0.3+0.2+3+10+14+14+20+7
=0+0+0+0+0+0+7+2+1.5+14+1.5
=36+0+4+0+0.44+6+12+12+6+6+4+4
=12+10+4+6.33+8.89+63+2+60+61+8+29
=2+3.33+4+1.33+0.89+6+0+3+3+0+2
=720+0+680+0+0+60+380+950+960+60+340
</t>
  </si>
  <si>
    <t>Woke up at 530 am not by alarm, cleaned up a bunch of pet messes, made my coffee and fed the babies with Mr. Growly's medicine in his bowl. He ate his food today. Put clothes in the dryer and linens to start after spinning them from last night. I was going to immediately start on the lab, but did stuff online like bought a whole genome DNA kit for $299 from nebula genomics online and paid the water bill due tomorrow. Also, verified my pfizer vaccine today at 930 am and checked into the Guardian app. Had a 2nd cup of coffee and reg lg BM before finishing the coffee, then took measurements around 650 am. I want to shower before going to campus. My ankles weren' t too swollen this morning and knee didn't feel swollen from compression socks pushing the fluid up yesterday above knee. They are starting to swell now as I type. I wasn't spotty yesterday or today just two days ago spotty dry blood, so I will unmark today and yesterday for menstruation that I wasn't still shedding bloody stale uterine lining or new cycle lining.  Had a protein shake for breakfast to maintain weight, because of the high sodium last few days, the water retention has me weighing 142.6 lbs when about 2 weeks ago I weighed 134 lbs as my lowest. And had a weight gain of more than 3 lbs with the high sodium. The protein smoothie used 2 cups Almond Breeze almond milk unsweetened, 1/2 cup of the frozen mixed berries, and 1 serving of the vanilla Olly brand pea protein powder. Finished the lab, but now have another due Thursday, and an exam to study for. My foot on R and both ft and ankles swollen. No side effects as of 10 pm, but a tiny ache in shoulder nothing worse than aches I feel regularly like swollen knees and ankles. Went to bed around 1030 pm.</t>
  </si>
  <si>
    <t>Woke up at 4 am and got out of bed around 420 am and did the normal, want to work on the chemistry lab that is due Thursday that we started yesterday. I have a client tonight at 6 pm for an hour and a half. I left the hyrocollator in the van, but not charging. I need to run the van so the battery charges, then run the hydrocollator. Finished lab by 750 am, ft and ankles swollen, the L side especially, then took measurements. Who needs to shower every morning when time doesn't allow mistakes? Barely getting breakfast and laundry out of dryer. Had 2 cups of coffee and a reg lg BM by half way through 2nd cup of coffee. Rushed and made a protein smoothie for breakfast and for lunch. Then when I got home made some quesadillas (4) and a bowl of nacho meat and peppers with beyond meat and 3 peppers 2 orange and 1 red bell, with 2 small zuchinis and 5 tbs sourcream. Then when I got back from client's massage, I made a margherite cauliflower pizza from freezer. I got my client a chocolate cake, med small size for her son whose birthday is this weekend. They were appreciative. She told me he likes chocolate cake. I got that when I got my 4 th cup of coffee a nitro cold brew sweet cream, and found out that the color is light from the nitrogen infused in the cold brew from the same keg as the cold brew regular style. I thought they were putting in too much cream by the color. No wonder. I made the pizza after sending client her receipt and SOAP notes and putting laundry in the wash and disinfecting supplies. Left hydrocollator in the car unplugged. It warms up fast relatively in a few hours when needed. It drains the battery when leaving it on the whole night. I started the car this morning at 430 and left it running till 5 then turned on the hydrocollator with it running till about 7 am. And it was hot and the battery didn't drain. Now to fill out the study guide to exam 2 in genetics. I didn't get to chapter 10 to fill in yet, been busy with clients last week and this week catching up on that course and my chemistry course.</t>
  </si>
  <si>
    <t>2 zucchini, https://www.calorieking.com/us/en/foods/f/calories-in-fresh-or-dried-vegetables-zucchini-raw-with-skin/Jgq8JW91TZqQVcLm6ARduA</t>
  </si>
  <si>
    <t>winco olive oil, serving 1 tbs</t>
  </si>
  <si>
    <t>beyond meat peppers zucchini olive oil pot makes 3 bowls 4-21-21</t>
  </si>
  <si>
    <t>bowl of 4-21-21 recipe</t>
  </si>
  <si>
    <t>2 servings protein
(240	4	0	36	12	2	720)
3/4 cup mangos frozen
(90	0.5	0	1	20	2	0)
3/4 cups blueberries frozen
(52.5	0.75	0	0	14.25	3	0)
4 cups almond milk
(120	10	0	4	4	4	680)
8 corn tortillas Guerrero
(400	4	0	8	84	8	80)
1/2 cup mozzarella cheese
(160	10	7	12	2	0	380) 
bowl of beyond meat/3 bell peppers/2 zucchini
(290.33	24.67	4.33	7.67	8.00	2.00	119.67)
5 tbsp sourcream
(300	25	17.5	5	10	0	75)
nitro cold brew starbucks sweet cream
(70.00	5.00	3.50	1.00	4.00	0.00	15.00)
marguerite cauliflower pizza
(680	25	7	18	98	5	1040)
=240+90+52.5+120+400+160+290.33+300+70+680
=4+0.5+0.75+10+4+10+24.67+25+5+25
=0+0+0+0+0+7+4.33+17.5+3.5+7
=36+1+0+4+8+12+7.67+5+1+18
=12+20+14.25+4+84+2+8+10+4+98
=2+2+3+4+8+0+2+0+0+5
=720+0+0+680+80+380+119.67+75+15+1040</t>
  </si>
  <si>
    <t xml:space="preserve">Woke at 4 am and got out of bed at 410 am, filled in questions after normal routine, clean pet messes, coffee, Mr Growlys meds babies fed, restart dryer on laundry, but also wash dishes from last night. Had 2 cups of coffee a reg BM, then a 3rd cup by the time Roommate got home around 630 on the dot, then finished up the questions with 1 left before review question session at 9 am ending early at 930 am with few questions or participants same as last week. Had a 4th cup of coffee in warmed up almond milk. For breakfast around 715 am I had a bowl of the nacho and pepper zucchini beyond meat sourcream and 4 corn tortilla quesadillas sharing with babies of course. I got my 2 packages from amazon hub locker yesterday on the way to my client's house, but left them in the van. I am waiting on a couple coding books for python and R for genomic data. I got the renewed/refurbished garmin dash cam and my red light therapy device that is cordless and capable of arthritic pain relief. With different depths in nm of infrared light penetration into skin. I still have chapter 9 to fill in and chapter 6. Most can be found on the homework this last week, but need to fill that in then recopy on notecards and memorize or memorize by page flipping. Handwriting terrible from tired coordination. Got about 6 hours of sleep. 10 pm to 4 am. Also woke up with swollen feet and ankles as I went to bed that way with slightly less swelling when I woke up. Took a nap around 11 am for 10 minutes, ankles extremely swollen all day, studying but can't remember it, went through the lecture and turned in the prelab questions on time, but tricky 1st one, because forgot some things, wouldn't have mattered, the molarity from heat to enthalpy using the equation. It was a tricky 1st question for prelab questions, with nothing in the manual for this lab and I did the post lab questions and those on accident from manual and those were easier than the prelab questions. The Hess's Law seemed simple enough, followed my homework examples and answered them, but in lab we are supposed to cancel out the extensive terms. I wasn't cancelling out any before and they were correct. That seems confusing, now I am worried the solutions aren't correct. I will get up early to study then take the test, more items on this exam for genetics than the last few. More processes to memorize and go through from 3 chapters. Probably why not so easy to memorize right away that and not a lot of sleep last few days and getting flu shot. That could be why I have swollen ankles and the somewhat high sodium content for each day. It wasn't that bad yesterday. </t>
  </si>
  <si>
    <t>Romero corn tortillas yellow corn larger than other brands roommates, 1 serving</t>
  </si>
  <si>
    <t xml:space="preserve">2 bowls of beyond meat nachos
(580.67	49.33	8.67	15.33	16.00	4.00	239.33)
8 tbs sourcream
(240.00	20.00	14.00	4.00	8.00	0.00	60.00)
1 serving pea protein
(120	2	0	18	6	1	360)
1 serving blueberries
(70	1	0	0	19	4	0)
1 serving mangos
(90	0.5	0	1	20	2	0)
3 cups almond milk
(90.00	7.50	0.00	3.00	3.00	3.00	510.00)
4 strawberry poptarts
(800.00	20.00	10.00	8.00	148.00	2.00	480.00)
12 corn tortillas Guerrero
(600.00	6.00	0.00	12.00	126.00	12.00	120.00)
1 1/2 cup mozzarella cheese
(480.00	30.00	21.00	36.00	6.00	0.00	1140.00)
2 corn tortillas Romero roommates
(104.00	2.00	0.00	2.00	20.00	2.00	52.00)
=580.67+240+120+70+90+90+800+600+480+104
=49.33+20+2+1+0.5+7.5+20+6+30+2
=8.67+14+0+0+0+0+10+0+21+0
=15.33+4+18+0+1+3+8+12+36+2
=16+8+6+19+20+3+148+126+6+20
=4+0+1+4+2+3+2+12+0+2
=239.33+60+360+0+0+510+480+120+1140+52
</t>
  </si>
  <si>
    <t>crawfish, 1 serving, https://www.calorieking.com/us/en/foods/f/calories-in-shellfish-mollusks-wild-crayfish-crawfish-cooked-with-moist-heat/u_6bNKpySw6GyviUhV8GTg</t>
  </si>
  <si>
    <t>85 degrees celsius coffee and nondairy creamer, 2 servings per bottle</t>
  </si>
  <si>
    <t>White corn organic tortilla chips Sprouts brand, 1 serving 14 chips</t>
  </si>
  <si>
    <t>yellow corn organic tortilla chips Sprouts brand, 1 serving 14 chips</t>
  </si>
  <si>
    <t>poki bowl brown rice, ponzu sauce, edemame, crawfish, salmon double, wasabi, ginger root, cucumbers</t>
  </si>
  <si>
    <t>chocolate chip cookie, not in 85 degrees nutrition info online, got for 2 chocolate chip cookies generic from calorie king, it’s a med-lg cookie, https://www.calorieking.com/us/en/foods/f/calories-in-cookies-chocolate-chip-cookie/aBntNie-R3CyA8W4Qirv9g</t>
  </si>
  <si>
    <t xml:space="preserve">2 strawberry poptarts
(400	10	5	4	74	1	240)
1 serving pea protein
(150	2.5	0	22.5	7.5	1.25	450)
1 serving blueberries
(70	1	0	0	19	4	0)
1 serving mangos
(90	0.5	0	1	20	2	0)
poki bowl with double salmon and ponzu sauce and crawfish (not included)
(648.5	12.075	2.15	17.7	120.75	12.25	1731)
1 chocolate chip cookie 85 degrees celsius
(96.00	4.50	1.50	1.10	13.40	0.50	63.00)
bowl nachos beyond meat/zucchini/bell peppers/olive oil
(290.33	24.67	4.33	7.67	8.00	2.00	119.67)
1/2 cup mozzarella cheese
(160	10	7	12	2	0	380)
3 tbs sourcream
(90	7.5	5.25	1.5	3	0	22.5)
1 serving white corn tortilla chips
(140.00	7.00	0.50	2.00	16.00	1.00	120.00)
85 degrees celsius coffee 1 serving 
(370.00	15.00	15.00	0.00	60.00	0.00	25.00)
=400+150+70+90+648.5+96+290.3+160+90+140+370
=10+2.5+1+0.5+12.075+4.5+24.67+10+7.5+7+15
=5+0+0+0+2.15+1.5+4.33+7+5.25+0.5+15
=4+22.5+0+1+17.7+1.10+7.67+12+1.5+2+0
=74+7.5+19+20+120.75+13.40+8+2+3+16+60
=1+1.25+4+2+12.25+0.5+2+0+0+1+0
=240+450+0+0+1731+63+119.67+380+22.5+120+25
</t>
  </si>
  <si>
    <t xml:space="preserve">Woke up at 330 am to study some more of genetics. I made coffee, fed Mr Growly meds and the babies their food after cleaning up some pet messes as the first thing when taking them outside to potty. Studied till just before 545 am and had 3 cups of coffee and a reg BM by 2nd cup. I had 2 strawberry poptarts, the last of the roommates. I need to cook up some more nacho meat. I hate the respondus lockdown browser, it is slow and doesn't let me scroll peacefully, overshooting each question too much or not enough. Such an annoyance. Finished the exam by 630 am after taking about 40 minutes to complete 50 questions with a few fill in the blanks, T/F, multiple choice, and text box questions for short essay type responses. Not difficult, but some T/F were a little questionable. I missed 1 question that got skipped because of the stupid Repondus browser scroll option, hopefully not an essay question. I haven't even checked the last quizzes or exams, for any course or the grades in the last 3 weeks. I should. I have a book to pick up at the hub locker and will get another from Amazon by next week. I went to bed at 930 pm and woke up at 330 am, so got about 6 hours of sleep. Not my worst sleep deprivation day. Not feeling too tired, ankles and feet still swollen, but not as bas as yesterday. Have a client at around 5pm. She's ok with me arriving early and knows about Friday traffic. Had a protein smoothie with just water and 1 serving and the rest about 2 1/2  of those spoons it comes with, a serving each of the last of the frozen blueberries and mangos, no almond milk, only because it wouldn't fit, but ran out of protein powder and drank this quick for breakfast when I got to work, had a poki bowl with 2 servings salmon and the crawfish normal toppings and ponzu sauce edemame, ginger, wasabi, sesame seeds, misago, cucumbers brown rice. Also had an 85 degrees celsius coffee with nondairy creamer already made, 1/2 the bottle , and 1 of the chocolate chip cookies in a 3 pack. Went to clients a 1/2 hour later for her schedule because she would be late doing errands, used machine on her for lipocavitation and looked like it worked a little in evening out her side on the right. 10-15 minutes, also stopped at Sprouts for groceries for nachos and chips, couldn't find corn tortillas there. At home, Growly was excited but started coughing and passed out, the roommate thought he was dead, but he passed out, he did CPR and we patted him, he took him to the emergency vet and said that he has water in his lungs and can't breathe because of faulty heart valves. He's 12 years old and it looks like he is on his last leg unless this new water pill and other meds works for him. He was still struggling to breathe, but got up to pee without asking to go outside. So the water pills must be working or helping some. Made some nachos and ate with chips. Bed around 930 pm planned, maybe 10 pm, after doing client's SOAP notes and receipt. Also, my youngest niece had prom today, I happened to catch her leaving when I went to pick up the envelope of mail under the mat left by her stepdad curious why, and she was too, when she went to get it, because it had her name on it. Coincidence. I didn't know she had prom and they are having it even though there is still a quarantine. Her friend drove them. They are besties. I actually got my mail earlier in the morning on the way to work after picking up my python for genomic book. I have that genomic swab kit on the way, should arrive before the end of the month. They looked nice. I am getting so detached from them. They don't keep me in the loop on anything. </t>
  </si>
  <si>
    <t>eggplant, 1 https://www.calorieking.com/us/en/foods/f/calories-in-fresh-or-dried-vegetables-eggplant-aubergine-raw/2S0gU-GISKuAUbTys04kVQ</t>
  </si>
  <si>
    <t>pot of nacho meat with eggplant instead of zucchini, beyond meat, 2 green, 1 red bell pepper, 3 tbs olive oil winco brand</t>
  </si>
  <si>
    <t>bowl nacho meat w eggplant, pot makes 3 bowls</t>
  </si>
  <si>
    <t>2 servings moscato wine, https://www.calorieking.com/us/en/foods/f/calories-in-wines-moscato/kgCFMQS_Q7WxSP39b-Atgg</t>
  </si>
  <si>
    <t xml:space="preserve">bowl of nachos eggplant beyond olive oil peppers red green
(522.33	38.07	8.70	27.93	17.23	6.27	469.00)
bowl of nachos zucchini beyond olive oil peppers red orange
(290.33	24.67	4.33	7.67	8.00	2.00	119.67)
1 cup mozzarella cheese
(320	20	14	24	4	0	760)
5 tbs sourcream
(300	25	17.5	5	10	0	75)
3 servings yellow corn tortilla chips
(420	21	1.5	6	48	3	240)
2 servings white corn tortilla chips
(280	14	1	4	32	2	240)
1 serving the other half 85 degrees celsius coffee
(370.00	15.00	15.00	0.00	60.00	0.00	25.00)
2 cookies chocolate chip 85 degrees larger than chips ahoy, 1.75% the size of that kind
used walmart chocchipcookies X3
(450	0	0	9	42	9	90)
2 servings moscato wine
(254    0      0      1     22.8      0    0)
=522.3+290.3+320+300+420+280+370+450+254
=38.07+24.67+20+25+21+14+15+0+0
=8.7+4.3+14+17.5+1.5+1+15+0+0
=27.93+7.67+24+5+6+4+0+9+1
=17.23+8+4+10+48+32+60+42+22.8
=6.27+2+0+0+3+2+0+9+0
=469+119.67+760+75+240+240+25+90+0
</t>
  </si>
  <si>
    <t xml:space="preserve">Woke up at 5 am and got out of bed around 515 am. I made coffee, cleaned up pet messes, and gave Growly his meds in the babies food, but he wasn't eating it. Not coughing as much. But don't want the other babies eating his food. The roommate spent another $200 on an emergency visit that just refilled his meds from another vet. The other vet clinic wasn't open or answering the phone. Have to get ready in a few minutes. Get off early today, need some body care supplies from the store and other things I don't remember yet. I accidentally washed my wallet last night in the laundry and noticed it enough to dry it out over night. It was dry this morning. Had 2 cups of coffee, but no BM by then. But my ankles and feet aren't as swollen. The feet aren't swollen at all, and ankles only slightly. Before they looked like the feet and ankles of a 300 lbs overweight person my height. Had a reg sm BM before drinking 3rd cup of coffee then took measurements before having breakfast. Need to do the laundry. The roommate came back before having my BM bitching about the meds like I can make him eat his food, and yelling to put it on peanut butter, and get him out from under the bed. I told him he should be the one to have heart disease, assholes like him expecting the world to bend for him and do what he says when he is disrespectful and yells and demands and acts like literally everybody needs to listen to him. He was quiet. I don't care. He is toxic. I went to work didn't have 1st one booked. Ate my bowl of nachos and chips and 2 chocolate chip cookies then had a few, a break, got a car wash and fuel in the dodge because no clients this weekend. Good time to catch up on things like school. Got body wash and toothpaste and some individual serving Sutter Home moscato wines at Walgreens when trying to fill Growly's prescription. Had to order it online. With shipping and tax was $64. I also ordered a lap top and a storage device. This one is acting up because it doesn't fit back in place and the cursor is out, storage is running low. The other one has TPUs and a gaming card for the TPU capability. Good for when I start the genomic big data analysis and use it as a linux machine for all that. I rewatched the lecture recorded that I wasn't paying attention to when I turned in my prelab questions as I was exhausted from studying for genetics exam and used that time to complete the pre lab questions. Didn't score well but not worth as much. They were more difficult than the other lab and found out I have been answering the hess's law eqns wrong. Coincidence when I crossed out terms that didn't belong that they were the same before. Lesson learned. Going to wake up early and go to bed early so that I can fill in the answers in genetics to her lecture I haven't watched yet because of studying for the exam. And being too busy with clients. </t>
  </si>
  <si>
    <t xml:space="preserve">Went to bed at 9 pm and woke up at 4 am. Watched the ch 11 lecture for genetics. Had a couple cups of coffee and a reg lg BM before finishing the 2nd cup of coffee. Finished the lecture prerecorded by 5 am, made a 3rd cup of coffee and a bowl of nachos with mozzarella cheese 1/2 cup. Shared with babies, gave Growly his meds before starting the lecture with sourcream, I should get icecream so he takes it when needed. Fed the babies also before the viewing of the lecture. Talked about DNA structure and types of DNA, it was interesting. I filled in the blanks by ffw last night to each slide, so much better to then pay attention to the prerecorded video. Tired around 3rd cup of coffee. Debating a nap. Tried resting 20 minutes didn't take a nap, got up and edited jotforms, created an MLD 10 pkg form and added to new client consent form. Showered, and did dishes and brushed teeth before shower, almost forgot measurements and took those. I ate breakfast around 545 am a bowl of nachos and cheese and chips and took measurements around 8 am and had a BM around 445 am. Had my 4th cup of coffee around 11 am from the breakroom keurig and 2 vanilla creamers and 2 carmel creamers, when client didn't show but it was an error from new front desk who didn't cancel his appointment when she was supposed to cancel it as well as his gf's yesterday and didn't. Had a falafel 5 pc order and a side of regular hummus with chips, only 3/5 the falafels and 1/2 the hummus. Ate the other 2 pcs of falafel and hummus when I got home.  Had 2 servings of moscato left over from 4 pack of small bottled wine yesterday, after massaging rommate and had the laundry in the wash. Uploaded the video of the massage tips and advisory massage instructions and demonstrations for his 3rd weekly appointment. Noticed I had some odd bot type comments on my videos after uploading them. Kelly Barber '0:14 vom.today' on todays video, and last weeks video by Ruth something "0:48 vou.today' makes no sense. Those are odd times and nothing really showing at those time markers on video uploaded to youtube.com. I also ate the last bowl of nachos and had about 6 servings of tortilla chips in all throughout the day for breakfast, lunch, and dinner. </t>
  </si>
  <si>
    <t>falafel, 5 balls about 1 1/2" round, this is for 2.25" round from calorie king using 2 for approximation because setting both to 2piR^2 and solving for recipe gives 2.22 falafels on calorie king,https://www.calorieking.com/us/en/foods/f/calories-in-vegetarian-foods-falafel-home-prepared/aSJPL--2SiqHU21kEuuewA</t>
  </si>
  <si>
    <t>1 cup hummus generic homemade, https://www.calorieking.com/us/en/foods/f/calories-in-dips-hummus-homemade/ggwx1LDDTveNHAvE_B13pQ</t>
  </si>
  <si>
    <t>6 servings of tortilla chips
(840	42	3	12	96	6	720)
1 cup mozzarella cheese
(320	20	14	24	4	0	760)
2 bowls of nachos
(1500.53 40.13	34.73	14.53	164.20	6.53	991.33)
5 falafels
(141.25	7.625	1	5.625	13.5	1.5	125)
2 servings hummus
(435	21.1	2.8	12	49.5	9.8	595)
1 tbs sourcream (tzaki sauce cream with cucumbers)
(60	5	3.5	1	2	0	15)
2 glasses of moscato
(254	0	0	1	22.8	0	0)
4 coffee creamers 2 vanilla 2 carmel
(140	6	0	0	20	0	60) 
=840+320+1500.5+141.25+435+60+254+140
=42+20+40.1+7.6+21+5+0+6
=3+14+34.73+1+2.8+3.5+0+0
=12+24+14.53+5.625+12+1+1+0
=96+4+164.20+13.5+49.5+2+22.8+20
=6+0+6.53+1.5+9.8+0+0+0
=720+760+991.33+125+595+15+0+60</t>
  </si>
  <si>
    <t xml:space="preserve">Went to bed around 9 pm a little after 9 pm, because I wanted to wake up early, kept waking up every 30 minutes to hour with things to do because a new client booked my 9 am slot for MLD in Fontana and had to think of doing my homework for genetics and chemistry. I have an 1115 am in Riverside/Corona border that I can make it on time to as long as no traffic, leaving her house in Fontana 20 minutes after done approximately. If she wants the pkg deal it will be up front and she will have to fill out the new form. Its not that lengthy of a form. Made Mr. Growly his heart meds with a tbs of sourcream at 2 am, then went to bed, woke up at 5 am and did the normal routine. I gave him his water pill at 2 am for heart and the rest of his pills at 5 am. I leave for work at 2 pm and he needs the water pill every 12 hours. I need to make some more nachos. Folded the clothes from the dryer and had to redry the hot pack covers and the roommate's towel. Had my coffee, 1 st cup and a lg BM before finishing my 1st cup of coffee, caught up on this data input for nutrition at that time. Then took measurements after my BM and entered in this database, and made 2nd cup of coffee and calculated traffic travel time to 9 am appointment. 25-40 minutes both ways. She really wants this and has a cousin who did the same who also might want MLD for herself. I made some nacho meat with 3 yellow squash and 3 green bell peppers, 3 tbs olive oil winco brand, and beyond meat 1 pkg and had a bowl of it with 1/2 cup mozzarella cheese Aldi brand and the roommates potato baked chips a serving and put roommates laundry in dryer. My ankles aren't as swollen today and the same as they were yesterday not as swollen, but still swollen. The normal amount of swelling when they do swell. They seem to swell up a lot when I don't wear compression socks. I took a shower and got ready around 745 am, left by 820 am and got to her house at 9 am, nice lady. Stopped off at Winco for large gallon baggies for linens for clients, ran out a few days ago, and some paper towels and toilet paper before running low on those. Need instant coffee its low, but didn't remember, also used last of beyond meat so need more of that and veggies. I also got a large bag of tortilla chips party size thin from Winco. I was at 2nd clients the prepaid on 8th MLD, and cut it short on accident by 15 minutes, thought it ended at 12 but 1215. When I got back I had my 3rd cup of coffee and made their SOAP notes and receipts separately and emailed them and her saying I would give her an extra 15 minutes Wednesday at 4 pm. Also have a client Wednesday at 7 pm. I ate a bowl of the yellow squash and bell peppers with 1/2 cup mozzarella cheese and a serving of tortilla chips. Similar to crunch and texture of the Sprouts brand but larger. That was the 2nd bowl of the nachos with the pot making about 3 bowls. At work I didn't have a 4th cup of coffee, only 3 cups of coffee today. Had a double salmon bowl with spicy mayo no soy sauce, edemame, cucumbers, wasabi, ginger and brown rice. I haven't been eating all of my poki bowls with the rice, just the fish and toppings and not all the wasabi ever. I also had a half a chocolate candy bar I got from Aldis yesterday before leaving for work. And had 3 large slices of fresh pineapple that I cut earlier from a purchase from Sprouts about 4 days ago. Got home and gave Growly his water pill, he was coughing badly when I got home it was around 1030 pm when I gave him it. Tired, and was tired at work, I got the nebula genomics kit and swabbed my cheeks and sent it in after work at the post office. It might have made my throat itchy in session after my break when I swabbed my DNA off the cheeks. My throat was itchy and dry when talking the whole 90 minutes, got water afterwards and felt fine, but then my nose was a little runny in the mask. It went away by the time I drove home from work. Could be the fan and being tired, up since 5 am. There was a 'super moon' out and looked at it perfectly between the clouds on the way home on the 71 until clouds blocked it. Still high in the sky. The house doesn't have a good view because it is covered by trees in the middle of town. It was supposed to rain today and I thought it would because the clouds looked really heavy and everywhere, but not even a drizzle. Good thing, too, because I washed my charger a few days ago. I also got one of the items from Amazon in the mail, still waiting for the laptop and pet meds. Should be soon. </t>
  </si>
  <si>
    <t>Aldis Mozzarella cheese shredded, 1 serving 1/4 cup:</t>
  </si>
  <si>
    <t>Baked potato chips, 1 serving about 17 chips, 6 per bag</t>
  </si>
  <si>
    <t>Aldis Choceur Milk chocolate with Almonds chocolate bar, serving is 3 blocks, 5 per bar pkg</t>
  </si>
  <si>
    <t>DOUBLE salmon poki bowl edamame, cucumbers, double salmon, brown rice 1 cup, sesame seeds, ginger, wasabi</t>
  </si>
  <si>
    <t>pot of nacho meat with 3 green bell peppers, 3 tbs olive oil winco brand, 3 yellow squash reg sz, 1 pkg beyond meat, makes 3 bowls</t>
  </si>
  <si>
    <t xml:space="preserve">edamame 2 oz, calorieking.com </t>
  </si>
  <si>
    <t>yellow squash, 1 plant, 1 cup calorieking.com</t>
  </si>
  <si>
    <t>bowl of yellow squash beyond nachos</t>
  </si>
  <si>
    <t xml:space="preserve">2 bowls nachos
(1077.33	76.00	17.33	58.33	42.33	14.33	947.33)
1 cup mozzarella cheese Aldis brand
(320	24	12	24	8	0	720)
1 double salmon poki bowl with spicy mayo no ponzu/soy sauce/teriyaki
edemame, cucumbers, brown rice, ginger, no misago available, wasabi
(736	30.425	5.925	27.175	88.35	12.125	523.5)
1 serving Baked potato chips
(120	8.5	0	2	22	1	160)
3 servings corn tortilla chips
(420	21	1.5	6	48	3	360)
1/2 candy bar from Aldis
(360	24	10	8	28	4	40)
=1077.3+320+736+120+420+360
=76+24+30.4+8.5+21+24
=17.3+12+5.9+0+1.5+10
=58.33+24+27.18+2+6+8
=42.3+8+88.35+22+48+28
=14.3+0+12.13+1+3+4
=947.3+720+523.5+160+360+40
</t>
  </si>
  <si>
    <t>pot of nacho meat, beyond/3 orange peppers/3 tbs olive oil, makes 3 bowls</t>
  </si>
  <si>
    <t>bowl of nachomeatpeppers 4-28-21 recipe</t>
  </si>
  <si>
    <t>Hills Bros Capuccino mix, serving 3 tbsp</t>
  </si>
  <si>
    <t>nachos squash peppers last bowl
(538.67	38.00	8.67	29.17	21.17	7.17	473.67)
2 bowls nachos peppers only
(1007.33	76.00	17.33	55.33	25.33	7.33	937.33)
1 1/2 cups mozz cheese Aldi brand
(480.00	36.00	18.00	36.00	12.00	0.00	1080.00)
4 servings tortilla chips
(560.00	28.00	2.00	8.00	64.00	4.00	480.00)
1 1/2 cup pineapples fresh
(37.50	0.00	0.00	0.00	9.00	1.50	0.00)
4 tbsp Hills Bros coffee mix
(240	7	7	0	44	0	420)
=538.7+1007.3+480+560+37.5+240
=38+76+36+28+0+7
=8.67+17.3+18+2+0+7
=29.17+55.33+36+8+0+0
=21.17+25.33+12+64+9+44
=7.17+7.33+0+4+1.5+0
=473.7+937.3+1080+480+0+420</t>
  </si>
  <si>
    <t>Woke up at 5 am and got out of bed at 530 am, went to bed around 11 pm. Gave Growly his meds without water pill, he needs that around 9-1030 am, and fed the babies, had my cup of coffee and a reg BM, fold laundry from yesterday, and updated this database with nutrition. Won't have time tomorrow to finish the ch8 hw so I might skip chemistry lecture and lab today to do that, I need to finish the hw for ch11 genetics today by tonight. Also have a ch7 quiz in chemistry Thursday at lab meeting. Don't want to skip that class. I am not sure if our attendance is graded because she always takes attendance, but she also posts the videos usually by the next morning. Measurements taken after reg BM and 1 cup of coffee and peeing. Before breakfast and before starting hw ch 11 for genetics due today. Finished the lab around 1030 pm and went to lab and lecture. Still have all of ch 8 hw to do, due tomorrow, I read through the ppt slides and finished the ch11 hw for genetics around 9 am. Had my client around 12 pm and brought her some beyond meat, I picked up on way to her house, got some peppers and beyond meat and made a pot of nachos with 3 yellow orange bells and beyond meat and olive oil, and had 2 bowls makes 3 with 1/2 cup mozz cheese for both, had 4 slices of pineapple fresh about 2 cups, and 4 total cups of coffee, with 2 of them the Hills Bros, sweet instant powder cappucino type coffee with added sugar. Breakfast was the left over squash nachos bowl, then had a bowl of the nachos meat recipe today with just peppers for lunch and 1 for dinner with the pineapples. About 4 servings of corn tortilla chips in all throughout the day. Went to bed at 1130 pm. BTW ankles were swollen a little in morning and a lot by bedtime, flexing my foot caused limited ROM when pulling ft up to flex, dorsal extension and plantar flexion.</t>
  </si>
  <si>
    <t>Welchs fruit snacks lg bag superfruit flavor</t>
  </si>
  <si>
    <t>two slices,a serving, of 8 pcs of variety cheesecake in 8" cheesecake, Signature Brand, Albertsons</t>
  </si>
  <si>
    <t xml:space="preserve">bowl nachos beyond/peppers/olive oil
(503.67	38.00	8.67	27.67	12.67	3.67	468.67)
2 servings tortilla chips
(280	14	1	4	32	2	240)
1/2 cup mozz cheese Aldis brand
(160	12	6	12	4	0	360)
2 oranges
(162	0	0	4	42	8	4)
3 slices of pineapple
(37.5	0	0	0	9	1.5	0)
1 slice small strawberry swirl cheesecake from variety small cake
(220	14	5	3	24	1	115)
large bag of Welch's superfruit fruit snacks from DDs
(120	0	0	8	176	0	200)
5 creamers
(175	7.5	0	0	25	0	75)
=503.7+280+160+162+37.5+220+120+175
=38+14+12+0+0+14+0+7.5
=8.7+1+6+0+0+5+0+0
=27.7+4+12+4+0+3+8+0
=12.7+32+4+42+9+24+176+25
=3.7+2+0+8+1.5+1+0+0
=468.7+240+360+4+0+115+200+75
</t>
  </si>
  <si>
    <t>swollenAnkles</t>
  </si>
  <si>
    <t>This is 1 if the ankles, knees, or feet were swollen, because the knees and feet are swelling/swollen with edema when ankles are, from uterine fibroid blocking circulation and stress making lymphatic system less productive, sensitive to sodium if too much the day before, not enough sleep as used to , or other changes, like the covid-19 vaccination, added 4/24/21 after noticing swelling in ankles is less but still present</t>
  </si>
  <si>
    <t>pot pasta 4/29/21 makes 4 bowls fettucini barilla gluten free, beyond meat 1 pkg, 3 tbs olive oil winco brand, prego 3 cheese sauce</t>
  </si>
  <si>
    <t>bowl pasta 4/29/21</t>
  </si>
  <si>
    <t>3 eggs scrambled
(186.2	13.3	3.99	15.96	0	0	186.2)
1/4 cup almond milk to scramble eggs in
(7.5	0.625	0	0.25	0.25	0.25	42.5)
2 tbs olive oil Winco brand 
(260	28	4	0	0	0	0)
1/4 cup mozz Aldi brand in 1st bowl of pasta
(80	6	3	6	2	0	180)
2 bowls of pasta todays fettucine/prego3cheese/1pkgBeyond
(1460	63.75	14.25	57	169.5	12.5	1900)
2 1/2 slices cheesecake or 1 1/4 serving
(550	35	12.5	7.5	60	2.5	287.5)
1 orange
(81	0	0	2	21	4	2)
2 strawberry poptarts
(400	10	5	4	74	1	240)
=186.2+7.5+260+80+1460+550+81+400
=13.3+0.625+28+6+63.75+35+0+10
=3.99+0+4+3+14.25+12.5+0+5
=15.96+0.25+0+6+57+7.5+2+4
=0+0.25+0+2+169.5+60+21+74
=0+0.25+0+0+12.5+2.5+4+1
=186.2+42.5+0+180+1900+287.5+2+240</t>
  </si>
  <si>
    <t>Woke up at 430 am, got about 5 hours of sleep but have to do the folding of laundry, and start the ch8 chemistry hw to get as much done as possible, I have a couple clients today after work at 4 and 7 pm and get out of work at 3 pm. I won't get back until about 845 pm, then have to do the laundry and dishes and have a few hours to do homework due at 11:59 pm. These assignments take 4-6 hours unfortunately. and it is 20% off each day late. or 10% each half day late. ankles swollen today as they were yesterday. 3rd cup of coffee after completing 7 problems, have 6 more to go with # 8 having 5 parts. There are more than 6 calculations left, many more is most likely, as it took me from 445 am until 730 am to answer 7 problems with multiple calculations and steps in most of those problems. Running late already but took measurements before eating breakfast nachos, I can pack fruit to go and eat nacho to start while drinking 3rd cup of coffee, shower still have to fold laundry. and shower. Didn't have time to shower after folding laundry and eating and getting ready. Brushed teeth and washed face. On the way to work a lot of traffic and ate my 3 slices of pineapple I packed about 1 1/2 cups At work for lunch, I had my 4th cup of coffee and 3 carmel creamers and 2 french vanilla ones and 2 oranges, and I had a small slice of cheesecake from a set of signature brand Albertsons slices in a pie of cheesecake. It was frozen slightly, and ate with hands like a tart or similar. Was able to stop by the house at around 4 pm before my first client, feeling tired, now it hit. I had 1/2 a bag of the fruit snacks I bought a small gift less than $5 of a wax candle burner of a buddah head at DDs for my client, her birthday is this weekend. I had about a serving of tortilla chips in car on the way to 1st client's house and the whole or rest of fruit snacks, Welchs superfruit large bag for energy, it helped keep me alert and not tired or drained. Then stopped at home put in wash, went pee, washed dishes, and left for 2nd client's massage. Got back just before 9 pm to finish homework. I gave Growly his evening water pill around 9 pm the start of it. Finished the hw on time with about 50 minutes left thankfully got all right and all points possible no late work deductions. I had my 5th cup of coffee for the day when I got home, didn't eat anything, surprisingly. Was very tired and went to bed at a little after 11 pm, around 1115 pm, without putting laundry in the dryer. I looked at the 'super moon' last night, just a big full moon high up in the sky on the 71 and didn't start my menstruation today. Thought it had something to do with why my last menstruation started up during its final cycle phase into full heavy mode for weeks. That was not the case</t>
  </si>
  <si>
    <t xml:space="preserve">Woke up at 530 am and got out of bed at 540 am. Got about 6 hours of sleep as I went to bed at 1130 pm approximately last night after finishing homework. I gave Growly his meds other than water pill, have to give him that around 9 pm for the 12 hour water pill. Others are 24 hours. He has 1 pill left of the one I have been waiting a week for the online pharmacy to fill and send, because they were closed on the weekend and the veterinarian didn't confirm the prescription on Monday as her day off and on Tuesday because she is too busy and nobody in her office can confirm it for whatever reason, and they sent it off finally after I had to tell them I was upset and haven't left a bad review on Yelp showing how they care for your pets' health by not confirming prescriptions to medication in a timely manner. But they said they filled it finally, but still haven't gotten or received the confirmation. It took me until 745 am to fill out the SOAP notes and receipts from clients yesterday and fill in my nutrition information, didn't even study yet for quiz today, and will go to genetics lecture in an hour. I put the laundry in the dryer around 6 am after it spun a cycle to get any extra water out of it. I have to email the pharmacy now to see if they are keepin on top of my pet's needed medication, he only has 1 day left of it. Had a lg BM around 630 am before starting SOAP notes and before 2nd cup of coffee. Had 3rd cup of coffee by the time I took my measurements but didn't drink all of it, or have breakfast yet. Had to pee a lot in morning, feeling brain fog sluggish. Need to go to the grocery store too and bank to get a money order and deposit client's check from Tuesday for subscription monthly massages and gift card. I have been weighing 141.6 for four days now and reset it, It said 3.4 lbs when placing on floor with nothing on it, and when I stepped on it again it said 141.0, so now I need a new weight scale it is inaccurate and giving me inaccurate results. I ate less calories yesterday than previous days, and there has been variations in caloric content over 4 days and everyday it says 141.6 in exactly the same spot I place it to stand on it. Ankles are still a little swollen. My feet aren't but R knee isn't feeling pressure as it was previously from compression socks. Got sick around 4th cup of coffee before finishing it, felt flu like, had a reg BM some diarhea, my ankles are swollen and they hurt when moving my feet circular. I think my legs are swollen too. All that stress and still didn't do good on her impossible quizzes. I was able to sit through it and answer some questions but not sure they are right. Didn't answer 1 question. They were time consuming questions and felt like they had too much information in the quiz to answer the question, didn't know what they were asking or too many calculations to spend on one question. Made a pot of pasta just fettucine with prego 3 cheese 1 pkg beyond meat and 3 tbs olive oil cooking the plant based meat. My stomach was cramping up later. I did get sick after a slice of the cheesecake around 10 am. Then had another slice and a half around 5 pm studying for the exam and after eating a bowl of pasta. Will have to review the lecture on ch 9 slides or just read them. We are reviewing a midterm that we did two weeks ago then finishing the ch9 ppt in lab, and the midterm was 2 weeks ago with a key provided, so it seems redundant. We are going to be reviewing the quiz too if time allows. My stomach is cramping up again, it could be the cheesecake that made me sick. Or an orange I ate after the slice and  a half of cheesecake, it was sort of sour like it was old, spoiled, got it at Aldis prebagged. I also ate two of those oranges yesterday that could have made me sick around 12 pm. But I did have 3 scrambled eggs with almond milk that has been in there about 2 weeks now, and it only lasts 10 days. The almond milk was used to cook the eggs, and 1 of the 3 eggs was from a month ago, that carton wasn't used up. That could have made my stomach sick. They are organic and cage free eggs. I haven't eaten eggs in a while. It was warm out today too, felt like 95 degrees, but when I looked at my cell phone around 3 pm it said 74 degrees. I just checked and my phone was probably showing last update, because at 2:53 pm it was 93 degrees and at 3:53 pm it was 97 degrees farenheit. Still not on my rag, but the roommate said I left blood on the toilet. Probably from chewing the sharp ice cubes that aren't fully frozen, they cut my gums and when I have to spit I spit in the toilets some times and probably did that and got a little blood on the seat. I didn't notice it though. </t>
  </si>
  <si>
    <t xml:space="preserve">Woke up at 5 am and got out of bed 10 minutes later, chilled to start morning looking at news articles, and knowing I have lots to do. Rent due tomorrow, but no time to go to the bank to get a money order, and not going to Walmart. Did the usual, went ahead and gave Growly his water pill at 530 am with his other meds, the last pill that we ordered and his other pill, fed the babies, he's doing better still coughs and has some heavy deep lung cavity breathing, but that could be when its hot. Started running the AC yesterday. He slept better. Had 2 cups of coffee, and really need to go grocery shopping. I need to get some items. I have food, but not other quick fixes like protein powder, a new milk. I have two MLD clients later tonight. Went to bed after the lab ended. Have to fix the sig figs. but I have to back track all my calculations to put in the tables. Sig figs get confusing. I do have the calculations but have to compare with the number in lab manual provided. I am sure tons of homework as well. Expecting my laptop and Amazon wants to deliver it tonight by 10 pm when I won't be there because of my clients after work. One still needs a consent form filled out. Had a regular BM after 2 cups of coffee then took measurements around 6:25 AM. Noticed my R foot is swollen slightly and my ankles slightly swollen too but doesn't hurt as bad rotating the feet around the ankles. The client tonight didn't answer the door when I rang her ring camera doorbell twice, knocked on it once, or when I called. When I left she called 15 minutes later. I told her it was too far. Really, the neighbors leave screws in the street spots to deter people from parking, it is 40 minutes away instead of 30 minutes, I had to park in the only street parking spot 5 houses away on another street, and they didn't respond when I was there. Got my new laptop, and on it now, but the old one broke and the battery is expanded out and the fan didn't shut off. I don't know why, but am trying to access the files and have copied the drive of 800+ GB to move to my portable storage that holds 4TB of data, this device only holds 256 GB of data. My legs and ankles and feet are swollen a lot. My inner thigh on the left hurts lifting my knee. The thigh measurements I have been taken are above the thigh and below the glute in that space that can be squeezed along the tape measure. I added the other computer 16 GB RAM to this which only had 8 GB RAM, it takes forever to turn on just like the other HP that just broke. I thought it was broken. It does have the fast USB port, but I cannot use the fast USB-C portable device because it only holds 512 GB of data. And I cannot access the individual documents, hoping to transfer to the hard drive thats portable then be able to access the files. I am logged onto the same Windows Office subscription I have on all my laptops, this one is the 3rd now. For breakfast a bowl of pasta, banana, and grapefruit. I went to Sprouts because I left early and got peppers, eggplant, protein vegan powder, and bananas and orange. I had the last of this pasta for lunch, an 85 degrees celsius vietnamese iced coffee, a slice of strawberry mouse cake from same place, and an orange I packed. Then on the way home after work I ate a serving of tortilla chips in the car, and got home to make a serving of the protein powder I just bought with a banana, orange, and 1 1/2 cups almond milk. I got back from the no show, they tried to call to have me come back, 15 minutes after I left and I didn't want to. Then I got home and cleaned out the top drawer that was a mess, threw out junk and boxes I had in my bookshelf from items I have had a couple years, and had the last serving of the Potters vodka with ice cubes and water. Had some guy call about pricing on massage for his arm and answered his questions. Could be the guy that got my card at my other client's two nights ago. Also, before I left for my 7 pm appointment one of my other client's wanted to book the 7 pm for her grandma who has a low back pain that won't go away. I had to ask her to book on the weekend because I had a couples massage at 7 pm tonight. Also, I was spotty in the late morning then when I got home from work I started my light flow of menstruation. </t>
  </si>
  <si>
    <t>Vegan Protein powder Sprouts, 1 serving is 1 scoop , 30 servings per container</t>
  </si>
  <si>
    <t>vietnamese coffee, https://www.nutritionix.com/food/vietnamese-coffee</t>
  </si>
  <si>
    <t>stawberry mouse cake, using deluxe strawberry cake, http://www.85cbakerycafe.com/wp-content/uploads/Nutrition-Facts.pdf</t>
  </si>
  <si>
    <t>vietnamese coffee
(157	4.3	2.7	4	26	0	65)
strawberry mouse cake
(310	19	11	5	31	0	95)
2 bananas
(208	0	0	2	54	2	6)
2 oranges
(162	0	0	4	42	8	4)
2 bowls pasta 4-29-21 recipe
(1460	63.75	14.25	57	169.5	12.5	1900)
1 grapefruit
(92	0	0	2	24	2	0)
1 serving Sprouts vegan protein powder
(120	2.5	0	20	5	2	340)
1 1/2 cups almond milk
(45	3.75	0	1.5	1.5	1.5	255)
=157+310+208+162+1460+92+120+45
=4.3+19+0+0+63.75+0+2.5+3.75
=2.7+11+0+0+14.25+0+0+0
=4+5+2+4+57+2+20+1.5
=26+31+54+42+169.5+24+5+1.5
=0+0+2+8+12.5+2+2+1.5
=65+95+6+4+1900+0+340+255</t>
  </si>
  <si>
    <t>icecream vanilla stater bros 1 serving 3/4 cup</t>
  </si>
  <si>
    <t>frosting extra on cupcake, 1 cupcake, https://www.calorieking.com/us/en/foods/f/calories-in-cakes-carrot-with-cream-cheese-frosting/6YkphN6KQ0m5MxNKMXQLAw</t>
  </si>
  <si>
    <t>strawberry cupcake
(300	16	3	3	37	2	320)
2 servings protein powder Sprouts brand vegan
(240	5	0	40	10	4	680)
2 cups almond milk almond breeze
(60	5	0	2	2	2	340)
2 servings vanilla icecream stater bros brand
(400	24	14	6	40	0	100)
2 bananas
(210	0	0	2	54	6	2)
1 grapefruit
(92	0	0	2	24	2	0)
1 bowl pasta 5-1-21 red fennel penne peppers eggplant
(737.25	22.7375	6.2125	49.075	91.55	16.825	951.5)
nitro cold brew grande sweet cream iced coffee
(70.00	5.00	3.50	1.00	4.00	0.00	20.00)
=300+240+60+400+210+92+737.3+70
=16+5+5+24+0+0+22.74+5
=3+0+0+14+0+0+6.21+3.5
=3+40+2+6+2+2+49.1+1
=37+10+2+40+54+24+91.55+4
=2+4+2+0+6+2+16.8+0
=320+680+340+100+2+0+951.5+20</t>
  </si>
  <si>
    <t xml:space="preserve">Woke up at 530 am by alarm, Goody was barking again at 430 am but went back to bed after letting him on the bed. Ran the AC last night and the night before but not in the day. Chilly in the morning. Went to bed around 11-1130 pm. With the copying and moving of data to portable from hard drive, but when I woke up even when the computer was locked, it didn't move the copied about where left off because of some error with access privileges, I unchecked it while on computer getting my logins to email and other sites and it started moving the copied data. Still stuff I cannot access. But nearly 1 TB at 900 GB, last night it stopped when I went to bed at about 730 GB to go, and right now at 636 am it has 676 GB to move. I had lg BM after 1st cup and am on a medium flow menstruation possibly heavy later. Also working an extra 2 hours at work after work because I agreed to it a few days ago on Thursday or Tuesday. I have to leave soon and shower soon to make it to work by 750 am. Have clothes in the laundry. Took measurements after BM and before breakfast, transferred the rent roommate owes from his account with his permission. He always bitches about it, but he has 10s of thousands of dollars, just a cheap skate. His left over inheritance from a great uncle he barely knew, could be responsible for his 6 months in coma from a head injury around age 6 when he was riding a dirt bike and crashed into a tree in the desert area the uncle lived. Or not. It was by default because him and his aunt and the uncles siblings got it as decadents. Him by default because his mom is dead around same time he had a head injury from a poisoned heroin overdose in the 70s in Norco CA. Ankles slightly swollen but not as bad as last night. I can put my leg up on step while standing at computer without feeling pain and pressure. All that downloading or copying of the hard drive to my portable drive didn't work, took a long time to delete too, but put the hard drive in other lap top and moved files I was able to access by logging in. I had a glass or serving 3 second pour of the GreyGoose vodka with water, no ice cubes because none, hot day today but not too hot. Did this after work. I got a money order at Albertsons for rent and it was less than $2 which is super cool, because otherwise I would have paid $10-15 at Wells Fargo the closest bank. Good to know these grocers have low prices like Winco and Walmart for the services I need. Work was busy, no more 15 minute breaks, less disinfecting on areas that are accessible and only areas client or myself touches or breathes on for clients. So, was able to make that work. Just like before quarantine started. Might have a new client, a local MLD client, too bad the other didn't work out, but too far. I advised her on being able to get the same service at most massage franchisees of corporate brands in office/clinic. For lunch, I went to Drip in Chino Hills, but they were closed and got a strawberry cheesecake cupcake for $4 that was super delicious, then to Albertsons for a cold brew sweet cream vanilla iced coffee that again looked just like the nitro cold brew very light. They all taste the same. I also had the protein shake I packed with 1 1/2 bananas, 2 cups Almond milk, 1 scoop or serving of the Sprouts protein powder and that was it. For breakfast it was a protein shake without almond milk but my 3rd cup of coffee and a serving of the same protein powder with a serving of the Stater Bros vanillla icecream I got to give Growly his meds but have been giving it to all my babies and eating it myself. Also had a serving of the icecream when I got home. I also had a grapefruit that I left in the bag of the van from my grocery trip to Sprouts yesterday. I made a pot of red fennel pasta with 1 pkg beyond meat, a yellow and orange bell pepper and a small egg plant without olive oil. My ankles were swollen at work and the last few days my inner thigh hurts as well as the swollen legs like it is being stretched from inside the arteries of thigh inner thigh, or something. Many clients, three direct or indirect clients have had symptoms of swollen lymph nodes from pfizer or other vaccine, and I think this is what I am still experiencing. Skin on calves itched but probably from shaving and I have been getting itchy every so often under waist trimmer too at random spots. I extended my shift to 4 pm instead of 2 pm just for today and they were able to get me 7 hours of massages for 6 clients, two were 90 minutes. Plus the 15 minute breaks are gone now for disinfecting. Normally it is around 4.5-5 hours of massages from 8 am to 2 pm. I didn't pick up any cheese or other supplies like dish soap. I still have a whole bottle left but we run out fast and like to stock up. Had a bowl of pasta plain, and tasted the same except no parmesan or mozzarella cheese. Used last of beyond meat and need more. I ordered another HP battery for laptop, it is the battery for the reason lap top broke and wasn't closing, it kept expanding, maybe heating up or something. Not sure. only had it a year, an HP I got at Best Buy. South Corona I think. This new one is also an HP Pavillion but now I added extra 16 GB of RAM from other broken one and it has 24 GB RAM and a NVIDIA gaming card for parallel processing of data when I start the python machine learning for Tensorflow or similar TPU capability. I have wanted this for a while. I only used the other laptop to take my quizzes on respondus or proctorio, and now I will use it as my old lap top, but transferred the files to this new one. When I get my HP replacement battery I will put the acer hard drive in it, they're the same HDD and size might not be the same brand, likely not, but they fit each other. I will keep that one as a back up laptop for when the software slows it down and I break it open and crack some pieces off of it or whatever will or can happen in a year. Probably going to bed by 930 pm, already 907 pm, and tired, getting cramps, bleeding medium, probably heavy throughout the night though. Water nearby. </t>
  </si>
  <si>
    <t>Woke up at 520 am and got out of bed when alarm went off. Went to bed around 930 pm, and got up even earlier to take dogs out and change mensa pad because bled all over bed. Forgot to put towel down. And cleaned some pet messes at 4 am. Didn't feel dehydrated. Filled in the blanks of ppt for genetics ch 11 week 10 on to week 11, this instructor includes the spring break and now every week is actually +1 but for consistency with my chemistry course I will keep it week 10 instead of 11 and so on. Gave Growly his meds first thing while feeding babies their food. Had a couple cups of coffee and  a BM halfway through 2nd cup or after it, definitely after 1st half of ppt to fill in blanks. Good thing I can take the file with me to use on this hard drive that hooks up to my Samsung Galaxy phone like a separate hard drive. I will see about looking over the ppt filled in on my break. Took measurements before eating breakfast and after completing the fill in the blanks of ppt and after 2 cups of coffee. Somewhat chilly but not enough to put heater on and had AC on low last night. Ankles slightly swollen but doesn't hurt to put knee up when standing at computer. Heavy mensa during the day, not super heavy only a few blood clots dropped during day. Gave the roommate a massage when I got home for his upper body only today focusing on LB and both shoulders, CBD on both, 2 types, massage gun, and infrared light on LB only. Uploaded to youtube. Need to add to the blog pops day post to update. Had a diluted vodka Greygoose with cold water no ice and relaxed. Read through genetics ch 11 and ch12 ppt slides and was going to watch the ch12 prerecorded lectures but didn't, went to bed around 915 pm. The roommate was loud when he got back from his errands on his day off. I had a bowl of the 5-1-2021 pasta recipe for breakfast, lunch after work, and dinner after the drink, with the last two a 1/4 cup mozzarella cheese Aldi brand, because I stopped by after work to get cheese and other items like dishsoap, paprika, parsley, corn tortillas Romero's brand, etc. For lunch at work I had a 2 serving protein powder almond milk, 2 banana smoothie/shake and a grapefruit and my 4th cup of instant coffee, opted out of work breakroom keurig today.</t>
  </si>
  <si>
    <t>pot of pasta red fennel penne, prego 3 cheese, pkg beyond meat, yellow and orange bell pepper, no olive oil, sm-med eggplant, makes 5 bowls</t>
  </si>
  <si>
    <t xml:space="preserve">3 bowls pasta 5-1-2021 recipe
(1769.4	54.57	14.91	117.78	219.72	40.38	2283.6)
1/2 cup mozz cheese Aldi brand
(160	12	6	12	4	0	360)
1 grapefruit
(92	0	0	2	24	2	0)
2 servings protein powder Sprouts matcha green tea
(240	5	0	40	10	4	680)
2 cups almond milk
(60	5	0	2	2	2	340)
2 bananas
(210	0	0	2	54	6	2)
=1769.4+160+92+240+60+210
=54.57+12+0+5+5+0
=14.91+6+0+0+0+0
=117.78+12+2+40+2+2
=219.72+4+24+10+2+54
=40.38+0+2+4+2+6
=2283.6+360+0+680+340+2
</t>
  </si>
  <si>
    <t>morning star crumbles, serving 3/4 cup, https://www.google.com/url?sa=i&amp;url=https%3A%2F%2Fthefamilychapters.wordpress.com%2F2009%2F08%2F01%2Ffood-review-1-morningstar-farms-meal-starters%2F&amp;psig=AOvVaw1Xg5yiixpg7sZh5Wd02YMr&amp;ust=1620198703449000&amp;source=images&amp;cd=vfe&amp;ved=0CAIQjRxqFwoTCJjZvNO8r_ACFQAAAAAdAAAAABAN</t>
  </si>
  <si>
    <t>hummus bowl with vegan beef, 2 servings hummus, serving feta, vegan beef about 3/4 cup, and some pickled beets, cucumbers, and tzaziki sauce</t>
  </si>
  <si>
    <t>slice pita bread,https://www.calorieking.com/us/en/foods/f/calories-in-bread-rolls-buns-whole-wheat-pita-khoubiz-pocket/BFEqHcorQw-TiBWMm8do0w</t>
  </si>
  <si>
    <t xml:space="preserve">bowl of 5-1-21 pasta
(589.8	18.19	4.97	39.26	73.24	13.46	761.2)
3/4 cup mozzarella cheese Aldi brand
(240	18	9	18	6	0	540)
1 1/2 cup vanilla icecream
(400	24	14	6	40	0	100)
6 corn tortillas Romero Aldi brand
(216	0	0	6	42	6	108)
2 servings Sprouts vegan protein powder
(240	5	0	40	10	4	680)
2 cup almond milk Almond Breeze brand
(60	5	0	2	2	2	340)
1 cup frozen mixed berries Winco brand
(80	5	1	1	20	9	0)
1 hummus bowl, 2 servings hummus, 1 serving feta cheese
,vegan beef, pickled beets, cucumbers, kale, wheat pilaf
(1185	59.3	15.9	45.4	126.6	24.1	2321)
1 slice pita bread
(170	1.7	0.3	6.3	35.2	4.7	340)
1 grapefruit
(92	0	0	2	24	2	0)
=589.8+240+400+216+240+60+80+1185+170+92
=18.19+18+24+0+5+5+5+59.3+1.7+0
=4.97+9+14+0+0+0+1+15.9+0.3+0
=39.26+18+6+6+40+2+1+45.4+6.3+2
=73.24+6+40+42+10+2+20+126.6+35.2+24
=13.46+0+0+6+4+2+9+24.1+4.7+2
=761.2+540+100+108+680+340+0+2321+340+0
</t>
  </si>
  <si>
    <t>Woke up at 530 am and got out of bed, not by alarm, it was a few minutes after 530 am, have things to do before getting ready for a local new client at 11 am and going to work. My normal 11 am client is finishing up her birthday weekend, and has last of 10 MLD massages this Wednesday before signing up for another package. I finished the discussion for genetics and response, have a quiz study guide to study for in genetics and homework and a lab to finish up on the sigfigs I have been putting aside. Fed Mr Growly his meds this morning with the babies' food, had a couple cups of coffee by 7 am and finished the discussion around 645 am and input the nutrition for yesterday from my notecard of written meals for yesterday. The roommate was loud last night and I told him around 2 am that I was going to be loud when he goes to bed if he didn't quiet down, a lot of noise with dishes and banging them and the doors as he entered and exited the outside because no other doors in our apartment. Didn't have a BM by the 2nd cup of coffee or afterwards, and had the heater on this morning because I was cold. He turned it off in the middle of the night because he said I didn't need it on. I pay the electricity here even though it is in his name now. I will watch the prerecorded lectures in genetics with my 3rd cup of coffee and see if I have a BM then take my body measurements and get ready for my client scheduled for 11 am. But want to be out the door by 1030 am if local and not some part of Corona far away. Bleeding med-heavy today and few clots, had a heavy moderate mensa flow during the night. Had a reg lg BM before 3rd cup of coffee, drank 3rd cup of coffee did the edits to square booking site and added link to latest youtube demo, then took measurements by 750 am. Then had a bowl, the last, of the 5-1-21 recipe pasta with 1/4 cup mozzarella cheese. Watched the 1st prerecorded ch12 lecture of last week, and had a serving and a half vanilla icecream and gave babies their own, and then 3 quesadillas normal style with added parsley flakes. Went to clients, she signed up for the 10 pack of MLD massages, nice lady, professional tax/acct biz owner, many health abdominal factors. Used Square, will go in savings 450- fees and whats remaining for the 45 per massage. Lives 20 minutes away, 15-20 minutes, in range. Will be 9 am on Mondays and 11 am on Thursdays until June 3rd. Stopped out of way other side to go to bank to deposit my Tuesday client's check she gave last week. Been so busy, its prepaid anyhow, no rush. But if I wait too long the client might forget she wrote a check and it throw off her balance. See her tomorrow also a very nice lady. Had a yuckky, not yummy, sweet cold brew iced coffee from Dunkin Donuts on the way back and just like I said yucky, not worth the $4 and some change as tip. I also stopped by Target and got more sanitizing wipes, lg laundry detergent, dryer sheets, 2 lg bottles of hand lotion for dry skin and protect hands after all the rubbing alcohol and soap I use and lather on. And some Q tips because I haven't bought any from this 500 qtip box in probably more than a year. The roommate went to the urgent care and his ear ache he has had a week now is because of what looks like a piece of plastic in it, and not sure how it got there, but he told me while I was at work in an audio clip because he had advanced beyond misspelled text messages and straight to audio messages. At work I had a smoothie I made at home, this protein powder tastes the way dog food smells, not getting into it, but its pulling my protein to fat/carb ratio up and not using it as a meal replacement. I had that of 2 servings protein powder, 2 cups almond milk, and a cup of frozen mixed berries the winco brand. Also had hummus republic, cheated on gluten free and had their plant based probably soy or morning star brand type meat made of soy and has gluten, with some added crunchy, uncomfortably like stale cruncy wheat grains, and a slice of their heated pita bread that got hard fast and almost stale after 10-15 minutes while eating it after driving across the parking lot in traffic of the shopping center. Then also had a grapefruit from the bag of grapefruits left in the car. Still haven't made the new client her receipt or SOAP notes and will get to it, I also poured another serving of the greygoose vodka and cold water with separate glass of ice. The roommate moved his stash to the other side of his bed cabinets with hats over them. He must know I am taking his alcohol. I will replace it from Rite Aid when I find time. I hope he didn't poison them, he said not to drink them because they are his boss's he hasn't worked for since December, and it is May. He grabbed the bottles from a table or hotel they were recording with his rappers and never gave them to him. He wouldn't poison them, he's not like that. Hopefully, that vaccine isn't poisoning me either. Scared to see if my lower body swells up with the next dose since my ankles and feet swelled with this one for a week and lingered. Today my ankles were slightly swollen, and my knee only a little uncomfortable stepping up while standing at computer. My mensa started heavy but got down to medium flow by 1130 pm. I have a busy week this week. I forgot to mention my HP lithium ion battery I ordered 2 days ago arrived and I picked it up after getting the yucky dunkin donuts version of sweet cream cold brew. I fiddled with it but forgot to put the RAM in before work, then did put the RAM in, because the fan kept running. But it works fine, has the drive I don't use but to take proctorio or respondus for exams online.</t>
  </si>
  <si>
    <t>donuts roommates, 3 chocolate</t>
  </si>
  <si>
    <t>donuts roommates, 2 glazed</t>
  </si>
  <si>
    <t>barilla red lentil pasta 4.5 servings of 2 oz servings</t>
  </si>
  <si>
    <t>pot of red lentil penne pasta, 1 1/2 bell peppers yellow orange, 1 eggplant med-sm, prego3 cheese, no olive oil, makes 4 bowls</t>
  </si>
  <si>
    <t xml:space="preserve">4 servings vanilla icecream
(800.00	48.00	28.00	12.00	80.00	0.00	200.00)
bowl of red fennel pasta/prego 3 cheese/eggplant/1 1/2 bells yellow orange
(305.13	3.61	0.65	17.70	55.43	9.08	601.25)
1 cup almond milk
(30	2.5	0	1	1	1	170)
5 donuts
(1260.00	75.00	45.00	10.00	140.00	3.00	1040.00)
6 corn tortillas
(216.00	0.00	0.00	6.00	42.00	6.00	108.00)
3/4 cup mozzarella cheese
(240.00	18.00	9.00	18.00	6.00	0.00	540.00)
=800+305+30+1260+216+240
=48+3.6+2.5+75+0+18
=28+0.65+0+45+0+9
=12+17.7+1+10+6+18
=80+55.4+1+10+42+6
=0+9.1+1+140+6+0
=200+601.3+170+3+108+540
</t>
  </si>
  <si>
    <t xml:space="preserve">Woke up at 630 by alarm after actually waking up 10 minutes earlier and laying in bed tired, got 5-5.5 hours sleep. Went to bed around 130 am. Finished the lab with correct significant figures, but didn't email it to my chemistry professor by 8 am. Did the usual routine, gave Growly only one of his 3 pills, because 2 others were given around 1 am last night for the every 12 hours, and this one is the every 24 hours, the next ones around 1 pm for 12 hour pills, when I get back from my 12 o'clock client. Last night a client without many knots a  female, said she felt 'ok' after the last massage for an hour and a half, then I turned up the lights and didn't care for her, quiet whole time, slept some in session, but said she felt 'ok' was irritating. She didn't have any knots to work out and wasn't definitive about what type of massage. She mostly gets facials and had one massage with Matt who I don't care for, he's a bully, and I have been ignoring him since the last time I 'snitched' on him he calls it for sneezing a rocket explosion of snot in break room twice around October. The kind of dude I wouldn't mind randomly jabbing in the face a couple times. Loser dude, but has to get all chummy with coworkers, seen him sexually harass a girl who sits with her elbows right next to him in the breakroom. They are anti-maskers. She used to eat a banana or other 'fallic' food items to a pervert, and he'd say some stupid sexual comment about a whistle or holler of guys misbehaving don't remember what exact words, but I complained and haven't seen it. I am snitch to him and he tried to bully me into apologizing for him getting his nasty big belly big nosed snot molecules in the air. Total scumbag, again the type I wouldn't mind taking a few jabs to the nose just to see his head snap back. But anyways, lady didn't leave a tip and it upsets me. I really don't like thankless people not paying their service share of gratuity on a service they want to get exactly the price, and show the employees thanklessness and comment that they basically didn't like the massage. I ate a couple of the roommates prepackaged donuts that were dry just now around 8 am, had 2 cups of coffee and no BM, try with a 3rd while I look at the ch9 ppt slides. Watched the ch12 part 2 ppt in genetics instead of ch9 ppt of chemistry. Then watched a redundant Ameoba sisters video on reading or how to read a codon chart that is self explanatory from last video, but 8 minutes to see it again. No reason I should ever not know how to read one even when I am 90 years old. No BM by 4th cup of coffee, but did eat a total of 5 prepackaged reg donuts. 3 chocolate and 2 glazed. then reviewed the ch9 ppt, I have hm for ch 9 due the 7th in 3 days. Want to install a linux, ubuntu, on this 24 GB RAM and NVIDIA machine to start the code and tutorials of the Bioinformatics with Python Cookbook. It can wait. Want to shower in 1/2 hour after reading ch 9 ppt. Finally, had a lg BM slightly dehydrated by 10:05 AM after almost finishing my 4th cup of coffee and 25% of the ch 9 ppt slides. 5 donuts accounted for, a side of chips inbetween, the baked lays 65% less fat of roommate's, 4 cups of coffee by 1030 am, went to client's then stopped at Stater Bros to get a gallon of vanilla Swiss icecream, a bottle of grey goose vodka that was locked up but $1 cheaper than the Belvedere I was going to get, the cashier released it for me, while some weird judgemental non eye-contact fat hispanic lady buying a couple bags of pork skins and other smaller items waited. I also bought individual canned catfood because they only had the seafood type in a  box of 24 that the babies and cats don't care for. At home, read some more of ch9 did the laundry in the wash, and had 3 quesadillas normal style with added baked lays, and 2 servings vanilla icecream before 245 pm. Then class starts at 3 pm, and logged in before that time for the chemistry lecture, my Left thigh bone area and inner thigh ache at random like low immune cells and generating more. But it comes and go, not straight pain. I noticed it happened a few days ago with bone pain that went away, but the inner thigh feels like a vein or artery being stretched. or myfat cells being stretched. Got to slide 42 out of 65 before logging into the lecture. Ankles still swollen not as bad but got worse over the day. The left aches lifting or rotating it. The electricity kept going out and stayed out a good 20-25 minutes at 5 pm, lab starts at 6 pm, and I had it go out for 2-5 minutes before internet up and running at 4 pm during the lecture that ends at 430 pm. I called and got an automated prompt saying it is aware of the outage in our zipcode due to a voltage problem they are repairing. Had a serving of the vanilla icecream or 2 that fit exactly in my cup after blended with 1 cup of almond milk and topped with cinnamon. Drank it fast it had my 5th cup of instant coffee in it a tbs of it. Didn't wake me up, made me tired, around 420 pm. I plan on having some vodka after lab tonight, just the same shot and a half with ice water or cold water. I got through 8 questions of the ch9 hw in chemistry by 1015 pm and its due the 7th in 3 more days, but busy tomorrow with work and clients after work, and Thursday morning so wanted to use what time available, drank my vodka 1 serving of greygoose with cold water by 1015 pm as well, fed Growly his 12 hour pills at 915 pm, to even it out so that I can give him his pills tomorrow before work, then after work the 12 hour pills. He still coughs some and chokes when he coughs, but it is much better and he is breathing better. Also, had a sm solid BM before finishing my vodka water drink around 1015 pm. </t>
  </si>
  <si>
    <t>granny goose generic potato chips similar to lays brand, 3 servings</t>
  </si>
  <si>
    <t>Woke up at 530 am by alarm, went to bed a little after 11 pm but close to 11 pm, got about 6.5 hours sleep. Did the usual, fed Growly his 3 pills at 530 am, and the babies their food, cleaned up only 1 pet mess, started the ch9 homework, but lengthy on question 9, didn't know what it was wanting needed a demo and requested answer for part a of a-f parts took 40 minutes to complete because had to drag each electron configuration to row. But eductional, after a certain point, the amount of retention in some studying is the same as studying while intoxicated or after a serving or two of alcohol, because the recall when stressed or frustrated is not good at all, just whatever it takes to get it right. But not stressed. Still have 2 days to complete and now 5 questions left. The end questions do tend to be very time consuming with the various parts, and the earlier questions not as time consuming. Took measurements afterwards at 715 am and after 2 cups of coffee and a lg BM after 1st cup of coffee before the roommate came home around 620 am. Then ate breakfast. Had a bowl of the pasta with 1/4 cup mozzarella cheese. Shared with babies. At work, for lunch had a smoothie I packed with 2 serving icecream, 2 servings protein powder, 1 cup almond milk and 1 tbs coffee. That was my 4th cup of coffe, because I had 3rd cup with breakfast. Also had a grapefruit for lunch, one was moldy and was thrown out, those are all gone now. After work, had a smoothie/shake of 2 servings vanilla icecream and coffee 5th cup with cinnamon like a capuccino blast from Baskin Robins, very good. Went to client at 5 pm, then the 7 pm in Yorba Linda. Then did laundry at home, had 2 servings of vodka while reviewing the genetics ch 11 slides, we have a quiz on that chapter tomorrow that I forgot about. Then I finished the ch 9 hw in chemistry. We have a 'review' session for the quiz at 9 am normal lecture for genetics, but really, it's never a 'review session' but a Q&amp;A session, that is why nobody other than me and 3 other females 'check in' to it. It ends early, nobody has questions, or few questions, and no actual review. It has seriously been like this for every 'review' session. But at least her quizzes are very much like her study guides, they don't deviate from the study material at all. I also opened up a fresh bag of generic lays potato chips belonging to the roommate in the fridge and snacked on about 3 servings, 5 per bag, of the Granny Goose brand. While in front of computer and even now after having my 2 servings of vodka. Feeling tired, still need to make the clients their SOAP notes but might do this in the morning. Better prepared. It is already 11 pm. Ankles still swollen a little bit, but knee not so much while at computer, and menstruation is tapered off a lot, to light and light spotty. Entered in my nutrition before bed.</t>
  </si>
  <si>
    <t>bowl penne 5-3-21 recipe
(305.125	3.6125	0.65	17.7	55.425	9.075	601.25)
1/4 cup mozz cheese Aldi
(80	6	3	6	2	0	180)
2 servings Sprouts protein powder
(240	5	0	40	10	4	680)
1 cup Almond Breeze milk
(30	2.5	0	1	1	1	170)
1 grapefruit
(92	0	0	2	24	2	0)
4 servings vanilla icecream
(800	48	28	12	80	0	200)
3 servings Granny Goose potato chips
(450.00	30.00	3.00	6.00	45.00	3.00	405.00)
=305.1+80+240+30+92+800+450
=3.6+6+5+2.5+0+48+30
=0.65+3+0+0+0+28+3
=17.7+6+40+1+2+12+6
=55.4+2+10+1+24+80+45
=9.1+0+4+1+2+0+3
=601.3+180+680+170+0+200+405</t>
  </si>
  <si>
    <t xml:space="preserve">Woke up at 630 am tired and by alarm, got out of bed by 645 am, gave Growly all his meds, and fed babies, then had 2 cups of coffee a reg BM, the roommate came home between that time, had a 3 rd cup of coffee with poptarts same strawberry the roommate always gets, Made flashcards of the genetics ch11 material, the lecture was cancelled, or 'review session' thank fully no complaints, due to her side with technical issues.  They are a waste of time, to be honest, because they don't add to what is already provided by her in prerecorded lectures, ppt slides and the study guides, and could use it to finish the flash cards, and did, then showered after eating a serving of protein in a cup of almond milk with 2 servings vanilla icecream. and a 4th cup of coffee in that drink. Then went and got some beyond meat and nachos supplies with wet cat food and water. Made nachos, makes 3 bowls, had 1 bowl, of 1 pkg beyond meat, red bell pepper, green bell pepper, two small mangos, and 1 zucchini, with about 15 tortilla chips. Also during 1 st half of lecture in chemistry had another cup of coffee for 5 cups total and 2 servings vanilla icecream and the coffee only, no protein powder in this smoothie, but more like liquid because coffee hot. Also, took measurements close to 3 pm after having a bowl of nachos, but before the 2nd capuccino blast icecream drink/5th coffee. Still have that quiz to study for and take, I did some stuying on it, and want to take it before I go to bed, but class all day in chemistry. Still need to study and review the flash cards, I can do on my break. Not really bleeding on menstruation anymore and ankles are only slightly swollen, only wore my waist trimmer and compression socks about 4-5 hours. Later in between lecture and lab had 2 snack sized snickers candy bars of the roommate's, and in lab a serving of baked lays potato chips I got at winco earlier. We worked on the VESPR diagram worksheet, which had my attention. But I was tired, super tired by the last 1/2 hour of lecture, and wanted to take a nap before studying or reading genetics on my inbetween lab and lecture break of 1 1/2 hours. I filled in the blank of the ch 13 ppt of genetics and didn't look at the quiz material. After lab I reviewed my notecards twice, with a glass of cold water and serving of vodka. Let out early in lab to work on lab now accepting 2 weeks past due date it seems. Thank fully I finished my lab early and corrected it twice after turning it in early. My client cancelled tomorrow, so I have time to catch up on sleep, and homework after work. Might take the quiz, read the ppt slides before lecture in chemistry a few times from am to pm, and read the notecards twice while sipping vodka watered down. But tired now. Had a bowl of nachos with sourcream and 1/4 cup mozzarella cheese and serving of tortilla chips and took the quiz. I don't think I did too bad on it, considering there were questions that had to be manually graded and bonus questions. Feel like I did as well as my other quizzes, that I haven't actually looked at the grade on because she manually grades them and takes a couple weeks to do. I went to bed around 1045 pm or right after taking the quiz. I also got those anatomy charts I ordered yesterday when returning from my clients house a little after 12 pm and looked at them. Great bargain for $20 through Amazon.com. I got 10 large and laminated anatomy charts I can start adding to my little youtube and instagram videos to show massage work on. They have a tall and wide layout. </t>
  </si>
  <si>
    <t>pot of nachos no olive oil, 1 pkg beyond meat, red bell pepper and green one, 1 zucchini</t>
  </si>
  <si>
    <t xml:space="preserve">2 strawberry poptarts
(400	10	5	4	74	1	240)
4 servings vanilla icecream
(800	48	28	12	80	0	200)
1 serving protein powder Sprouts
(120	2.5	0	20	5	2	340)
1 cup almond milk
(30	2.5	0	1	1	1	170)
2 bowls of nachos
(849.33	54.40	15.07	62.73	29.53	10.53	1056.93)
4 tbs sourcream Winco
(240.00	20.00	14.00	4.00	8.00	0.00	60.00)
1/2 cup mozzarella cheese Aldis
(160.00	12.00	6.00	12.00	4.00	0.00	360.00)
2 serving tortilla chips
(280	14	10	4	36	4	180)
1 serving baked lays
(120	8.5	0	2	22	1	160)
2 snack size snickers candy bars
(200	9.6	3.6	3.2	26.4	0.8	96)
=400+800+120+30+849.33+240+160+280+120+200
=10+48+2.5+2.5+54.4+20+12+14+8.5+9.6
=5+28+0+0+15.07+14+6+10+0+3.5
=4+12+20+1+62.7+4+12+4+2+3.2
=74+80+5+1+29.5+8+4+36+22+26.4
=1+0+2+1+10.5+0+0+4+1+0.8
=240+200+340+170+1056.9+60+360+180+160+96
</t>
  </si>
  <si>
    <t xml:space="preserve">Woke up at about 535 without an alarm and laid in bed until just before 6 am and then got out of bed. Did normal routine, gave Growly meds at 6 am all 3 pills the 24 hour one and two 12 hour pills, fed babies, made my coffee 1st cup. Got paid today and ready to pay bills, but have to enter in my nutrition from yesterday as I didn't have time to, but did send out my client's SOAP notes. Have a cancellation for tonight, which isn't a bother, because I have a couple different homework assignements due on the 10th in a few days, and should study and prepare for studying when those exams on that material come up by making notecards. Got almost 7 hours of sleep last night, finished inputting nutrition after 1st cup of coffee around 645 am. Had a lg BM after 1st cup of coffee and while drinking 2nd cup of coffee around 710 am. My ankles have still been swollen last few days but not extremely swollen. Today slightly swollen, they didn't get too swollen to where my knees are swollen when standing at the computer either, a good thing. Paid my work van and car payment. Owe 17930 approximately on Dodge Charger, and 27630 on work van as payoff amounts before the payments made. Paid the electric bill in roommate's name too. Transferred money from savings from what I can spend that isn't ear marked as prepaid for clients' massages, to my checking to pay credit card and paid some money on that card. I am planning on taking an online biology course from RCC in the summer but have to wait for May 10th at 10 am to register. I need that course to take anatomy and physiology. Took measurements after bowl of nachos last one with mozz 1/4 cup and 2 tbs sourcream. Running late for work. Just wash face and brush teeth. No 3rd cup before work of coffee, packed it in a 2 serving protein smoothie with 1 serving vanilla icecream. Had 2 servings of baked lays potato chips for lunch and after work, then 2 strawberry poptarts after work, a water and vodka grey goose. Viewed the ch 13 prerecorded lectures after drinking the vodka, only one serving and completed those by 745 pm. Also had 4 snack size snickers candy bars while watching the prerecorded lectures on ch13 on translation. Was feeling very tired. Propped swollen legs up against bed wall while viewing last part of lectures and dozed off for one slide but not enough to call a nap. It helped my fluid drain from my low legs. I didn't eat any real food because I didn't want to make any real food, not even quesadillas. Will go to bed early tonight I am tired, looked at the first few slides of ch 10 lewis structure ppt in chemistry. But tired. I also had a 1/3 a bag of kettle corn popcorn while drinking vodka after work and starting the lectures of genetics. The roommate was getting on my nerves and couldn't wait for him to leave. He left around the time I finished the prerecorded lectures. Stopped by sis's house to get mail, they thought was important but were just notifications of a stimulus already received and a notice of how EDD is affected by some act signed back from April. Old mail, they still had but never gave me. Only 3 cups of coffee today, not 4 or 5. </t>
  </si>
  <si>
    <t>kettle corn popcorn 1 bag</t>
  </si>
  <si>
    <t xml:space="preserve">2 servings baked lays
(240.00	17.00	0.00	4.00	44.00	2.00	320.00)
1 bowl nacho
(424.67	27.20	7.53	31.37	14.77	5.27	528.47)
1 serving tortilla chips
(140	7	5	2	18	2	90)
1/4 cup mozz Aldi
(80	6	3	6	2	0	180)
3 tbs sourcream winco
(180.00	15.00	10.50	3.00	6.00	0.00	45.00)
2 strawberry poptarts
(400	10	5	4	74	1	240)
4 snicker candy bars snack size
(500	24	9	8	66	2	240)
1 serving vanilla icecream
(200.00	12.00	7.00	3.00	20.00	0.00	50.00)
2 servings protein powder Sprouts
(240.00	5.00	0.00	40.00	10.00	4.00	680.00)
1/3 bag popcorn kettle corn
(125.00	7.50	3.33	1.67	15.83	2.50	141.67)
=240+424.7+140+80+180+400+500+200+240+125
=17+27.2+7+6+15+10+24+12+5+7.5
=0+7.5+5+3+10.5+5+9+7+0+3.3
=4+31.4+2+6+3+4+8+3+40+1.7
=44+14.7+18+2+6+74+66+20+10+15.8
=2+5.27+2+0+0+1+2+0+4+2.5
=320+528.5+90+180+45+240+240+50+680+141.7
</t>
  </si>
  <si>
    <t>bowl of nachos 5/8/21 recipe</t>
  </si>
  <si>
    <t>pot of nachos 2 zucchini, 1 green bell pepper, red bell pepper, no olive oil, 2 zucchini, 1 pkg beyond meat makes 3 bowls makes 3 bowls</t>
  </si>
  <si>
    <t xml:space="preserve">1 serving protein Sprouts
(120	2.5	0	20	5	2	340)
1.5 servings vanilla icecream
(300	18	10.5	4.5	30	0	75)
blueberry muffin 85 degrees celsius
(480	26	5	6	59	0	590)
sea salt coffee 85 degrees celsius
(220.00	14.00	9.00	1.00	22.00	0.00	200.00)
6 corn tortillas Romero brand
(216	0	0	6	42	6	108)
1/2 cup mozzarella cheese aldis brand
(160.00	12.00	6.00	12.00	4.00	0.00	360.00)
nachos 1 bowl
(390.33	5.00	3.50	1.00	2.00	0.00	15.00)
1/2 cup mozzarella Aldis brand
(160.00	12.00	6.00	12.00	4.00	0.00	360.00)
3 tbs sourcream
(180.00	15.00	10.50	3.00	6.00	0.00	45.00)
1/2 cup prego 3 cheese sauce with the 3 cheese quesadillas
(70.00	1.50	0.50	2.00	11.00	1.00	480.00)
=120+300+480+220+216+160+390.3+160+180+70
=2.5+18+26+14+0+12+5+12+15+1.5
=0+10.5+5+9+0+6+3.5+6+10.5+0.5
=20+4.5+6+1+6+12+1+12+3+2
=5+30+59+22+42+4+2+4+6+11
=2+0+0+0+6+0+0+0+0+1
=340+75+590+200+108+360+15+360+45+480
</t>
  </si>
  <si>
    <t>Woke up at 530 by alarm tired, woke up after 1st cup of coffee, a lot of pet messes to clean, gave Growly meds, fed babies, had a cup and half of coffee then lg BM, then finished 2nd cup of coffee. Played around with installing ubuntu, a whole process, not simple install, on windows 10 using powershell as administrator, not enough time, got to shower before work, plan on protein shake 1 serving, short day, 6 hours usual, but out by 2 pm. Can fiddle with it at home. Want to start messing with the genomic programming with text books and new computer based on Linux for python version. I had a blueberry muffin and sea salt med hot coffee from 85 degrees celsius for lunch, then at home had 3 quesadillas, then for dinner had a bowl of nachos same recipe as before, with the zucchini and 2 bell peppers and no olive oil and a serving of tortilla chips, listened to country music on 2-3 servings of vodka watered down. Looked at home in Tomball TX where mom lives, finally she called me back is fine, and also at Norco, too expensive. Would buy a home and have mom rent it from me or live there. Instead of their RV park rent in same city of Tomball TX. So expensive for a house especially in this area, more than half a million. mortgage around 2700 a month at that price. if qualified. I haven't listened to country music in a couple of years and like it, its non-misogynistic. My client who is black and a female likes it, one country song is set to one of her friends some guy named Josh and she likes him. I like it. I am going to start listening to it more. Its like chill music. Spotify station 'country favourites' is good. Talked to mom, she is doing fine, all is well, she didn't get her dental work done because she spent it on her other daughter who is cheap when she came to visit. Her only daughter with her husband other than my dad. Her $1400 stimulus wasted pretty much. I ended up having 4 servings of watered down vodka by the end of the day. Went to bed around 10 pm.</t>
  </si>
  <si>
    <t>panera bread mediterranean veggie sandwhich, https://www.calorieking.com/us/en/foods/f/calories-in-sandwiches-burgers-mediterranean-veggie-sandwich-on-tomato-basil-bread/tguPZLn4QNmDbaCmFYtDNg</t>
  </si>
  <si>
    <t>panera bread kettle potato chips, https://www.calorieking.com/us/en/foods/f/calories-in-kids-menu-kids-kettle-chips-side/-kPxlmLbRxidq2VK_AOKUg</t>
  </si>
  <si>
    <t>belvita blueberry biscuits, https://www.calorieking.com/us/en/foods/f/calories-in-cookies-breakfast-biscuits-blueberry/dI-p03zuTU6YV1XobPzaPw</t>
  </si>
  <si>
    <t xml:space="preserve">Hasbro gummie bears, 1 package of 4.5 servings (13 pcs/serving): </t>
  </si>
  <si>
    <t xml:space="preserve">Woke up around 3 pm hot and dehydrated. Went to bed with heater on. Got up at 330 am and had some water, went to van to get more bottled water and had a cup of ice and water. Then started the filling in of the ch12 and ch13 genetics homework. Went back to bed at 4 am and got up at 530 am, but didn't sleep until about 520 am. Got about 5 hours of sleep. Took measurements after eating a bowl of nachos, had a sm BM after 2 cups of coffee. Didn't have the 3rd cup until at work. Installed UBUNTU linux on my Windows PC 2nd part, then installed anaconda 3.7 instead of 3.8 using the curl download package for ubuntu and a tutorial. Haven't tested it out. Ankles slightly swollen, more on R ankle today, no shower today, the roommate was in the bathroom at time I needed it to get ready. Washed face and brushed teeth and put on deodorant. Had 3rd cup of coffee before leaving for work. Mother's Day today. Talked to mom yesterday, is doing well, also made a couple car magnets for a father's day promo with a dude knocked out in the ring, and one knocked out on the massage table telling people to knock their father out this Father's Day with a massage, and also the other car magnet offering the additional babysitter for $15/hour, $22/90 min, and $60/family 5 hour massage bundle. Ordered some board games, a cheap karaoke machine that still got 4.5 star rating out of 5 on my credit card that I just put $300 on. The roommate is in lots of pain in R quad, and LB he worked out too hard again on Low Back. Went to work, the manager/owner bought us panera bread, there was a mediteranean veggie sandwhich and a bag of kettle potato chips I ate only 10% or a few bites of the sandwhich after picking the red onion out of it, I hate onions and the whole sandwhich tasted soggy and like onions. I ate the chips. After lunch the client smelled just like the red onions, thankfully the fan drowned out his smell or pushed it somewhere else in the room other than my face. I went to the poki shop after the gross sandwhich, which I appreciate the gesture but panera bread made it soggy, not the manager's fault its soggy and has onions on it. My break was at 1030 am and nothing was open, the poki shop closed, went to 99 cravings to get a coffee, but didn't see any baristas up and making coffee it feels like a swap meet in there, and I was going to get some snacks, but the line was long, left and went to Staples to pick up toilet paper and paper towels but saw the price was twice as much as what I pay and left there too. I went to work and ate a blueberry wafer biscuit by levita or nabisco brand and a 4th cup of their keurig Donut shop coffee with 4 french vanilla creamers. Then massaged the guy that smelled like onions. Had a mini break, and when I clocked out I noticed I clocked out 2-4 times instead of clocking in and clocking out. Stayed clocked in through mini and regular massage, but they pay me commission on massages and I am normally busy with massages and the way the schedule was I will get paid what I should, even though missed the 90 minute massage of the guy that smelled like onions. After work had a few tortilla chips in the car and stopped at Albertsons for paper towels and toilet paper then Sprouts for beyond meat and a pound of some tuna type fish from the deli that the guy said is similar to ahi but looks like yellow tail poki fish. I also got 5 bags of gummy bears at Albertsons, I thought I only got 4 because the sale was 4/$5 but I grabbed 5 bags, so got the sale then paid full price for one bag of gummis. I ate a bag of gummies between going to Sprouts and arriving home, and it smelled like garbage. As I passed the garbage can stuffing gummy bears in my mouth before covering it with my face mask to enter Sprouts, I thought it was the garbage can, but on the way home, I realized it was the gummy bears. They stank. But still ate them, didn't effect the taste. I always wipe the bag of snack food with rubbing alcohol to disinfect the bag from germs. At home had the last bowl of nachos, with sourcream and mozzarella cheese and a serving of tortilla chips. Then snacked on some baked lays and another bag of gummy bears, probably 2 servings or 1/3 the bag. Tired, no massage for the roommate, he is in pain, but he is at his mom's for mother's day, its actually his aunt who raised him as his mom. I have a quiz Tuesday in chemistry on ch8 and ch9 to study for. I need to review those slides and homework. But I also have a 9 am client tomorrow and want to get some rest today. No alcohol today, because still recovering from last night's 4 servings of vodka. </t>
  </si>
  <si>
    <t>2 bowls nacho
(780.67	10.00	7.00	2.00	4.00	0.00	30.00)
4 tbs sourcream
(240.00	20.00	14.00	4.00	8.00	0.00	60.00)
1/2 cup mozzarella cheese
(160.00	12.00	6.00	12.00	4.00	0.00	360.00)
2 servings tortilla chips
(280.00	14.00	1.00	4.00	32.00	2.00	160.00)
1 serving baked potato chips
(120	8.5	0	2	22	1	160)
1 lg bag Hasbro gummy bears
(450	0	0	9	103.5	0	22.5)
1/3 lg bag Hasbro gummy bears
(150	0	0	3	34.5	0	7.5)
4 coffee creamers
(140.00	6.00	0.00	0.00	20.00	0.00	60.00)
2 bites or 15% of a mediterranean veggie sandwhich panera bread
(66	1.95	0.45	2.7	9.75	0.9	184.5)
1 bag kettle potato chips panera bread
(150	8	0.5	2	17	1	170)
4 blueberry belvita biscuits
(57	2	0.1	1	9	0.8	55)
=780.7+240+160+280+120+450+150+140+66+150+57
=10+20+12+14+8.5+0+0+6+1.95+8+2
=7+14+6+1+0+0+0+0+0.45+0.5+0.1
=2+4+12+4+2+9+3+0+2.7+2+1
=4+8+4+32+22+103.5+34.5+20+9.75+17+9
=0+0+0+2+1+0+0+0+0.9+1+0.8
=30+60+360+160+160+22.5+7.5+60+184.5+170+55</t>
  </si>
  <si>
    <t>shrimp, 8 pcs, https://www.calorieking.com/us/en/foods/f/calories-in-shellfish-mollusks-shrimp-raw/zT-YxBksT4-8mkb5UjUUDg</t>
  </si>
  <si>
    <t>1 cup cabbage, https://www.calorieking.com/us/en/foods/f/calories-in-fresh-or-dried-vegetables-cabbage-boiled/DlGKR3p-Rl6dTO0lB-jhNg</t>
  </si>
  <si>
    <t>salsa, ready to serve, 6 tbs, https://www.calorieking.com/us/en/foods/f/calories-in-salsas-ready-to-serve/wQ1eInQ5QQuxtvtTRgjiXw</t>
  </si>
  <si>
    <t>1 cup black beans, https://www.calorieking.com/us/en/foods/f/calories-in-fresh-or-dried-legumes-beans-black-boiled/4G3IPGPkTAqpuL5Lg5SxSA</t>
  </si>
  <si>
    <t>2 cherry poptarts
(400	10	5	4	74	1	240)
1 chocolate donut
(260.00	17.00	11.00	2.00	26.00	1.00	200.00)
1 serving yellow tail/tuna type fish
(106	0.4	0.1	8	16.7	0.6	186)
1/4 cup zuchini
(27	0.6	0.1	2.1	4.8	1.8	5.4)
1/4 cup green bell pepper
(40	0	0	1	10	3	0)
1/4 cup eggplant
(20.00	0.20	0.10	0.80	4.70	2.80	2.00)
2 tbs sourcream
(120.00	10.00	7.00	2.00	4.00	0.00	30.00)
1/4 cup mozzarella ALdi
(80	6	3	6	2	0	180)
2 serving tortilla chips (lime)
(280.00	14.00	10.00	4.00	36.00	4.00	180.00)
1 lg bag gummy bears
(900	0	0	18	207	126	45)
=400+260+106+27+40+20+120+80+280+900
=10+17+0.4+0.6+0+0.2+10+6+14+0
=5+11+0.1+0.1+0+0.1+7+3+10+0
=4+2+8+2.1+1+0.8+2+6+4+18
=74+26+16.7+4.8+10+4.7+4+2+36+207
=1+1+0.6+1.8+3+2.8+0+0+4+126
=240+200+186+5.4+0+2+30+180+180+45
1/3 cup vanilla icecream
(200	12	7	3	20	0	50)
8 pieces of shrimp
(42.00	0.70	0.10	8.10	0.40	0.00	59.00)
1/4 cup cabbage
(8.25	0.15	0.025	0.375	1.8	0.7	3)
1/3 avocado
(161	14.5	2	2	8.5	6.5	7)
1/4 cup salsa mild
(27	0.2	0.1	1.5	6.2	1.6	594)
1/4 cup black beans
(56.75	0.225	0.05	3.8	10.2	3.75	0.5)
1 serving spicy mayo (similar to mesquite BBQ sauce on shrimp)
(40	4.5	1	0	0	0	40)
1 corn tortilla similar to Guerrero
(50.00	0.50	0.00	1.00	10.50	1.00	10.00)
=400+260+106+27+40+20+120+80+280+900+200+42+8.3+161+27+57+40+50
=10+17+0.4+0.6+0+0.2+10+6+14+0+12+0.7+0.15+14.5+0.2+0.2+4.5+0.5
=5+11+0.1+0.1+0+0.1+7+3+10+0+7+0.1+0.03+2+0.1+0.1+1+0
=4+2+8+2.1+1+0.8+2+6+4+18+3+8.1+0.4+2+1.5+3.8+0+1
=74+26+16.7+4.8+10+4.7+4+2+36+207+20+0.4+1.8+8.5+6.2+10.2+0+10.5
=1+1+0.6+1.8+3+2.8+0+0+4+126+0+0+0.7+6.5+1.6+3.75+0+1
=240+200+186+5.4+0+2+30+180+180+45+50+59+3+7+594+0.5+40+10</t>
  </si>
  <si>
    <t>Woke up at 520 am and got out of bed by 530 am and made my coffee, washed a dish in sink and my cup from yesterday, and fed Growly his meds and the babies some icecream and catfood just in case Growly doesn’t eat his meds today. Need more icecream. I always feed them canned cat food because our cat needs it and its better to give them all canned meat then just one. Want to review ch8 and ch9 before getting ready to go to the 9am client and then enroll in the summer school course after 10 am. I have work from 3-10 pm tonight. More studying between returning from client's house and leaving for work. Went to bed last night around 9 pm. It was early, but was really tired. Got about 8 hours of sleep. Ankles not swollen, but could change later. Updated the ubuntu and anaconda packages no problem, followed along with a separate Docker install for ubuntu 20.04 no problem but when pulling a container as an example didn't work. Left off there, reviewed about 18 ch8 ppt slides, took measurements around 7 am. Then had a cup of coffee and a poptart pkg of 2 cherry flavored ones of the roommates. Had the remaining gummy bears 2/3 bag from yesterday before and after the appointment. Did laundry, registered for the biology course online for summer session, and let my manager know that I am interested and to schedule me in for her first stretch class in a year. She has other massage therapists interested. That's what we were waiting for. I got some fish at the Sprouts yesterday and am going to pan cook it now. Eat like nachos with these lime flavored tortilla chips I bought at Albertsons yesterday. Had one of the roommate's donuts chocolate same kind as the last, tried the bowl of the fish cooked with eggplant, zucchini, and a green bell pepper, and not a fan, will throw out. The dogs only like it with sourcream and cheese. The cat doesn't like it. If my babies don't like it, and I don't like it, must not be good. Took a 10 minute nap between 12 and 1220. Then rested a couple minutes after reading/reviewing ch9 ppt slides, then made client receipt and SOAP notes and emailed to her. Other client, was supposed to set up her appointments for RF but is having a chin procedure done soon, so I texted her 30 minutes before we normally see each other on Mondays at 11 am and no reply. She might have already had the procedure and had the ringer off or something similar. Off to work after the dishes. Just fed the babies, gave Growly half his 12 hour meds and need to give him other half when I get home after 10 pm. Got home around 9 20 pm because the last one cancelled but I had to stay until the last hour if somebody wanted to walk in at that time. Got home, and gave Growly his half of the 12 hour meds from earlier with a spoon of sourcream. Then eased into my quiz review and I have a 12 o'clock client tomorrow before lecture. The quiz is after the break after lecture. Had a serving of grey goose vodka with ice and water, it melts the ice fast. For lunch or my break at work I had Rubios mequite barbeque shrimp tacos with chips, salsa mild and guacamole and a couple tablespoons of black beans, the tacos had cabbage and onions, but not a lot. I also had a bag of gummie bears, the whole bag. Was thirsty in session after break. I also had a coffee with 1/3 cup vanilla icecream and cinnamon before leaving for work. Ankles were only a tiny bit swollen around the ankles below but no swelling at knees when standing at computer with knee up. Bed time around 11 pm.</t>
  </si>
  <si>
    <t>bowl nachos beyond meat pkg 2 green bell peppers only makes 3 bowls per pot, 1bowl:</t>
  </si>
  <si>
    <t xml:space="preserve">2 chocolate donuts
(520.00	34.00	22.00	4.00	52.00	2.00	400.00)
1/2 cup vanilla icecream
(133.33	8.00	4.67	2.00	13.33	0.00	33.33)
bowl nachos
(373.33	24.00	6.67	27.33	13.33	4.67	466.67)
6 corn tortillas Romero
(216.00	0.00	0.00	6.00	42.00	6.00	108.00)
3/4 cup mozz Aldi
(240.00	18.00	9.00	18.00	6.00	0.00	540.00)
5 tbs sour cream
(300.00	25.00	17.50	5.00	10.00	0.00	75.00)
1/4 cup Prego 3 cheese sauce
(35.00	0.75	0.25	1.00	5.50	0.50	240.00)
serving baked lays
(120	8.5	0	2	22	1	160)
serving tortilla chips
(140	7	5	2	18	2	90)
=520+133.3+373.3+216+240+300+35+120+140
=34+8+24+0+18+25+0.75+8.5+7
=22+4.67+6.67+0+9+17.5+0.25+0+5
=4+2+27.3+6+18+5+1+2+2
=52+13.3+13.3+42+6+10+5.5+22+18
=2+0+4.7+6+0+0+0.5+1+2
=400+33.3+466.7+108+540+75+240+160+90
</t>
  </si>
  <si>
    <t>Woke up at 520 AM same as yesterday, no alarm, got out of bed to prepare for studying for the quiz on ch8 and ch9 in chemistry. Normal routine, gave growly his meds with icecream and cat food fed babies cat food and icecream for pups, coffee, reg BM by 2nd cup, notecards on ch8 hw till 9 am then ch9 fewer notecards, wasn't as technical, but recorded concepts, reviewed some more slides, went to client, she is better. Normal 12 pm on Tue client. LB is bone density loss and arthritis and bulging discs and bone spurs. For breakfast had 2 chocolate donuts of the roommates, 3 cups of coffee by 10 am, clients, return 4th cup in a capuccino blast with 1/2 cup of the last of vanilla icecream. Tried a capuccino blast in blender with 2 orange creamsicles and it was gross, chucked it down drain, and made with the real icecream. Before clients house had 3 quesadillas with Romero tortillas, 1/2 cup mozz ALdi brand, after clients had bowl nachos I made but didn't share with babies, tried giving growly his 2nd dose of meds on what i didn't eat at around 5 pm after lecture, the lecture was cut short but stayed logged in, her internet went out and wasn't aware till 30-40 minutes, I bombed quiz6 and last one, it was multiple choice too, don'tknow why. I got choices calculated that were there, and felt like I only missed a few. but said 12/25 pts. Will have to see why it said that. had same baked lays during first part of lecture ealier before it went blank and I cooked up nachos with only beyond meat and 2 green bell peppers no olive oil and the lime tortilla chips, 3 tbs sour cream, and 1/4 cup cheese mozz aldi brand. Had 2 tbs sourcream and 1/4 cup prego 3 cheese in fridge with the 3 quesadillas made earlier before going to client's house. Roommate is a piece of shit, cussing his misogynist and hateful shit and his propaganda videos he subscribes to while taking the quiz, loud as fuck, and also while trying to understand a part of the lab after the quiz on why a certain Resonance structure, he just had to be a loud piece of shit demanding some cream for him, because fuck what I am doing minding my own business. He gets on my nerves so badly. On break now recapping the day. Finished the VSEPR wkst in lab before break at 730 pm for 20 minutes but I need to fill in the printed version or draw in to notecards, take a photo and put into each table cell to fill in before turning it in next week. Can't find the printer ink to do that and that ink is $50 approximately. Have laundry in the dryer to fold. Haven't drank yet, but will after lab, just one drink, I have work tomorrow then a client after work at 7 pm. Still have genetics to catch up on and homework for this class. We will review the quiz after 830 pm if time allows after break. Washed the bed linens but threw on the bed instead of putting them on the bed, Goody pee'd on them last night. He's cute but an asshole, always tries to act like such a good boy. Did the laundry folding and the dishes and cleaned out litter box in reverse order for last few minutes of lab that we worked on the worksheet to turn it at around 850 pm. Feels like a chore now to have one drink, but ok. See what ideas come to mind from my fabulous mind. Thank fully I am not attracted to weapons like knives or smut. Some weird people out there can't drink or else they do weird ass shit and I only say that because I tell or have told clients before that are super conservative about not drinking and staying home and only drinking socially and one lady said as long as I don't play with knives. And I thought odd, but makes sense but also that she must have a story about that one time and others are like why? why not socially? Because I am a conversation whore and drink too much, so I drink at home with my pups. Not me. I know exactly how to handle my liquor, one drink at a time and till I pass out, don't get hung over next day, or get creative. Lots to do, and a busy weekend. See how it goes. Probably drink and fill in the blank to the genetics ppt slides. They are fascinating. I actually only looked at stuff I had to to or get ready for and wrote down the appointments for the week, had a sm BM before bed, had 2 servings of alcohol watered down, and went to bed by 1030 pm</t>
  </si>
  <si>
    <t>Woke up at 330 to pee and went back to bed no problem. Woke up later at 530 am by alarm. Did clean up a bunch of pet messes from the babies, fed Growly his meds with sourcream, then fed him some nachos left over from yesterday in my one bowl I didn't finish because I didn't share with them, then fed them their regular food. Input this nutrition and had 1st cup of coffee. Then looked at the genetics material for this weeks chapters to fill into the ppts. Watched the Amoeba Sisters vids then looked up photo studio equipment for marketing and for searched products I use in massage to create new car magnets or window decals. Had a reg BM 1/3 through drinking 3rd cup of coffee. Finished coffee and took measurements before eating breakfast. Had a bowl and a half of nachos, finished last of it, but gave the other 1/2 bowl to Princess, ate mine with 4tbs sourcreamWinco brand and 1/3 cup mozz Aldi brand. Took shower, brushed teeth, makeup quick style as usual, went to work by 820 am. The plan. Left a little bit earlier than 820 am, traffic not bad because Waze had me on the side street to 71. Didn't pack a lunch but had gummy bears in the car, ate the whole lg bag of Hasbro gummy bears and a grande strawberry funnel cake frapuccino from Starbucks, then about a cup or two of kettle popcorn. Didn't pop the whole bag, so didn't burn it. Put in microwave 2 1/2 minutes instead of 3 minutes. After work had 3 quesadillas with prego 3 cheese sauce and 1/2 cup Aldi mozz and Romero corn tortillas and paprika the usual style. Have to get fuel, everybody is like scared about the fuel prices spiking, hopefully not. Have my 7 pm client I will leave before 630 pm to get to, it is only 10-15 minutes from me and enough time to get fuel. Had my 5th cup of coffee while eating the quesadillas, the 4th was the frapuccino. Going to fill in the ppt slides before going to my clients house. Have 2 hours till then. Tomorrow my 2nd dose of pfizer at RCC. Finished inserting the words to the fill in the blanks of ch14 and ch16 ppt slides in genetics by 535 pm. Went to clients a little early to get fuel, stop back at houes to pee, then leave, got there early. Arranged stuff in work van in front of client's house then met client at door at time 7 pm. Had last of vodka while doing laundry and SOAP notes, it was half a serving or about 1/2 a shot. Looked like more in the bottle, it has a grosss onion aftertaste that doesn't smell like it but tastes like it or sweat, melts the ice fast. Two fat ice cubes in room temperature water with the vodka and ice melted after a minute it seemed. Throat hurt a little after drinking it, made me think of carcinogens and the ppt slides on genetics for the cancer chapter and gene mutations. Not cool. Had some chips tortilla with microwaved mozz on top and paprika and green herb like parsley. Throat felt better. Worried it was strep throat. I am not sure why it would be sore. I wash my hands before eating with my hands. Didn't eat all the chips. About a serving with 1/4 cup mozzarella cheese. Got the 2nd dose of pfizer tomorrow morning and an 11 am client after vaccine. Everything should be as good as the first time. We will see. Everybody says if they had side effects after 2nd one, they happened later in the day or night. Hopefully none, but 11 am should be good. Went to bed around 1030 pm.</t>
  </si>
  <si>
    <t>strawberry funnelcake frappucino starbucks, https://fastfoodnutrition.org/starbucks/strawberry-funnel-cake-creme-frappuccino/venti</t>
  </si>
  <si>
    <t>1.5 bowls nachos
(560.00	36.00	10.00	41.00	20.00	7.00	700.00)
1 strawberry funnel cake frappucino Starbucks
(450.00	23.00	14.00	7.00	54.00	0.00	320.00)
6 corn tortillas Romero
(216.00	0.00	0.00	6.00	42.00	6.00	108.00)
3/4 cup mozz Aldi
(240.00	18.00	9.00	18.00	6.00	0.00	540.00)
5 tbs sour cream
(300.00	25.00	17.50	5.00	10.00	0.00	75.00)
1/4 cup Prego 3 cheese sauce
(35.00	0.75	0.25	1.00	5.50	0.50	240.00)
serving baked lays
(120	8.5	0	2	22	1	160)
serving tortilla chips
(140	7	5	2	18	2	90)
bag gummy bears lg
(450	0	0	9	103.5	0	22.5)
=560+450+216+240+300+35+120+140+450
=36+23+0+18+25+0.75+8.5+7+0
=10+14+0+9+17.5+0.25+0+5+0
=41+7+6+18+5+1+2+2+9
=20+54+42+6+10+5.5+22+18+103.5
=7+0+6+0+0+0.5+1+2+0
=700+320+108+540+75+240+160+90+22.5</t>
  </si>
  <si>
    <t>crumble 6 pack snack donuts generic stater bros , https://www.google.com/shopping/product/15842924218164706174/specs?q=crumble+donuts+snack+size+6+pack+nutrition+facts&amp;prds=eto:16886198593279603810_0;13285918357520324861_0;13190484760091963433_0,rj:1</t>
  </si>
  <si>
    <t>neopolitan icecream generic, serving is 0.67 cups, https://www.vons.com/shop/product-details.960163415.html?cmpid=ps_von_soc_ecom_goo_20200924_71700000073036157_58700006943797770_92700062497604811&amp;gclid=CjwKCAjwnPOEBhA0EiwA609RebJmfQKIG_cL9z5l5g98s6-UG910VvlY9tY2aVfVyb0YsEt5lWExXxoCdU4QAvD_BwE&amp;gclsrc=aw.ds</t>
  </si>
  <si>
    <t>bowl 5-13-21 pasta recipe</t>
  </si>
  <si>
    <t>pot of spaghetti makes 4 bowls 5-13-21 recipe, fettucini barilla gluten free 1 pkg, beyond meat 1 pkg, prego3 cheese 1 jar, 1 green bell pepper, 1 red bell pepper, 1 lg zucchini, no olive oil</t>
  </si>
  <si>
    <t xml:space="preserve">2 strawberry poptarts
(400	10	5	4	74	1	240)
6 crunch crumble snack donuts or 1pkg
using 3 chocolate donuts nutrition, the other seems low on calories for a whole pkg at 68 calories
(780	51	33	6	78	3	600)
1 bowl pasta
(658.5	21.525	5.65	29.525	90.2	7.95	952.6)
1/2 cup mozz winco brand
(160	10	7	12	2	0	380)
1 serving Sprounts protein powder
(120	2.5	0	20	5	2	340)
1 cup neopolitan icecream
(130	4	2	3	22	1	55)
2 cups neopolitan icecream
(260	8	4	6	44	2	110)
=400+780+658.5+160+120+130+260
=10+51+21.5+10+2.5+4+8
=5+33+5.65+7+0+2+4
=4+6+29.5+12+20+3+6
=74+78+90.2+2+5+22+44
=1+3+7.95+0+2+1+2
=240+600+952.6+380+340+55+110
</t>
  </si>
  <si>
    <t xml:space="preserve">Woke up at 430 and went back to bed after looking at the time. Wanted to wake up at 530 but it was 545 when I woke up. Had a weird dream wandering around a place that turned into a library, changing clothes but not being the right ones with another girl thats a friend or close family, then after shower the bra not fitting, having to go somewhere, then upset clothes wrong, talking to some attendants, and having to wipe my butt cause I had a BM and looking at a dude to make sure he wasn't looking at me wiping my butt, saw the wipe, wiped again, discarded, then left in wrong clothes, like I'm dominant or don't give a fuck about any dude, and upon exiting the dude asked if I was bisexual. I woke up and it was 545 am. WEird dream. I rarely have dreams, must be because I am getting my vaccine today, the 2nd dose. And not working. Right, so I am not bisexual, I tried it out in my early 20s and not for me. Tried again, and never right, because just wanted to make sure with a couple different exes or flings, not really 'dated' just whatever, Glenda and Judy were friends in a tub 2003, Sabrina 2003 through promo boxing video, and Charlene and Cori her friend I thought was transvestite with ex Derek once, and Charlene bartender once other time 2007-2008 approximately and it ends there except for Jaqueline also with Derek after the previous two, also a friend close MT and previous stripper. Early 2000s, certainly am not sexually attracted to anybody now. I don't care who judges, because its none of your business and I lost virginity willingly at age 14 1/2 to same guy that I rode my bike in the dark in control the whole time from Carbon to Eastland at his friend's house with my older sister knowing it was planned at 14 1/2, really boring in TX at that time, I look back and know it was stupid, but a different time, my older 16 year old sister was having sex with that was her bf in TX not at the same time, Jared a mixed curly haired green/blue eyed black/white skinny, avg sized dude on small end of avg unaware at time couldn't break my hymen, he was 16, he dropped me back off in his pickup truck with my bike. Not a proud moment, but nothing was forced and could have backed out at any time because sex and teens having it was all over any accessible tv shows viewed in boring TX at time, I don't even blame me, but wanted to try it out to see what all the talk was about, totally not what its about...  I don't let public media tell me who to be attracted to. Different motivations. My ex husband is my 40th guy romance and the last of any. I don't let sexuality rule me. It is not a driving force for me, and anyhow, not planning on having kids. If so, then invitro and pay for a healthy celebrities sperm to make my good gametes into a healthy embryo.  Made some more car magnets. Probably a waste of money to actually get me income but promotes massage and wellness and when they google massage near me or mobile massage or in home massage, or my website, they will eventually know this is a professional massage service. That is mobile. Didn't have a BM or feel close to one by 7:49 am, took measurements while drinking 3rd coffee, finishing it while entering these notes, also updated nutrition content from yesterday. That sucks! I really wanted to have a BM before I get the 2nd dose just in case it makes me get flu like symptoms on this vaccine. Have to shower and want to leave by 830 am, for my 915 appointment to stand in line for the vaccine. Had 4 cups of coffee by 841 am and folded laundry before showering. No BM, felt like I might have a very small one, and noticed blood, a couple drops in toilet. I massaged a client who started her rag unaware yesterday on the table at work yesterday. Coincidence, only 13 days since last mensa started of mine. Tried downing half a bottle of water with 4th cup of coffee too. No BM by 2:50 pm. I went to vaccine site, not a huge line at all, good thing I asked where it was, because it was the parking structure 2nd level. I only waited 5 minutes after it, the lady stabbed me this time, instead of letting the needle do the work. I felt fine. Thought I might get shortness of breath but that was from climbing stairs on 3rd level back to vehicle, and not having worked out in 3 months. Went to house, heavy traffic right at my exit on 91 main st, but got to pee then left for client's house stopped at the Stater Bros on River Rd by her house in Corona and got some paper towels and toilet paper, needed the paper towels and also water but made note to self to get at winco after appointment. Clients same as last time but slightly better able to move around. I ate 1/2 a  pack of cinnamon crumble donuts from check out line on the way there and 2 of the white cheddar rice cakes I got at Stater Bros earlier, then went to Winco got groceries and some hard alcohol a Jim Bean sour apple and another grey goose vodka. Thought I might be getting a headache, but had 4 cups of coffee already before 11 am, and got home, unloaded groceries, started laundry, balanced checkbook account, put away groceries, and made protein shake with 1 cup of neopolitan icecream in the 3/4 gallon I got at Winco, with a serving protein, and 5th cup of coffee and some ice cubes. Tasted alright. Like a malt chocolate smoothie/shake. Then ordered the photo lighting kit, no headache thankfully but started feeling tired, ankles were already swollen this morning, and actually, I am tired every chemistry lecture and lab, lot to absorb, and note take and pay attention to. No brain fog really other than what I normally get. Thankfully no flu like symptoms. Did start to feel the shoulder ache like working out really hard, more noticeable this time, probably because the lady actually stabbed it into my muscle of left deltoid like she wanted it to feel like a bee sting. It doesn't but no need to stab it in there. The needle is tiny enough to cut me on its own. Isn't it? Is the first shot directed at fat of shoulder, and 2nd at the muscle under the fat of the muscle? Only wore waist trimmer from 830 am to 130 pm when I did the laundry for the day. I also stopped at the Dickies store next to Winco and got another set of scrubs with many pockets for $52 that are gray. I love the many pockets and belt loops and the way the scrubs fit snuggly. Some light spotting of blood noticed in pad in undies before going to get vaccine and checking when having to pee afterwards through traffic on way home. Might be on my rag after only 13 days since last one that was irregular. Finished half of worksheet and went to bed at 1130 pm after sipping a watered down serving of Jim Bean sour apple whiskey. Had a couple cups of that neopolitan icecream during first half of lab working on valence bond theory worksheet follow along. Also, the lowest score was 48% on last quiz, bet that was me with 12/20. The questions were confusing, I had time to check, but having to conceptually take apart the words to pick the correct choice made them seem similar to the true response. A few questions we didn't go over how the flow of ionization is like O-&gt; O+e- instead of O-  + e- -&gt; O^2-. I read the reorder wrong for atomic radius knowing the correct direction, but chose first one and never rethought the choice thinking it was right, but was actually the opposite of the correct choice, Then didn't think to pick the 3rd period element based on given ionization energies by magnitude and realize the largest jump in change at the end indicated all the previous e- were the valence e- s and the new e- was from the core e- s. Also, wording for a True selection of given statements, the problem that is correct: "An orbital that penetrates into the region occupied by core electrons is less shielded from nuclear charge than an orbital that does not penetrate and therefore has a lower energy" vs. my selection: "An orbital that penetrates into the region occupied by core electrons is more shielded from nuclear charge than an orbital that does not penetrate and therefore has lower energy." --- because it sounds the same and what does that mean with the wording of less shielded from nuclear charge? Its not more shielded, but is less shielded, when outer orbitals have a higher e- charge if not in an octate? Confusing. Obviously, I know the lower orbitals have lower e- charge, but why would an orbital penetrate the area around the nucleus, wouldn't it be an e-? Another thing to ask about, when I have asked, I don't get a direct answer but a response of how to choose indirectly. Shielded is a term too. It makes sense now, they are less shielded because they are closer to the nucleus, and the energy photons released is more the closer to the core the orbital loses an electron, and less energy the further from nucleus a photon is removed to bring it back down to stable unexcited state. </t>
  </si>
  <si>
    <t>rice cakes white cheddar (quaker brand used, but generic), 14 cakes per pkg, 1 cake:</t>
  </si>
  <si>
    <t xml:space="preserve">Woke up at 2 am and laid in bed, got out of bed at 2 am, finished up the lab assignment. My L shoulder ached from the shot. I only had 1 serving of the Jim Bean green apple whiskey while finishing up some of the worksheet that isn't graded, but will likely help finishing the course and be tested on. Made flashcards out of it. It wasn't what kept me up, or was it? I went to bed around 1130 finishing the first section, then finished last two sections. Had to take photos of structures, crop and save as image and then paste and resize about 40 images all together, the last section at around 410 am the computer shut off with out asking me or notifying me and updated the windows updates. No option not to have within my time variable changes in working on it. Had a cup of coffee after restarting internet and waiting for computer to turn on. It said it updated it and was all done, then finished the insertions of the images for last section and turned in, I was going to go back to bed, but it was quite upsetting to be almost done and have the computer shut off to update and restrict use of any function of the computer. I just got this lap top, and only this computer had that word file I was working on. I might order some printer ink to the printer online, because last I checked at Target, the printer ink was all sold out. I still don't want to give walmart my money, and I bought this lap top from amazon, but the note inside it said, thank you for your walmart purchase. It was an indirect purchase from walmart. I bought it from amazon whoever sold it on there bought it from walmart. I wouldn't have bought it from this person if I would have known it was wal mart. I boycotted Target for more than  a year and still won't go to the Norco one because they treat me like a thief at the self checkout a few years back. Twice. That was too much. I posted all that crap on instagram about the boycott. I have clients later, and little rest, about 4 hours if that, and a homework assignment due by 11:59 pm tomorrow that is worth points. At least no clients booked tomorrow. We are on ch11 of the worksheet, and the ch 10 hw is due tomorrow. I go to her lectures and labs, but its a lot to take in and absorb, and she talks fast at some parts about important information. Like when picking the best resonance structure, I am still not certain why the outer highest electronegativity of Oxygen around Nitrogen is better than any charge on the center Nitrogen and outer. I thought the lowest on the highest charge or the center atom with the lowest charge, or why a bunch of confusing rhymes or reasons that don't easily separate into a venn diagram of decision tree circumstances for picking the best resonance structure. I will log in early next lecture and ask about that, noted. Folded laundry, going to wear my new gray scrubs today. I had some spotting very light actual color of blood and thought I would start my menstruation, but it never got heavier, and not showing today, so I remarked the day as another subsequent day since last menstruation. Had a bowl of pasta after 2nd cup of coffee and made 3rd cup. No BM at that time was around 615 am. Bought the black printer ink for printer on amazon for $25. I should make a protein shake for lunch and not spend any more money, clients have been getting cheaper, the new ones, a few haven't tipped in last two weeks and they were hour and a half. I don't like that skewing my income pool. I get $20/hour at work plus tips, what kind of person gets a massage and doesn't tip a service provider when notices and cashier checkout and check in post it everywhere? I have a few clients that tip slightly more than average, but not enough to pull up my income from the cheap skates. And asking to request again. No thanks bud/chick, your thankless and cheap. Go to a different location to use up all the credits you have before cancelling. It isn't a big deal to have my own personal clients not tip, like my two MLD package clients that I go to their homes for 10 $60 massage sessions prepaid up front for only $450, because I still make money after fuel and its extra. Not cool at work where the labor and service commision is subsidized by tips. That is what I hated about Massage Green, a bunch of thankless cheap skates. Measurements taken after eating a bowl of pasta, 3 cups of coffee, and no BM in two days. Had 4th cup of coffee at work for lunch, nescafe instant I brought. With my 2 serving protein smoothie with a serving frozen mixed berries and 2 cups Almond Breeze milk, and had about 10-15 rice cakes I bought the other day and ate entire package minus 2 I had eaten from it before client on Thursday after 2nd dose of covid19 vaccine. I got them at Stater Bros. I had clients for 3 1/2 hours after work and got back home before 9 pm. I didn't give Growly his meds by 530 pm and gave the 12 hour pills to him around 930 pm instead. I have to get to work by 8 am tomorrow. I am tired. When doing the dishes and picking my bowl to fix a bowl of yesterday's pasta, I accidentaly jammed the back of my finger of right hand into the blades of my ninja smoothie blender I washed. It was a tiny cuts that eventually dried up. I had a bowl of pasta with 1/4 cup mozz wincobrand and 2 tbs parmesan cheese approximately. Shared with babies, and used it to give Growly his meds. I have got homework due tomorrow at 11:59 pm, and haven't started it yet. Had a serving of the Jim Bean candy apple or sour apple whiskey with ice and water. Then made clients their receipts and SOAP notes. A lovely, charming couple I have known for a few months now. </t>
  </si>
  <si>
    <t xml:space="preserve">2 bowls pasta 5-13-21 recipe
(1317	43.05	11.3	59.05	180.4	15.9	1905.2)
1/2 cup mozz winco
(160	10	7	12	2	0	380)
1/4 cup parmesan cheese winco
(160	12	8	16	0	0	800)
2 servings protein powder
(240	5	0	40	10	4	680)
2 cups almond milk
(60	5	0	2	2	2	340)
1 serving frozen mixed berries
(80	5	1	1	20	9	0)
12 white cheddar rice cakes
(540	12	0	12	96	0	1200)
=1317+160+160+240+60+80+540
=43.05+10+12+5+5+5+12
=11.3+7+8+0+0+1+0
=59.05+12+16+40+2+1+12
=180.4+2+0+10+2+20+96
=15.9+0+0+4+2+9+0
=1905.2+380+800+680+340+0+1200
</t>
  </si>
  <si>
    <t>Woke up at 530 am by alarm, gave Growly his 12 hour meds even though I gave it to him last night at around 9pm. Sent in client SOAP notes and receipts, accidentally sent in early before filling out, because when tab-ing and then pressing enter, it tabs all the way to the submit button at bottom of form and sends it. It was sent not filled out. The jotform lets me edit it, but only allows me to think I am editing it, but doesn't send it in once I fill in the other parts of the form and when I submit it in edit mode, it just remains frozen on 'please wait...' Then started the 2nd cup of coffee, and had a lg BM, finally after 2 days without, I was almost ready to go to the store to get some metamucil or coalase pills. Today is the last day to drop with a W, but I am going to stick it out. I came this far, and finals are the 10th of June, today is the 15th of June. The only class I would drop would be chemistry 1A, General Chemistry, for the amount of intense testing that it involves. But 16 weeks and already on week 13 Monday. I can do it. I didn't have time to shower after having the last of the pasta with mozz cheese no parmesan cheese, although we do have it. Then folding the laundry and bringing the protein shake. I absolutely hate the Sprouts protein powder. I will stick to the other one when it comes time to replace this one. I put two servings in 2 cups of almond milk. I had an open spot at 8 am, then a no show at 10 am, and ate a bag of kettle corn I popped the correct amount of time, a bag of Hasbro gummy bears large one, and after my 11 am it was lunch time. I had my protein shake with my 3rd cup of coffee. I made coffee with 4 creamers at work but only sipped a few sips after cleaning out the keurig and running hot water through it 3 cups and saw the residue and color was still yellow orange like apple juice with old particles of coffee grains poured into the cup. I threw out the rest because I started the client early for my 9 am. I only had 3 cups of coffee today, 2 in the morning and 1 at lunch time in my smoothie. After work, I got two of my car magnets for monthly massage to bring someone's dad to champ status and inviting that someone to knock them out with a massage, and the one for babysitting as an add-on of $15 per hour of mobile massage. The wording is wack! Engaged child care for $15 an hour. Meaning get someone to pay attention to your child, instead of plopping them in front of the tv/ipad and sitting and watching his or her phone and chatting with people while 'babysitting' their little one. Keep them engaged. It still works. I would need my niece to be that babysitter and see if this promo has any interested patrons call. I will hire someone if it does, otherwise, part time. Took my measurements before my pasta this morning and after 2 cups of coffee. About to start that ch10 chemistry homework due tonight at 11:59 pm. I had a cup of ice with a serving of the Jim Bean sour apple and water. It is melting fast and has that onion after taste again. Makes me think some bum is hiding in the attic and sneaking down to backwash in my alcohol or something similarly gross. And also that it is the onion taste that is involved in methylation of DNA in the body to loosen up the DNA to cause gene expression of protein creation to be created. Or is that acetylation. We studied this last week. Very interesting in genetics. Acetylation, phosphorylation, and methylation of DNA, Acetylation promotes DNA gene expression by loosening up the histones and creating sites along the DNA strand for mRNA to bind to and transcribe genes into protein outside the nucleus, and methylation is for suppressing gene transcription along the DNA and tightening back up the DNA. Let me check. Just checked, methylation needs phosphorylation and acetylation to occur in the tightly wound DNA inside the nucleus to first use acetylation to open up the tight chromatin fiber or wound DNA coils and histones, then needs phosphorylation to unfold the wound up chromatin but also can condense it or fold it back up so that methylation can increase or decrease gene expression. I bet that onion taste is that methylation of gene expression going on or hypothetically make that assumption. Now on to the ch10 hw in chemistry. Finished by 10 pm, and made some pasta and ate a bowl of it with 1/4 cup mozz winco brand, bed by 11 pm. Pasta is red fennel penne, beyond meat red/green bell peppers, 3 tbs sourcream, prego 3 cheese, 3 tbs olive oil.</t>
  </si>
  <si>
    <t xml:space="preserve">woke up at 530 by alarm. Updaded jot form forms to new intake form consent form on website. Done by 730. Had a reg BM after 1st cup of coffee, and had 2 cups of coffee by 730 am, took measurements at 730 am before bowl of pasta with 1/4 cup mozz. Did regular routine to start as always, 24 hr and 12 hr pills for Growly, feed babies, all after cleaning their pet messes. At lunch ate my 2 protein serving/2 cup almond milk smoothie and went to 85 degrees bakery, got the iced coffee in bottle about 3 cups and drank 1 1/2 cups also had 4 creamers in coffee, had 4 cups total all day, and 1/3 of the cheesecake soufle cake. After work had a bowl of pasta with 1/4 cup mozz, then went to new clients. A nice small family in S corona. Then at home had some drinks with pups, roommate gone but coming back his day off. Did laundry and watched some of genetics video on ch 14, didn't finish, updated a new blog I made at work for genetic sequencing and comparisons and costs to buy a machine and why to get screened. I have homework on c14/16 in genetics due the 20th, an exam on ch 12, 13 and 14, probably Friday as usual. Had a 3rd bowl of pasta with parmesan cheese about 3 tbs or 1/4 cup parmesan. No Mozz. I have it but didn't add it. Shared with the babies. Have 1 bowl pasta left for breakfast. Have a 6 am discussion with a sales rep for ringcental tomorrow. I want to see how much it is to have an automated phone menu set up to direct clients to information on services while waiting for someone to answer their call. And also a 9 am MLD client. Then work till 10 pm. Thankfully no homework due tomorrow. feet and ankles slightly swollen. ft not anymore but were yesterday and earlier today. </t>
  </si>
  <si>
    <t>pot red fennel pasta beyond, penne, 2 peppers red/green, 3 tbs olive oil, 3 tbs sourcream, 1 zucchini, 5-15-21 recipe</t>
  </si>
  <si>
    <t>bowl red fennel pasta 5-15-21 recipe</t>
  </si>
  <si>
    <t xml:space="preserve">bowl pasta fettucini noodles
(658.5	21.525	5.65	29.525	90.2	7.95	952.6)
1/2 cup mozz
(160	10	7	12	2	0	380)
lg hasbro gummy bears
(450	0	0	9	103.5	0	22.5)
2 servings protein
(240	5	0	40	10	4	680)
2 cups milk
(60	5	0	2	2	2	340)
bag kettle corn popcorn
(375.00	22.50	10.00	5.00	47.50	7.50	425.00)
bowl pasta red fennel, beyond, 2 peppers, 3 tbs olive oil, 3 tbs sourcream, prego3 cheese sauce
(926.50	37.34	10.40	52.84	101.74	18.54	964.75)
=658.5+160+450+240+60+375+927
=21.5+10+0+5+5+22.5+37.3
=5.7+7+0+0+0+10+10.4
=29.5+12+9+40+2+5+52.8
=90.2+2+103.5+10+2+47.5+101.74
=7.95+0+0+4+2+7.5+18.54
=952.6+380+22.5+680+340+425+964.75
</t>
  </si>
  <si>
    <t>aldi dark chocolate candy bar</t>
  </si>
  <si>
    <t>aldi lightly salted rice cakes</t>
  </si>
  <si>
    <t>cream cheesecake used but it’s the cheesecake souffle not listed on 85 degrees celsius nutrition</t>
  </si>
  <si>
    <t>1/2 cup mozz
(160	10	7	12	2	0	380)
2 servings protein
(240	5	0	40	10	4	680)
2 cups milk
(60	5	0	2	2	2	340)
2 bowls pasta red fennel, beyond, 2 peppers, 3 tbs olive oil, 3 tbs sourcream, prego3 cheese sauce
(1853.00	74.68	20.80	105.68	203.48	37.08	1929.50)
1/4 dark chocolate candy bar
(55.00	3.25	2.00	0.50	6.00	0.50	0.00)
1/2 bottle 85 degrees celsius iced coffee milk drink
(370.00	15.00	15.00	0.00	60.00	0.00	25.00)
1/3 85 degrees celsius cheesecake soufle cake
(450.00	256.67	44.00	10.33	4.33	12.33	71.67)
3 tbs sourcream
(180	15	10.5	3	6	0	45)
4 french vanilla creamers
(140	6	0	0	20	0	60)
2 plain rice cakes
(80	0	0	2	16	0	30)
4 tbs parmesan cheese winco
(40	3	2	4	0	0	200)
=160+240+60+1853+55+370+450+180+140+80+40
=10+5+5+75.7+3.25+15+257.7+15+6+0+3
=7+0+0+20.8+2+15+44+10.5+0+0+2
=12+40+2+20.8+9.5+0+10.33+3+0+2+4
=2+10+2+203.48+6+60+4.3+6+20+16+0
=0+4+2+37.08+0.5+0+12.33+0+0+0+0
=380+680+340+1929.5+0+25+71.7+45+60+30+200</t>
  </si>
  <si>
    <t>Woke up at 6:09 am but thought the tv said 5:09 even though light out, was tired. Wanted to go back to bed, did my normal routine, Growly's meds, fed babies, coffee, folded laundry from dryer that roommate put on the table, then realized I missed the ringCentral meeting with Russel. I didn't get a link, and he emailed me 10 minutes before. and I was not awake when it occured. Oh, darn. must not have been a priority. Its stupid to schedule it in anyways. I just want a message prompt with customer or caller options to direct them to necessary info, not the other digital options they do with virtual screen sharing meetings. I took measurements before eating the last bowl of pasta with mozz cheese 1/4 cup, shared with babies and sourcream bc it was hot, about 2 tbs. I showered and went to MLD client prepaid at around 830 am to get there at 9am where I finished the bottle iced coffee I took from fridge and rest of the cake 2/3 of it I stuffed in my mouth and tasted better than yesterday with the honey icing and chill from fridge, and I finished the cold coffee completely after this session making it my 3rd cup of coffee. I always see some type of law enforcement on that road but didn't see it that time or for next client along that road. I literally do not feel safe or protected when they drive next to me. I am not a criminal but feel like they are next to me to harass me or intimidate me for not liking that they protect the white male and all conservatives who worship the white male and are therefore in worshipping the white male themselves racist misogynists regardless of their race or gender. I really do not like driving next to them. Lately I have seen them a lot, police or sheriff. And on my way to work a sheriff logo, tinted black window van, next to me on way to enter freeway. Not comfortable but upset me enough to get my adrenaline to keep me awake during the gloomy weather and mental exhaustion from having to work till 10 pm even though I got about 6 hours of sleep. After this client at 9 am, then went home and put laundry in wash but didn't start it, then went to my 1115 appointment with a new client that filled out the consent form and scheduled her appointment and lives a few streets down from other client. Then, after clients and SOAP notes and emails to both, made a protein shake with 2 servings protein, 2 cups almond milk, a serving neopolitan icecream, a serving of coffee. I had 2 cups before that time, and the 3rd cup as the iced 85 degree coffee bought yesterday and fridged. Then at work had an Aloho double salmon spicy mayo edemame ginger brown rice wasabi litte bit cucumber poki bowl. Also had my smoothie on the way there before starting work for 4th cup of coffee, and a 5th cup after my poki bowl with 4 french vanilla creamers. Updated my blog on how expensive either option is and path to working as a lab scientist for research use on screening human DNA from individual people for their whole genome with an email I recieved on the novapore $1k product that isn't made for whole human genome screening and instead is recommended to opt into the 300+k promethION product with training, sales tax, and shipping separate, as well as annual costs of 20k to be lab certified with them and additional certification for each product used from them to have your business listed on their site for research use only RUO DNA whole genome sequencing. Way out of my league. Their site says they want to eventually make this affordable for anybody to use, which I interpret as only an idiot would buy at that price right now. Because later it could be reduced very greatly. Seems like a rip off. Then at home after 10 pm had a drink or serving of the Jim Bean candy apple over ice and with water. And a sm BM for the 2nd one today after finishing that drink. Then input this observation for the day, I wrote down my measurements on a notecard before breakfast while it was in the microwave. Also, this is worth mentioning, at work around 945 pm while I was in the massage room, the front desk got a weird patron or creep, they called security on, because he came in late at 945 pm and wanted to book an appointment when we close at 10 pm then asked to check out the rooms and made the desk staff feel uncomfortable like he wanted to rob the place. The lonely security was out front in his golf cart scaring the weirdo away. But it has happened in the past, that weirdos have robbed after targeting the massage facilities in the neighborhood. And it is right by the freeway. I worked at Elements in Mira Loma in 2011 and when I wasn't there some guy robbed that place with a gun, and it was in the news that a guy was targeting small massage parlors at gun point for cash. Also, my niece's first job at a shoe store near the freeway was robbed at gun point twice and her mom wouldn't let her work there anymore before the quarantine happened in early 2020. That is the only time law enforcement should do their job and not harass or intimidate anybody, but they don't and show up late, have you file a report and don't check into the details of the robbery from what I gather, as it happened twice at the shoe store. I went to bed at 12 am after putting laundry in washer and looking at computer news. I also had 3/4 or the remaining Aldis chocolate candy bar I started eating yesterday of dark chocolate before work. I also had a couple dry rice cakes 2-3 between driving to work and looking at my email at my break time at work. Also when arriving home after feeding the babies and doing the laundry and dishes, had a serving of the Jim Bean candy apple with 1 hour till class started with my nachos. Then had the chocolate chip cookies.</t>
  </si>
  <si>
    <t>pasta penne last bowl
(926.50	37.34	10.40	52.84	101.74	18.54	964.75)
1 serving 85 degree iced coffee other half from yesterday
(370.00	15.00	15.00	0.00	60.00	0.00	25.00)
2/3 cheesecake souffle 85 degrees from other day
(900.00	513.33	88.00	20.67	8.67	24.67	143.33)
2 servings protein powder
(240.00	5.00	0.00	40.00	10.00	4.00	680.00)
2 cups almond milk
(60.00	5.00	0.00	2.00	2.00	2.00	340.00)
serving neopolitan icecream
(130	4	2	3	22	1	55)
double salmon poki bowl
(554.50	11.18	2.15	17.80	96.55	8.35	901.00)
creamcheese in poki bowl
(51	5.1	3.2	1.1	0.4	0	43)
4 creamers
(140.00	6.00	0.00	0.00	20.00	0.00	60.00)
3/4 Aldi brand dark chocolate candy bar
(165.00	9.75	6.00	1.50	18.00	1.50	0.00)
=926.5+370+900+240+60+130+554.5+51+140+165
=37.34+15+513.3+5+5+4+11.18+5.1+6+9.75
=10.4+15+88+0+0+2+2.15+3.2+0+6
=52.84+0+20.67+40+2+3+17.8+1.1+0+1.5
=101.74+60+8.67+10+2+22+96.55+0.4+20+18
=18.54+0+24.67+4+2+1+8.35+0+0+1.5
=964.75+25+143.3+680+340+55+901+43+60+0</t>
  </si>
  <si>
    <t>pot of nachos beyond meat, zucchini, 2 green peppers, 2 cups pineapple, no olive oil</t>
  </si>
  <si>
    <t>3 almond joy snack size</t>
  </si>
  <si>
    <t xml:space="preserve">2 bowls nacho pineapple beyond zucc 2 grnpprs
(598.5	36.3	10.05	42.05	28.4	8.9	702.7)
2 servings tortilla chips
(280	14	10	4	36	4	180)
5 tbs sourcream
(300	25	17.5	5	10	0	75)
1 cup mozz winco
(320	20	14	24	4	0	760)
6 romero corn tortillas
(216	0	0	6	42	6	108)
1/4 cup tomato 4 cheese sauce Del Monte brand
(60	1	0	2	12	2	420)
8 chocolate chip cookies
(960	40	24	8	136	8	800)
3 snack size almond joy candy bars
(239	13.5	9	3	30	3	60)
2 dry rice cakes
(80.00	0.00	0.00	2.00	16.00	0.00	30.00)
=598.5+280+300+320+216+60+960+239+80
=36.3+14+25+20+0+1+40+13.5+0
=10.05+10+17.5+14+0+0+24+9+0
=42.05+4+5+24+6+2+8+3+2
=28.4+36+10+4+42+12+136+30+16
=8.9+4+0+0+6+2+8+3+0
=702.7+180+75+760+108+420+800+60+30
</t>
  </si>
  <si>
    <t xml:space="preserve">Woke up at 4:09 am and laid in bed in pain, my inside, gracilis tendon at pubic bone felt twisted in inguinal area and ached. Hurt quite a bit and got out of bed at 430 am. I limped around on it and had 3 cups of coffee while finishing up the genetics homework, but didn't send it in yet. Did some updates of mistakes or misinterpretations that never got corrected on viruses being eukaryotes, but really it was just the DNA from viruses that proved eukaryotes transfer genetic information from the parent to offspring or parent cells to daughter cells and not proteins. Then I took a nap, no BM at all, nor felt like one would be moving along. I did have a small BM late last night after my drink. Ankles still swollen but my sodium rich diet doesn't help determine if its the vaccine I had or stress. The vaccine 2nd dose pfizer on Thursday the 13th. Today the 18th. I had a 10 minute nap after doing the laundry and after finishing up genetics hw and the dishes. made nachos around 8 am and ate a bowl of the nachos of 2 cups pineapple fresh, zucchini, 2 green bell peppers, and a package beyond meat. No olive oil. Reading the last ch 16 ppt for the hw in genetics explained how genes mutate and what genes are mutated involved in the cell cycle cause cell division of mutated genes and how regulators are supposed to catch those discrepencies. But sometimes environmental factors stress the body from diet, chemicals, radiation, infections, and oxidative by products of normal metabolic processes. Interesting stuff. Took a nap after my bowl of nachos with serving of broken up tortilla chips from two bags one lime and other plain. Ate the nachos with 3 tbs sourcream and 1/4 cup mozz winco brand. My nap was about 10-15 minutes, then started the ch 10 ppt slides I completed hw on in chemistry 1A and took a nap at 1010 am for 15 minutes, I had set my alarm because I have my regular client at 12 pm. I also ran my van to keep the hydrocollator pads heated from 920 am until I left at 1120 am. It had 65 miles estimated till gas and by 1120 am had 56 miles estimated till gas. I got to clients location early, so put fuel in close to her house. She is feeling so much better, not worse thankfully. Very nice lady. My infrared light stopped working half through knees, bc I don't change/charge the batteries. I barely run it, but 1-3 minutes and used it maybe less than 10 times all together. It must be powerful that it juices the batteries we figured. No worries, extra battery in car and a charger with USB plug. I took measurements after my nap when waking up from 2nd one at 1028 am and put on a notecard to enter in. When I got home, did laundry, feeling tired. I realized I only got 4 hours of sleep from the pain waking me up. Fed the babies and reviewed as much as last discussion on ch11 ppt before che1a lecture, then logged in with the only student I didn't commit completely left the option unchecked to join with audio but saw instructor logged in about 20 seconds or less after I did. 20 min before class. A few student started showing up after 20 minutes and more by the last 1/2 hour of lecture. We went over ch 12 ppt slides and reviewed molecular orbital diagrams. I need to go over all of that, the details are in the slides on why certain resonance structures, models, and the molecular orbits that share space are configured. I was still working on the other homework. Last lab of the semester later, but we finished the molecular orbital lab worksheet in lecture. I was tired as normal at that time. I always get tired during her lectures, because I wake up and its a lot to synthesize or interpret. Took a 3rd nap for 15 minutes at 440 pm and got up around 5 pm and had 3 quesadillas normal style with a 1/4 cup pasta 4 cheese sauce from the can of other brand I forget the name but its in the nutritional data earlier in the observations. I had a time getting out of bed at 5 pm, felt tired. Before the lecture I had a 2nd bowl of nachos, same as the morning style sourcream mozz and chips. Felt stuffed. Talked to Mom, she got the lipsticks and wanted to say thank you that I sent her for mother's day. I only had 4 cups of coffee all day. Never had the 5th one. Last cup of coffee was before my 10am nap. Was able to shower and wash hair before going to my 12 pm client's house. I also had about 5 small chocolate chip cookies and 4 chunky chocolate chip cookies of the roommates before lecture and 3 of his almond joy snack size candy bars I shared half with the babies around the time I started reviewing the che1a ch 10 ppt slides before client. With the 4th cup of coffee. And I put in a request for Growlys refills with the vet and the lady said around 8 am that it should be ready in a few days. He has 4 days left of his 24 hour pill, and I need to get the refill for his other meds from the online store. I didn't put in the request for the online store yet. My coworker texted me this morning to ask if I would cover for her in the am on June 1st, a Tuesday, but I told her I had class on that day and apologized. I didn't ask why. Didn't calcultate nutrition for yesterday or today by 8:23 pm today. Will do later, and need to make the SOAP notes and receipt for client. She is very understanding. Used the time professor gave us in lab to work on the lab due next Thursday to input the nutrition calculation approximately 40 minutes. Then spent last 5 minutes on lab. Finished up my client's receipt and SOAP notes by 930 pm and fed cat outside before going to bed. I am tired and need my sleep, been waking up actually exhausted last few days. </t>
  </si>
  <si>
    <t>chunky chocolate chip cookies, serving 2 cookies</t>
  </si>
  <si>
    <t>instant mashed potatoes Chefs cupboard Four cheese, package is 4 servings of 1/4 cup dry mix, 1/4 cup:</t>
  </si>
  <si>
    <t>2 bowls nachos
(598.5	36.3	10.05	42.05	28.4	8.9	702.7)
3/4 cup mozz
(240	15	10.5	18	3	0	570)
4 tbs sour cream
(240	20	14	4	8	0	60)
2 servings chips tortilla
(280	14	10	4	36	4	180)
2 servings protein
(240	5	0	40	10	4	680)
2 cups almond milk
(60	5	0	2	2	2	340)
2/3 pkg instant mashed red potatoes
(330	6	6	6	60	3	1710)
sushi roll Rock n Roll *
(389.1	7.245	1.29	10.62	72.45	7.35	1038.6)
5 chocolate chip cookies
(750	40	12.5	5	100	5	375)
4 french vanilla creamers
(140	6	0	0	20	0	60)
=598.5+240+240+280+240+60+330+389.1+750+140
=36.3+15+20+14+5+5+6+7.2+40+6
=10.05+10.5+14+10+0+0+6+1.29+12.5+0
=42.05+18+4+4+40+2+6+10.62+5+0
=28.4+3+8+36+10+2+60+72.45+100+20
=8.9+0+0+4+4+2+3+7.35+5+0
=702.7+570+60+180+680+340+1710+1038.6+375+60
*serving shrimp/1/4 avocado serving salmon
1/4 cup white sushi rice, tempura fried shell, ate about 60% of the roll, not a fan, the rice and wet inside, plus the sushi chef sneezed without his face mask on and was wiping the counter with a solution and rag. Made me think of that when looking at the wet inside of the sushi roll, with 2 small soy sauce packets and serving wasabi, will use 60% of the original poki bowl contents nutrition</t>
  </si>
  <si>
    <t xml:space="preserve">1/3 bowl instant mashed potatoes
(110	2	2	2	20	1	570)
10 corn tortillas Romero
(360	0	0	10	70	10	180)
1/4 cup Del Monte pasta 3 cheese sauce
(60	1	0	2	12	2	420)
3/4 cup mozz
(180	15	10.5	3	6	0	45)
2 eggs
(140	10	3	12	0	0	140)
1/4 cup almond milk
(10	0.75	0	0.25	0.5	0.25	45)
10 chocolate chip cookies
(750	40	12.5	5	100	5	375)
2 tbs olive oil
(260	28	4	0	0	0	0)
=110+360+60+180+140+10+750+260
=2+0+1+15+10+0.75+40+28
=2+0+0+10.5+3+0+12.5+4
=2+10+2+3+12+0.25+5+0
=20+70+12+6+0+0.5+100+0
=1+10+2+0+0+0.25+5+0
=570+180+420+45+140+45+375+0
</t>
  </si>
  <si>
    <t>Woke up at 510 am and napped until alarm woke me up at 530 am, normal routine but did laundry folding and also ordered Growly's meds for one that was sold out at last online source, and switched to a new one that is cheaper and liquid form. Have to check on his meds with the vet today sometime to make sure they aren't pushing it back. Updated the blog again with other stuff or corrections on the gene sequencing side project and the DNA information and analogies of mutations in genes. Ate a bowl of nachos with 1/4 cup mozz and a serving of crushed tortilla chips and shared with babies as always. Then took measurements before showering and getting ready for work. I have a regular client, nice lady at 7 pm tonight. Exam in genetics to study for. Should turn in my homework too. I was also looking at my responses to it before turning it in. Was busy all day, wrote down nutrition inputs, ate sushi yesterday, and one of the sushi chefs grossed me out with his open mask sneeze and the way he kept his counter wet with a rag. I still bought the sushi roll but only ate about 1/2 of it. The Rock n Roll sushi roll from Dono Sushi in Chino. The older chubby asian guy. Got home, worked on filling in study guide for exam then went to client's house, got 2 prebookings for Saturday and another on Wed next week, got many finals and exams the next few weeks and homework. Not trying to take on more clients that are new right now. Went to bed around 12 am and woke up at a little after 6 am. Had a tiny BM after drinking a couple servings of the candy apple liqueur Jim Bean whiskey with water, and then another 2 servings to finish it around 1030-11 pm. Got about 1/2 the study guid or 1/3 of it done all of ch 14. Had 4 cups of coffee, 1 from work with 4 french vanilla creamers. After work had a 2nd bowl of nachos with mozz cheese and chips crushed in it. Ate the 2 serving protein almond milk shake for breakfast at work. Had a few cancellations. Chill day at work. Picked up Growly's meds after work but waiting on one through a new pet meds supplier as other one ran out. Also snacked on some of the roommates cookies and instant red potatoes I didn't take nutrition down for but used another package to approximate. My ankles are swollen as I input from my notes, and my foot the next day at 4 pm.</t>
  </si>
  <si>
    <t>Woke up a little after 6 am, did the normal routine with feeding babies, Growlies meds. My coffee, reg BM by 3rd cup, had some instant potatoes for late snack yesterday about 2/3 the package and this morning had the other 1/3 in 3 quesadillas normal style of corn tortillas and 1/2 cup mozz cheese. Got through most of the exam 3 in genetics on ch12 and ch13 by 11am and 2 pm respectively was done. Had to send last night's client SOAP notes late after my 11 am Illumina discussion with the sales rep on starting a lab with the machine to do whole genome sequencing then at 2 pm with nanopore sales reps to discuss their machine costs and requirements. Both super expensive and cannot outbeat the nebula sequencing price of $300. Require tens of thousands of dollars and only can sequence at that cost about 12 people. Those are more additional notes to take down or edit into my blog on the sequencing data. I was approximating each sequence to be around $3,000 each with the flow cells and reagent kits needed to lyse, fragment, tag, label and sequence with 24 in the PromethION 24 flow cells one for each person, compared ot the GridIon which needs 5 flow cells for one person. Only need pipettes and a bench and thermocycler in addition to the machine but many certifications that take 1-2 months to complete all of them, and set up the lab. Need a histology clinical lab scientist certified of course to operate machinery and the kit preps or they can teach me on how to do specifically just that task for $15k. Very nice ladies I spoke with at both companies. Illumina is Srya and at novapore is Michelle Thai and Sinem. All females. I told them that I couldn't be competitive and that my clients and lab wouldn't know how to beat the nebula lab that only charges $300 for the whole genome but needs 8 weeks to give you the sequence data. Took measurements late, Only completed my exam 3 study guide but didn't try additional memorization of content, but did get some in while filling out the guide. I took my measurements late in the day after che1A lecture. Was feeling tired after first 30 minutes of lecture again, so I just caught up on entering my data for this database the last hour of it while listening to her on Zoom. Her exams are worrisome. For the finals the score must be better than 65% on lab final and better than 60% on final to pass the class. Had 3 quesadillas with the 1/3 pkg mashed potatoes for breakfast after my 3 cups coffee and then had about 5 chocolate chip cookies while working on my study guide for exam 3 in genetics before meeting on MS team meetings at 11 am for 45 minutes with Srya on Illumina NovaSeq 6000 and then had sent the SOAP notes to client and receipt from last night, and then had 2 quesadillas with 2 scrambled eggs in olive oil and almond milk with 1/4 cup Del Monte 3 cheese pasta sauce, then for 2 pm hour meeting with novaseq before it, had 4 th cup of coffee and finished study guide, and during lecture I had the rest of the roommates chunky chocolate chip cookies, because I need to go grocery shopping. Just ate all the tortillas, but have eggs, cheese, milk and pasta, no pasta sauce, no veggies, no beyond meat. And left protein shake in car and still haven't retrieved it to wash it. Also, got my 4 car magnets and they look great. Love them. I told the 2 separate sales consultants on sequencing machines I would make some car magnets to hype up and spread knowledge of whole genome sequencing to start getting interested clients. Will do it eventually. First got to rearrange magnets on car to advertise, even though not looking for more business these next two weeks due to cramped and stressful studying and exam preparations I need to do. Took measurements after lecture and entered in the data into this database, all caught up.</t>
  </si>
  <si>
    <t xml:space="preserve">Woke up at about 1:45 am and got out of bed before 2 am. I went to bed around 930 pm last night, about 4 hours. I studied and of course had printer issues when printing the document after downloading the driver software, and after an hour had to switch to laptop with the software on it instead. Printed out the study guide with my filled in solutions, Read it twice, had 2 cups of coffee and the rest of the mac n cheese mozz cheese no butter and intant potatoes that I made and ate last night after lab. I took the exam a little after 5 am 50 questions, not too difficult a little trickier with no bonus questions with the interent saying it was disconnected intermittently then disappearing. When I went to submit it, the assignment didn't send produced error page, so went on my new laptop, downloaded respondus crap ass cock sucking ass licking lpice of shitt fucking browxer and saw that I could resume at 1/2 the questions, and did so until question 47 where it sent in the exam around 6 30 am saying time was out, witha  90 minute limit, the clock was still running from initial time. I emailed my professor to let her know. At that time I had the 2nd bowl for the day, no BM at all, and started a 3rd cup, had the 2nd cup while taking exam. Fed the babies and GRowly hsi meds early bec didn't want to give it at 2 am when I had my coffee.  I fucking!!!!! hate Responduc Lockdown Browser. Its shiitttyyy!!!! Anyhow, belly extended, ft and ankles super swollen, super high sodium intake and sugar carb intake last few days. Will take measurements now and maybe have a BM before showering. I am going to count the last night bowl of mac n cheese and potatoes into this day since I didn't really digest it in 5 hours including sleep. Full box of mac n cheese 1/2 cup mozz cheese, and pkg of instant potatoes. I also fucking do not like almost all my coworkers at work, I got a text from my boss not to leave the door open with my cell phone in my hands using it, because somebody walked by and wanted to text or call her to tell her. I don't talk to any of those bitches and shtibags, and say hello all the time and only a few say hi back that I like but could take or leave. The others are male/female bitches that complain and gossip and are not friendly. Lets see who is neutral other than front desk, don't really care about them or the bosses, but Sandra, the new girl Romana, Joanna the MT and esthe separate people,Robert, Elvira, and Alejandro/a separate people also who mind their own damn business. Courteous people, not in the group with the asshole shitbaggers, Nicole is courteous too, but the rest can go to fucklels hell and fuck off forever. I wouldn't miss any of those retardss!!!!!!! Just to be clear. Work is work whereever. I am a nice person, those people are fucktards. The people who can go to fuckles hell are Matt for sure the one I want to jab in the face a couple times, Carla or whatever her name is that thinks we're in Mexico because she refuses to speak ENglish and only some to clients, but always Spanish all the time, Aryn, Patrick and Kaitlyn, all gossipers because that adds to negativity in workplace, that don't say hi when I say hi upon entering the building, same with Michael, the new fat chick Melissa Esthe, the bitch coughed without her facemask on 1 foot behind me with her face behind me. Fucking cunt, she gets a jab to the face too. Bam! Just venting. Going to take those measurements now. Broke the caliper arm, but it still works. Also, my roommate's cousin was either killed or killed herself by a guy she was dating/married that she did the laundry and saw holes in the anus part of all his undies, told her sister, then on her own confronted him. Also, the cousin was told the guy was going to a local gay bar that she confronted him with. My roommate saw him at a funeral of one of his other cousin's five years ago and said he was a weirdo who asked him if he likes to dominate, or accused him of being a dude that likes to dominate. The image of how the guy is and how he went to a gay bar and got holes in all his undies in the anus area is not anything but gross, he is said to remind the roommate of a Richard Ramires, slicked back, weird cap wearing tall skinny dude. He thinks his cousin Danielle confronted him with a shot gun and they argued and he pointed at her and caused her to shoot off her face. I just wanted to make a note of that information I heard about yesterday, and he heard about on that day the day before. But wow, he was in a gay bar and comes back with holes in the anus of his undies and all of his undies according to his deceased wife before she died. Must have been some serious hard friction burning a hole in his anus of his undies. At work, had break early at 10 am, so went to 85 degrees bakery and got some pastries and a bottled iced coffee with non dairy creamer, on the way home had 2 rice cakes plain waiting in traffic and stopped at the Sprouts for Impossible meat because beyond meat was gone and some peppers and yellow squash. The power went out about 30 seconds after I clocked out on the way to the front. Then came back on after about the same amount of time. I have plenty to study this weekend, and have three massages tomorrow after work, so tonight and Sunday, because Monday before work a few hours can be squeezed in but my client is doing a 2 hour MLD to makeup for her cancelled Thursday. I blocked the rest of the availability not belonging to my clients that are scheduled. The roommate is in a foul, retarded mood. A lot of traffic for me on the way back, the Friday traffic, but made it to Sprouts 45 minutes after work, and home a little after 5 pm. A salted butter pastry, taro puff pastry, and blueberry muffin, and bottled iced coffee from 85 degrees bakery for lunch. </t>
  </si>
  <si>
    <t>instant red potatoes mashed  4 servings per pkg</t>
  </si>
  <si>
    <t>impossible meat, 3 servings per pkg</t>
  </si>
  <si>
    <t>mac n cheese pkg, 3 servings per pkg</t>
  </si>
  <si>
    <t xml:space="preserve">Woke up at 4:30 am, went to bed at 930 pm. Worked on the homework just reading the ppts and making notes on ch11 che1a. I felt bad, but I had to cancel some appointments with a great family tonight, because I am at risk of failing che1A, I have hw I haven't done and still reviewing the ppt to understand it before starting it, that required  a few hours to get half through it, then this morning a lot. And another 4 hours to 6 hours to start and finish the hw due Mon when I have clients 2 hour in am and work till 10 pm, and an exam on ch7/8/9 that I haven't even studied for. She had texted me to add in her, her mom, and her dad, and is a student herself, and I added her, but didn't realize until last night that I cannot do it. I gave her a $40 discount on a reschedule I made for Saturday. Also, they were going to pay $180 for three hours, when I gave them a five hour family massage for the same price I just saw them about 6 weeks ago. Had lg BM before finishing 2nd cup of coffee, and thats great bc I didn't have any BM yesterday at all. Running late to work, gotta be there at 8 am, have to leave by 730 am at latest, no shower today. I made the impossible meat into nachos this morning, and hate it. I had it before too, but it doesn't compare to beyond meat, and that was the only thing they had at Sprouts. Tastes terrible, absolutely terrible. It tastes like meat, but roadkill is imagined to taste like to me. Like rotten blood from a corpse. Looks like meat, but not good at all. The dogs' food for a while not to waste it. I also took one of the roommate's coca colas, and haven't had a carbonated drink in years. Maybe a year and half. Tried drowning the taste. I don't know why I like fatburger's impossible burger, but not the stuff they sale at the stores. Must be temperature based on how to cook, because it is gross stewed like beyond meat, but not bad when pan burnt like a burger. I ate 1/4 bowl of those nachos, 1/4 serving chips with it, 1/2 can coca cola, then for lunch at work had a double salmon poke bowl with brown rice, edemame, 1/4 cup creamcheese, cucumbers, furikake sesame seeds, ginger and house soy sauce blend, we'll call it ponzu sauce. The 3 rice cakes on the way home and a serving tortilla chips while waiting in the car wash to wash my dodge charger I drove this day and it was really dirty. Looked like I got it out of a dirty storage lot. I didn't have the first hour and a half booked at work, so I was able to complete about 4 chemistry questions of ch11 on my phone, but wrote them down when I got home. Still took a while to get through those questions in distracting break room, and at home worked on the problems until 10 pm and went to bed. In the morning I made a cup of coffee at work with 4 french vanilla creamers but am not counting it because I only sipped it, too many bodies breathing in cramped break room, and I poured it out. Probably why I was so tired, even though I got 7 hours of sleep after lunch and my poke bowl. I made an icecream drink once home and was still tired, that had a cup of vanilla icecream and instant coffee for 3rd and final cup of coffee. I haven't even started ch7/8/9 studying for exam Tuesday and I am finishing the hw for ch11. Last night while drinking a serving of vodka grey goose and on the computer reading through what to prepare for studying and assignments to complete, my instructor for genetics replied to my email with the last questions and I sent her back an email letting her know I was very appreciative and thanking her and with my responses, but don't actually know what the chapter 14 said were the functions of proteins and said something generic like they build, repair, maintain, and protect. For dinner I also had a small cauliflower pizza marguerite I got at Winco earlier in the day, because we needed water, but didn't have my roommate take them out of the van until tomorrow, because we still had water in the car and he doesn't bitch as much if he sees we are out of water already and has me do it. They are 40 packs and heavy and awkward and it takes me two trips, and him only one because he stacks them. They brought chicken wraps and nuggets from chic fil-A yesterday before I went to lunch, but it wasn't a holiday, and I didn't eat any, because it wasn't gluten free or vegetarian. BUt it was nice of work to do, the manager and owner of the store's daughter. Nice lady named Michelle. Had two servings alcohol while writing notes on ch11 ppt the rest remaining from earlier, and then doing some later problems after feeling my body get stressed on molecular orbital theory. </t>
  </si>
  <si>
    <t>taro puff pastry 85 degrees bakery</t>
  </si>
  <si>
    <t>blueberry muffin (berry multigrain ) 85 degrees bakery</t>
  </si>
  <si>
    <t>salted butter pastry 85 degrees bakery</t>
  </si>
  <si>
    <t>1/4 bowl impossible meat/2 bell peppers red green/yellow squash/3 tbs olive oil</t>
  </si>
  <si>
    <t>coca cola mini can serving 1</t>
  </si>
  <si>
    <t>edamame 1/4 cup</t>
  </si>
  <si>
    <t>double salmon poke bowl, 1 cup brown rice, ginger, edamame, double salmon, cucumbers, ponzu sauce</t>
  </si>
  <si>
    <t xml:space="preserve">1/4 dark chocolate Aldi's brand 
(55	3.25	2	0.5	6	0.5	0)
1/4 bowl nachos impossible soy meat/green/red peppers/yellow squash
(100.75	7.00	2.50	5.04	4.04	1.29	93.50)
5/4 serving tortilla chips
(175	8.75	0.625	2.5	20	1.25	150)
1/2 can coca cola
(90	0	0	0	25	0	30)
3 rice cakes
(120	0	0	3	24	0	45)
1/4 cup cream cheese
(204	20.4	12.8	4.4	1.6	0	172)
1 cup vanilla icecream
(266.67	16.00	9.33	4.00	26.67	0.00	66.67)
pkg instant red potatoes
(480	12	8	8	80	4	1640)
5 tbs sour cream
(300	25	17.5	5	10	0	75)
1/2 cup mozz
(160.00	10.00	7.00	12.00	2.00	0.00	380.00)
double salmon poke bowl, edemame,cucumbers,ginger, brown rice, ponzu sauce,furikake sesame seeds, no wasabi forgot to add it when building it
(988.4	18.275	3.325	38.125	132.45	16.875	2007)
=55+100.75+175+90+120+204+267+480+300+160
=3.25+7+8.75+0+0+20.4+16+12+24+10
=2+2.5+0.625+0+0+12.8+9.3+8+17.5+7
=0.5+5.04+2.5+0+3+4.4+4+8+5+12
=6+4.04+20+25+24+1.6+26.7+80+10+2
=0.5+1.29+1.25+0+0+0+0+4+0+0
=0+93.5+150+30+45+172+66.7+1640+75+380
</t>
  </si>
  <si>
    <t>gluten free cauliflower margherite pizza personal size, frozen</t>
  </si>
  <si>
    <t xml:space="preserve">whole package mac n cheese
(780	7.5	4.5	27	144	6	1680)
1 cup mozz 
(320	20	14	24	4	0	760)
1/2 cup almond milk
(15	1.25	0	0.5	0.5	0.5	85)
whole package instant potatoes
(440	8	8	8	80	4	2280)
3 tbs sourcream
(180	15	10.5	3	6	0	45)
bottle iced coffee 85 degrees
(740	30	30	0	120	0	50)
blueberry muffin 85 degrees
(600	8	3	15	120	0	600)
taro croissant 85 degrees
(480	22	11	8	56	2	390)
salted butter croissant 85 degrees
(320	17	10	6	35	0	430)
2 rice cakes plain
(80	0	0	2	16	0	30)
gluten free margherite pizza
(670	26	8	21	88	5	1330)
=780+320+15+440+180+740+600+480+320+80+670
=7.5+20+1.25+8+15+30+8+22+17+0+26
=4.5+14+0+8+10.5+30+3+11+10+0+8
=27+24+0.5+8+3+0+15+8+6+2+21
=144+4+0.5+80+6+120+120+56+35+16+88
=6+0+0.5+4+0+0+0+2+0+0+5
=1680+760+85+2280+45+50+600+390+430+30+1330
</t>
  </si>
  <si>
    <t>Woke up at 4:30 am, but got out of bed at 4:50 am, gave Growly's meds, fed the babies, cleaned up pet messes before that, and haven't entered in my nutrition or many notes for last few days. Decided to update this data base to start the morning. I have one more question on the chemistry hw to complete for ch 11, but don't understand the molecular orbital theory very well to fill it in. Finished filling in from my notecard on the nutrition and searching up the nutrition online to get as accurate nutrition values possible by 6:45 am. Took measurements after the lg BM and before eating breakfast at 6:45 am. L foot is swollen into sandals like other times foot has been swollen, ankles swollen. Has been a while now since they haven't been swollen. Went to bed with them swollen and wake up with them not as swollen. The roommate had the plastic taken out of his ear a week ago but his ear is giving him problems and pain and he has pain when eating and is waiting to see his doctor to look at it again. He got home right when finishing entering the nutrition data. I will have to look at orbital diagrams at work and the ppt to see what the hell the last question of ch 11 hw is asking. It wants me to fill in the orbital diagram for the hybridized locations of bonded and unbonded orbitals with the atomic orbitals of two lithium ions that have a cation charge of 1 on the two bonded atoms. Ran out of time today, it takes time to enter in nutrition of items and many pieces individually if I stray from my diet. And I have certainly been doing that. I found out late that I didn't do a lab that help for that answer was on, but not completely. I was able to finish that lab we did in class but didn't print out to input the answers. I had it recorded in my notebook for che1a. I then made an adobe pdf scan of it and emailed it to my professor to ask if she still takes late hw with a 20% deduction each day its late, and she later replied and said she uploaded it to canvas and its graded. Super! I didn't check the points but some points are better than none. I then did the studying of ch7-9 by looking at the concepts in the ppt slides and making my own copy with the important slides on it about 133 slides long in all. Went to bed at 10 pm. Didn't get to reviewing the hw assignments for those chapters yet. Planning for tomorrow. The meal menu items for today were 2 strawberry poptarts in am, same exact double salmon poke bowl as yesterday, 1/4 cup cream cheese, 1 cup vanilla icecream w 5th cup of coffee, the 4th one was at work on my lunch break after the poke bowl a long lunch, with 4 french vanilla creamers, 3 corn tortilla quesadillas after work with 1/2 cup mozz cheese and before starting the filling in of the worksheet to send in one serving vodka with water. Also, I chopped off my hair today before work, because after washing it in the shower it kept coming out into my hands in little clumps and didn't stop, so I removed it to my chin.</t>
  </si>
  <si>
    <t xml:space="preserve">2 strawberry poptarts
(400	10	5	4	74	1	240)
double salmon poke bowl
(988.4	18.275	3.325	38.125	132.45	16.875	2007)
1/4 cup cream cheese
(204.00	20.40	12.80	4.40	1.60	0.00	172.00)
1 cup vanilla icecream
(266.67	16.00	9.33	4.00	26.67	0.00	66.67)
4 french vanilla creamers
(140.00	6.00	0.00	0.00	20.00	0.00	60.00)
6 corn tortillas
(216	0	0	6	42	6	108)
1/2 cup mozz cheese
(160	10	7	12	2	0	380)
=400+988.4+204+266.67+140+216+160
=10+18.275+20.4+16+6+0+10
=5+3.3+12.8+9.3+0+0+7
=4+38.1+4+4+0+6+12
=74+132.5+1.6+26.7+20+42+2
=1+16.88+0+0+0+6+0
=240+2007+172+66.67+60+108+380
</t>
  </si>
  <si>
    <t>Schar gluten free bread, serving 2 slices (1/2 the size of regular bread)</t>
  </si>
  <si>
    <t>Stater bros brand cheddar potato cringles, serving is 1 oz or 22 chips</t>
  </si>
  <si>
    <t xml:space="preserve">1/3 pkg of the instand red potatoes
(160.00	4.00	2.67	2.67	26.67	1.33	546.67)
3/4 cup mozz cheese
(240.00	15.00	10.50	18.00	3.00	0.00	570.00)
6 tbs sourcream
(360	30	21	6	12	0	90)
2 eggs over med
(140	10	3	12	0	0	140)
4 corn tortillas
(144.00	0.00	0.00	4.00	28.00	4.00	72.00)
1 serving cheese potato chips 3 tbs sourcream included above
(160	10	1.5	1	15	1	115)
2 slices gluten free bread ezekial I think
(160.00	160.00	160.00	160.00	160.00	160.00	160.00)
2 tbs gorgonzola blue cheese crumbles
(100	8	4.5	5	2	0	360)
5-7 sm sliced pickles
(30	0	0	0	8	1	150)
impossible meat
(240.00	14.00	8.00	19.00	9.00	3.00	370.00)
1 cup vanilla icecream
(266.67	16.00	9.33	4.00	26.67	0.00	66.67)
1/2 aldi chocolate candy bar
(110.00	6.50	4.00	1.00	12.00	1.00	0.00)
1/4 cup almond milk
(7.50	0.63	0.00	0.25	0.25	0.25	42.50)
double salmon poke bowl same as yesterday
(988.4	18.275	3.325	38.125	132.45	16.875	2007)
1/4 cup cream cheese
(204.00	20.40	12.80	4.40	1.60	0.00	172.00)
1 serving tortilla chips
(140.00	7.00	0.50	2.00	16.00	1.00	120.00)
4 french vanilla creamers
(140.00	6.00	0.00	0.00	20.00	0.00	60.00)
=160+240+360+140+144+160+160+100+30+240+267+110+7.5+988.4+204+140+140
=4+15+30+10+0+10+160+8+0+14+16+6.5+0.63+18.275+20.4+7+6
=2.67+10.5+21+3+0+1.5+160+4.5+0+8+9.3+4+0+3.3+12.8+0.5+0
=2.67+18+6+12+4+1+160+5+0+19+4+1+0.25+38.1+4.4+2+0
=26.67+3+12+0+28+15+160+2+8+9+26.7+12+0.25+132.5+1.6+16+20
=1.33+0+0+0+4+1+160+0+1+3+0+1+0.25+16.9+0+1+0
=546.7+570+90+140+72+115+160+360+150+370+66.7+0+42.5+2007+172+120+60
</t>
  </si>
  <si>
    <t>Woke up at 4 am and laid in bed, until just before 5 am and got out of bed, to review chemistry hw. I have a client at 9 am for two of her MLD prepaid sessions as a 2 hour. Did the normal routine of feeding Growly his meds and he has one of his 12 hour pills left after this morning, then feeding the babies. The heartland online vet med place said they got the order approved but need 72 hours to process before mailing.  I just got that email this morning. Had 3 cups of coffee this morning, and a tiny BM by 2nd cup. Showered, washed hair. I chpped it off to my chin below the ears, and love it, simple to wash and brush and air drys great. Can't even tell with the waves how terrible the bob cut edges are uneven. People are saying they like it. Thats nice. I reviewed all the ppt of ch7/8/9 last night and made a separate one of copied and pasted slides that I should go over again for concept interpretation and clarity or use in notes. Went over a little over half of my ch7 hw got the rest of that and ch8 and ch9 to go over and note the challenges and wording. I only had 1 serving of the vodka yesterday before making the ppt. The roommate yesterday was upset about the sink, so now the dishes are piled up as the plumber fixes the problem. I have to wait for him to be done to do the dishes. Just lunch dishes, the breakfast ones are done. I also have to give the babies their food before I go to work and get back a little after 10 pm. For lunch made that impossible burger but pan burnt/cooked it so that it is more like hamburger meat and put it together with some gluten free bread, pickles, and italian gorgonzola blue cheese crumbles. That meat tastes the best as a hamburger, but the beyond meat tastes better overall for stewing and pastas and tacos. The impossible meat only tastes good cooked over a high heat to burn or sear it. Note to remember when planning my meals. I didn't mind the gluten free bread. Can't taste it and toasted its the same texture as bread toasted or not. Didn't take my measurements but want to. On to my 4th cup of coffee in a serving of vanilla icecream with 1/2 Aldi chocolate candy bar. Breakfast was 1 1/2 cups of the instant red potatoes, 3 tbs sour cream, 3/4 mozz cheese in 2 corn tortilla quesadillas and the potatoes with 2 eggs over medium. I didn't really eat the eggs and potatoes, gave Princess half. I only ate as much as topping the quesadillas with then gave her the rest. My upper abdominals ached a little uncomfortably like the eggs were sitting in my stomach uncomfortably waiting to be digested. That went away. It would have been better to melt the chocolate in the icecream coffee, that also had 1/4 cup almond milk in it. Because the blender makes it sink to the bottom as a chopped up chocolate candy bar. Tired when I got home had a half serving of vodka with water and ice. around 1030 pm, and input my nutrition. I did some studying of ch7 hw and realized I didn't get the soln to ch7 hw last one. Still have ch 8 and ch9 to look at. Not much more to do and look over ppts. Have a client at 12 pm tomorrow. Then che1a lecture at 3 pm and the exam at 6 pm. I think it is 2 hours. I will check. No more hw past ch11, and those are the only ppt slides I have looked up to. We are going over ch 14 tomorrow. Also, a lab due on antacid titration. At work had the same double salmon poke bowl from aloha poke three days in a row but added wasabi. My calves itched at work, swollen and took off my compression socks and waist trimmer for one client, then put back on the waist trimmer. The plummer fixed the sink earlier today and was able to do the dishes before leaving but the roommate put his dishes and some others from the babies probably after feeding them his greasy food. Got the laundry to fold in the dryer. I just looked and saw that it is ch7-10 not ch7-9, so three more chapters of hw to look at and add in some slides from ppt ch 10. I might only be signed onto lecture for first few minutes then go to studying. That is a lot to workout. Then another half serving plain after seeing that I have another chapter to add into this exam. A serving, to be clear, is gravity counting to 3 seconds as it pours, a half serving is 1 and 1/2 seconds of gravity as it pours. Who knows if its right, but seems to feel like a serving. Read and reviewed most of ch10 ppt and had a reg BM by 1140 pm.  Makes up for the tiny one, and must not be that stressed to have a BM while drinking, after finishing my drink full serving combined that is and while reading/reviewing ch10 ppt. Finished reading/reviewing and inputting copied ch 10 ppt into my study ppt of ch7-ch10. Will review hw problems tomorrow in AM. Bed by 12 am.</t>
  </si>
  <si>
    <t>whipped cream winco brand, serving 2 tbs</t>
  </si>
  <si>
    <t xml:space="preserve">8 slices gluten free bread
(640	8	0	8	128	20	800)
1/2 cup mozz
(160.00	10.00	7.00	12.00	2.00	0.00	380.00)
15 pickles approx
(120.00	0.00	0.00	0.00	32.00	4.00	600.00)
1/2 pkg instant potatoes
(240.00	6.00	4.00	4.00	40.00	2.00	820.00)
1/4 cup sourcream
(240.00	20.00	14.00	4.00	8.00	0.00	60.00)
1 serving cheddar potato chips
(160	10	1.5	1	15	1	115)
impossible meat 3/2 servings
(576.00	33.60	19.20	45.60	21.60	7.20	888.00)
4 tbs bluecheese
(200.00	16.00	9.00	10.00	4.00	2.00	720.00)
2 cans reg sz coca cola
(360.00	0.00	0.00	0.00	100.00	0.00	120.00)
2 cups vanilla icecream
(400.00	24.00	14.00	6.00	40.00	0.00	100.00)
1/4 cup whipped cream
(50	3	3	0	6	0	0)
1 chocolate candy bar Aldi dark chocolate
(220	13	8	2	24	2	0)
=640+160+120+240+240+160+576+200+360+400+50+220
=8+10+0+6+20+10+33.6+16+0+24+3+13
=0+7+0+4+14+1.5+19.2+9+0+14+3+8
=8+12+0+4+4+1+45.5+10+0+6+0+2
=128+2+32+40+8+15+21.6+4+100+40+6+24
=20+0+4+2+0+1+7.2+2+0+0+0+2
=800+380+600+820+60+115+888+720+120+100+0+0
</t>
  </si>
  <si>
    <t>Woke up at 545 am and got out of bed did the normal routine, then went over the hw ch8-10 until 930 am, had a guy want to buy my car on TRED and also not want to go through them for his daughter in FL he is in GA works w airlines. Wants to meet up Friday. He offered what I owe on it, when it was selling online for 20k, he offered 17.5k. I sent him pics of the car and he wants to get the title in his name from the bank, but has to go through DMV to me first, then I transfer it to him. No BM all day, had 3 cups of coffee, 4 slices of gluten free bread, 3/4 cups potatoes, 2 tbs blue cheese, 1/4 cup mozz, 1 serving impossible meat, and 8 sm pickles. Then had a 4th cup with 1 cup of vanilla icecream. The 3rd cup was with 1/4 cup whipped cream and cinnamon. Also 1 full melted chocolate Aldi brand candy bar in the vanilla ice cream of 4th cup of coffee. Tasted like a chocolate milkshake. Then put in linens and my own laundry, did the dishes, and took measurements. So far 4 cups of coffee, so much studying made me tired, planned on a nap and set alarm but was texting back and forth with car shopper and checking on the bank that I didn't get a nap. Got the nice client at 12 pm. Need to get fuel on the way to her house. Don't want to leave too early. No waist trimmer or compression socks today. Got an exam later. in che1a. Also a little spotty on my mensa. Going to wear compression socks only for one client, then put on sandles at home, my calves are already itching with them on. My calves are fat like a fat persons with my hair on my legs curling over but spotty thin patches on my legs. I still cannot stay awake during lectures past 30 minutes. Not sure why, I have to be doing other things while logged on, could be its all a lot of new concepts to absorb. I even take notes, but probably because my writing isn't fast enough to write what gets passed over to talk about another concept or scroll back. I just log in to show I am there, but not all there. Questions!? Of course not, I am still getting used to it or understanding it. Some people could so obviously those times that the instructor asks for questions are meant for those people who are on aderall or something else for ADD, because I am doubtful they read each chapter and did study problems, and if so they wouldn't have questions because they already been there, done that, and its meant as a refresher. To the eats. Lots of sweets. Must have been two ice cream coffee drinks, one with a whole chocolate candybar meantioned earlier, the other without, had pretty much the same thing for lunch as for breakfast. Four more slices gluten free bread, pickles, blue cheese but minus the mozz cheese and the mashed potatoes with impossible hamburger meat. Also had another can of coke, not the mini, the regular sized, for breakfast and for lunch. Diet no more and has been out the door for weeks already. We are having a review session from 6-710 pm, 20 minute break then logging in from 730-910 pm for 90 minutes of exam taking timed with a lot of formula questions, and T/F as was responded to a student's request to know what the questions are going to be about. ughh, that exam was a bomb! again, lost it on it. But got 65% out of 100% so not as bad. But 25 questions and had to skip some and was so stressed at start that it blanked my mind. Not a fan of that instructor. I have no idea why she makes the exams so difficult. Did laundry and trimmed my french poodles' butt hair before having 2 servings vodka after exam around 9 pm. Washed their blankets on the couches when my bedroom is closed off to them. I will be fortunate if I can pass this chemistry class. I started my rag and was light with old blood lining dropping or dark blood. Listening to country music. I like it less and less sometimes. It reminds me of those that are like, 'church, guns, and girls... that worship the white male and beer' and it gets disgustingly conservative and non-inclusive of my beliefs. But Dan and Shay or those dudes that sound like Keith Urban (I think that's the red head aussie actress's man) and marin moris. That gay dude Hoozier or hoser or something like that switched over to country is on one of her tracks. So weird, its a nice repreive from norm for a while, until those singers that are all guns, church and mind washing by their pastor with backwoods conservative ideas and white male pride. Tipsy while journaling or notetaking into this db. My client is super nice, I met the lady she bought a gift card for earlier and separately ( I told you I am tipsy) this is a rewind time loop to this afternoon, and anyways met the clients bff, nice lady, and my client is doing better with her pain management with massage for relief on knees and LB, she forgot she even had LB pain after two weeks because the work and CBD is so great. Not playing. She is my blog subscriber too. I have one other I don't know that follows it. a medline email address. Cool, after two years and having one of the highest google health and wellness sites I have two subscribers to my blog. Awesome! Thats progress. I should go to the places people have time to actually sit back, relax, and spend time reading my work. But anyways, I was talking to the guy that wants to buy my Dodge Charger. He wants to buy it and meet at my credit institution with a cashier's check. I am not sure I like that, sounds like a scam. Why can't he just pay with his debit card inside instead of getting a cashier's check. I will have to take an uber or lyft back home. But won't have to make the June payment if he buys it at price willing to sell it, which is slightly more than what I owe on it. It is truely a feminist car, sexy beast and power of a car. That's why you always see feminist looking chicks or feminine guys driving those Chargers, who needs  a man to make you ( a female ) feel protected when you have a black, pitch black, big rimmed and locked, keyless entry, dash cam, remote key start, sedan that has power and rear wheel power. I can actually trade it in right now for the upgraded model for the payoff that won't add much more to the price of the new vehicle with a hemi engine and much more power, but not the bigger, sexier rims. If he is legit, it would be great to not have to pay an additional $120 + $500 month for insurance full coverage and monthly payment financed and to use that money to save or invest in business or site or move out, and rent. I am supposed to stay with that retarded. Caught him putting rocks in the trash bins again, but he thinks he's smart by only filling it 1/4 the trash and covering with trash or recyclables. He is such an asshole. He doesn't stop doing something that I tell him is not ok. He has to have the last word and do whatever he wants and live by his archaic rules. I am so surprised he doesn't listen to country music. It is better brainwashing for white, male, retards such as himself. He would be so upset if he knew I was disrespecting him. I play it when he is on his stupid podcast or video hate filled videos of minorities and females and such the podcast host created a path of stories to motivate the viewers like a hate church, so that instead of saying, 'amen' they say, 'fuck that bitch, that cunt, that whatever race for doing that shit.' like the story involves somebody who was voted best representation of their race and/or gender. Those podcasts are in need of censorship. But I got work and a client tomorrow I haven't seen in about 3-4 weeks now. Her babie's birthday was mid April I think, and now it is late into May, so more than a month. Bed time by probably 1130. Gotto do those SOAP notes for client earlier. Didn't have a sm BM until around 1115 pm. I worked out the SOAP notes and receipt for client and emailed them around 1130 pm. A little afterward, and had 3 servings of Vodka and a bowl of the rest of the impossible meat and potatoes with 2 slices gluten free bread.</t>
  </si>
  <si>
    <t>white chocolate hersheys july 4th candy bars, serving 1 bar</t>
  </si>
  <si>
    <t>chocolate hersheys bar, serving1 bar</t>
  </si>
  <si>
    <t>Amys bean,cheese,rice gluten free burrito</t>
  </si>
  <si>
    <t>iced sea salt coffee 85 degrees bakery</t>
  </si>
  <si>
    <t>cheese bread 85 degrees bakery</t>
  </si>
  <si>
    <t>morning star vegan beef patty, 1 patty</t>
  </si>
  <si>
    <t xml:space="preserve">1 cup vanilla icecream
(266.67	16.00	9.33	4.00	26.67	0.00	66.67)
1 Aldi dark chocolate candy bar
(220	13	8	2	24	2	0)
1/4 cup almond milk
(40	3	0	1	2	1	180)
2 servings pea protein
(240.00	5.00	0.00	40.00	10.00	4.00	680.00)
2 salted butter bread 85 degrees bakery
(640	34	20	12	70	0	860)
1 cheese bread 85 degrees bakery
(330.00	17.00	10.00	10.00	34.00	1.00	270.00)
sea salt iced coffee med 85 degrees bakery
(220	14	8	1	34	0	180)
1 Amy burrito beans, rice, cheddar, gluten free
(230.00	9.00	2.00	9.00	40.00	5.00	580.00)
3 tbs sourcream
(180	15	10.5	3	6	0	45)
2 tbs bluecheese
(100	8	4.5	5	2	0	360)
1 serving tortilla chips
(140.00	7.00	0.50	2.00	16.00	1.00	120.00)
1 morning star vegan beef patty
(130	5	0.5	16	8	4	390)
1 slice gluten free bread
(80	1	0	1	16	2.5	100)
5 pickles
(30	0	0	0	8	1	150)
2 tbs bluecheese
(50	4	2.25	2.5	1	0	180)
serving cheddar potato chips
(160	10	1.5	1	15	1	115)
3 tbs sourcream
(180	15	10.5	3	6	0	45)
=266.7+220+40+240+640+330+220+230+180+100+140+130+80+30+50+160+180
=16+13+3+5+34+17+14+9+15+8+7+5+1+0+4+10+15
=9.3+8+0+0+20+10+8+2+10.5+4.5+.5+0.5+0+0+2.25+1.5+10.5
=4+2+1+40+12+10+1+9+3+5+2+16+1+0+2.5+1+3
=26.7+24+2+10+70+34+34+40+6+2+16+8+16+8+1+15+6
=0+2+1+4+0+1+0+5+0+0+1+4+2.5+1+0+1+0
=66.7+0+180+680+860+270+180+580+45+360+120+390+100+150+180+115+45
</t>
  </si>
  <si>
    <t>Woke up after 4 am, went back to bed, got a lab due in 2 days but need energy for work and a client afterwards. Woke up at 530 alarm but rested until 610 am and got out of bed and did the normal routine. Filled in the blanks on ppt of genetics course on genetic testing and other interesting information on how genes can be modified.I checked grade in che1a and it dropped from 85 to 83 % with the 65% on exam 3 yesterday. I do like the professor, but her exams are way too tough to master. I get super stressed preparing for them and taking them, I get brain farts that make me forget from the stress and anxiety. Took measurements after 2nd cup of coffee and made a protein shake with 1 cup almond milk, a 3rd cup coffee, chocolate candy bar Aldi brand, and 2 servings protein, then took measurements before taking a shower. No BM this morning, started to feel like I had movement towards one. BUt went away. After showering had a small BM. Then went to work. After the breakfast protien shake, for lunch went to 85 degrees celsius, had an iced sea salt coffee, 2 salted butter and 1 cheese breads. Then after work. On the way home had about 1 serving tortilla chips. That was the 4 th cup of coffee for lunch, was tired when I got home, I made a 5th cup of coffee and then went to client's house at 5 pm. After giving Growly his afternoon early evening 12 hour pill, feeding the babies. Client is having divorce problems with a total deadbeat loser. He quit his job to not pay her any alimony, attorney fees, or child support for their small child. She was crying during the massage face down, stressed. Nice lady, her little child was playing as usual. Haven't seen her in about a month, right before his 3rd birthday, he is talking a lot and better with words in a month. After client's stopped at bank to deposit my yesterday weekly client's prepaid monthly subscription into my savings so as to not spend. Unless the service has been used for the credit balance. My clients are great. I want to hook up my client today with my client tomorrow for a PPP loan application to hopefully get approved. I told her I would give her contact to her in her email of her receipt and SOAP notes. After work and the Target run for small groceries and more laundry detergent a larger size one. and body wash and another coconut scent clorox wipes, I like those ones. I got a lab due tomorrow at 11:59 pm in che1a. I will wait. Had a 3 second serving of the vodka while entering in the food data for this and the SOAP notes and receipts. Got new food items. Ate an Amys gluten free bean, rice, and cheddar burrito with sour cream and bluecheese before drinking the serving of vodka. FYI, lately, there has been an issue with memory and loss of this little speaker, I couldn't find it at one client's house on a Monday, and last client was the previous Wed. And I thought I left it there, not the 1st time, bc I left my clock at a diff client months ago and didn't even know until I saw her a week later. But anyways, I had a 2nd client after her, and told her about the speaker lost, then after the session I saw it plugged and tucked in the back on the cord. So I was happily surprised it was there and it put doubts in my mind about holes in my memory like why did I see it there now and not before when it was wide open. And figured because the massage gun case was covering it. Then I had the 3rd client today, and couldn't find the speaker again and saw the cords and apparently I have multiple USB charging cables, because after the session I saw a cord tucken under the shelf and followed it to the speaker, and it was there! Now I am thinking I am losing my mind or just having holes in my sight that prevent me from grabbing things I never had a problem keeping track of before. Though I have been drinking more now. But not a problem. WE develop ways to convince ourselves that its ok. Currently, I am thinking back to when I drank for years heavy, then stopped cold turkey epiphany God related and narcissitic related to an attribute I could pull out and hold to for 3 years, then started drinking again after realizing my husband was a complete RETARD asshole narcissist. Then got sick. So I currently think when we do this, we create a network in the body that knew there was certain physical attributes related to drinking, then not there, and when encountered again it is considered an antigen that sends your immune response into killer cell mode and makes you sick, so everything in moderation. Because similar to getting stung by a bee once, having a terrible time, then getting stung a 2nd time and dying. Just keep it in your system, its not evil, its tolerable. Dumb thing is to eliminate cold turkey if not able to keep from it for LIFE. You can go propose that to Harvard to publish a study research results on to some science article or just take my word for it. Got onto my 2nd serving vodka by 940 pm and sent out the SOAP notes and receipt already. Not started the lab. Going to go over genetics. Such interesting stuff. We are onto ch 19 and was the Human Genome Project last week, but was studying the exam material. Still have the nutrition to enter for calorie counts.Had a sm BM before having a snack. I had a slice of gluten free bread with blue cheese, pickles and 1 morning star vegan beef patty before trying to put together a  car magnet for genomic data sequencing to start gathering interest and promoting the benefits of genomics and massage. Had 1 3 second gravity vodka earlier, then another 1.5 second gavity vodka all with water. So about 2 servings vodka during the night. Was bleeding med to heavy during that time but bled heavy during night.</t>
  </si>
  <si>
    <t>cauliflower veggie pizza</t>
  </si>
  <si>
    <t xml:space="preserve">2 vegan beef patties
(160	2	0	2	32	5	200)
4 slices daves killer bread
(280	4	0	12	52	8	420)
1/2 cup mozz
(160	10	7	12	2	0	380)
4 tbs bluecheese
(100	8	4.5	5	2	1	360)
10 sm pickle slices
(75	0	0	0	20	2.5	375)
1 cauliflower veggie pizza, picked most white onions off of it while frozen
(560	15	6	14	94	6	1060)
1 1/2 cups vanilla icecream
(400	24	14	6	40	0	100)
1 serving pea protein
(120	2.5	0	20	5	2	340)
1 july 4th white chocolate sprinkles candy bar
(220.00	11.00	7.00	3.00	29.00	0.00	75.00)
2 servings cheddar potato chips
(320	20	3	2	30	2	230)
6 tbs sourcream
(360	30	21	6	12	0	90)
=160+280+160+100+75+560+400+120+220+320+360
=2+4+10+8+0+15+24+2.5+11+20+30
=0+0+7+4.5+0+6+14+0+7+3+21
=2+12+12+5+0+14+6+20+3+2+6
=32+52+2+2+20+94+40+5+29+30+12
=5+8+0+1+2.5+6+0+2+0+2+0
=200+420+380+375+1060+100+340+75+230+90
</t>
  </si>
  <si>
    <t xml:space="preserve">Woke up at 4 am to pee and then drink some water, not a lot. Had to change my pad too, went back to bed, woke up at 6 am, changed pad heavy flow with blood clots on rag, gave Growly his meds with food and fed babies. Instead of icecream they have been getting whipped cream last few days with their cat food. He eats it that way. Fortunately he is eating, good thing, his other pill still hasn't arrived yet. I finished the lab on antacid base report. Took only 2.5 hours, turned it in as a pdf by 830 am but had to ask if the average or deviation of one sample was the formula std dev or just subtracting the average from the one trial in the notes to turn in report. Got class earlier. No BM by 3rd cup of coffee that I had with 2 slices Daves killer bread and a morning star vegan beef patty, pickles, mozz, and bleu cheese with cheddar potato chips and 3 tbs sourcream. I was folding the laundry around 945 am and got a text from my scheduler that my client this morning cancelled her 11 am. No big deal. She can't reschedule it for anytime until after the 12th. I didn't get a text from her, but didn't the last time either. I missed the genetics 9am, but had already decided that these reviews are just Q&amp;A and didn't try to remember to go to it. I probably could have gotten some bonus points for showing. But last week I was the only one with one other classmate checking in 10-20 minutes later. It dropped from 4-5 to 1-2. I don't have any questions. Didn't get a chance to look over the genetics, but can now since client has freed up my time by cancelling, and also look at the ch12/13/14 ppt slides I haven't even looked at in chemistry. There is no hw on these chapters, so it is scary to go into the final without the homework to help in solving problems using the theory. Though, it helps a lot, her exams are still very tough to get the questions answered. I need to contact counseling to see about getting a  pass/no pass and see if I can do it after I find out my grade on the final. I emailed norco and was told to contact Riverside bc its my home college. So I sent an email to the email address Elizabeth Lopez at the Norco campus sent me. For lunch I had a protein shake, 1 serving protein powder, 1 1/2 cups vanilla icecream and my 4th cup of coffee. Also the cauliflower pizza I bought at Target yesterday. And later a white chocolate sprinkled hershey candy bar.I spoke with Ring Central earlier and bought the 12 month service of the phone system they offer to route people calling a number they provide, or transferring my phone to them I opted out of, and updated my website, yelp, and googles with it. People can still call me about massage through my car magnets that have my direct number. But this will be great for forwarding calls to people who want to work with me and get extra work on the side doing mobile massage. I have been constipated all day and passing gas. I passed gas while on the phone with the guy selling me the ringcentral service. I normally don't have gas, because my diet is better and also because I have a reg BM in the mornings no problems normally. Bleeding med-heavy during the day. Stayed home all day. Going to meet the guy interested in my car tomorrow and I called the credit union and they said that it is a normal way for people to pay for the vehicle by paying with a cashier's check instead of a debit card, because the cards have limits on purchases they can make beyond a certain threshold. And he is paying off the Charger for the balance around $17,500. It is worth it and must be going up in value, which is why I raised the price online  a few months back to 20k from 18 k. I had an offer yesterday that made an offer of 19k but told him to see if this guy buys the car it might be off the market on Tred, but if not, then I would contact him. We went over the exam 3 in class, and I feel like I got most of them right, but those few are weighted more in points that I didn't have time to complete, but got to see the reason why some questions or how some questions could be answered. I was getting an aura migraine onset that went away around 12 pm, and its probably because of me being on my rag but also eating wheat or gluten when I stay away from it. I can't believe Target doesn't have gluten free bread. They have almost everything else. Also, took my measurements late. At 8 pm. Had another sandwhich and chips exactly how I had it this morning after measurements. Last half of lab was used to work on worksheets and develop questions for next week to go over or finish up the lab due tonight, that I turned in this morning. Had two servings of vodka and water and ordered Dad a bday gift massage gun on sale for $50 and some photo lighting circular fan disks for myself to arrive Sunday. I had a reg BM before finishing 2nd drink. My stomach feels much less distended now. But still am on rag and have a little bit of lower back pain. Not anything out of the normal. Paid the internet bill too. </t>
  </si>
  <si>
    <t>Woke up at 530 am by alarm but stayed in bed until 5:45 am. Then did the normal routine, Growly's meds, and fed the babies, cleaned up some pet messes, had my 1st cup of coffee, then a 2nd and had my reg lg BM at that time, before breakfast. Breakfast was a protein shake, 1 serving protein, 1 hersheys chocolate candybar, 3rd cup coffee, and 1 cup almond milk. On my rag, med-heavy. Lighter color, slimy and some blood clots. Left for work early to wash car in Dodge Charger. Beautiful car, so happy that I am selling it to a family that has had Charger's. Hopefully they take care of it as the other ones were totalled. The daughter will love it, it was well taken care of. The father is a nice, respectable guy. He was at the credit union after work waiting on time. He test drove it. His daughter is going to school to do child pyschology but wants to be a teacher. His son is going to school to write for movies and he worked for the airlines for 27 years. We paid off the car with his cashier's check, and the mileage was 74, 126 miles, cleaned out, washed on outside. Just left the smog check and registration in glove box. He is getting it registered in FL when he gets back to Atlanta to give to his daughter. He is driving cross country and stopping on the way to visit family. Very nice guy. Seems like a respectable guy. My roommate picked me up, and took me back home on time. His ear is bugging him, even though he had the plastic removed, he says it hurts when he chews and makes him not think right from the pain. I got home, finished the bottle of vodka and then took the roommate's stock he was keeping for his previous boss from an LA party the dude paid more than the bottles are worth. He has had them months, but they are the same grey goose bottles, I will just replace it with another. Its less than $30. Just chilling, but got tons of studying to do. I got my VOIP line set up but not feeling motivated to get creative to complete the phone system, but the routing system doesn't say which extension is which, even though Iknow from the online login admin functions. I will have to set up another menu to direct callers to navigate to each of those items. For lunch had the cauliflower lime cilantro rice and sofritas with a serving of Sprouts tortilla white corn chips from chipotles. After work had a vegan beef patty the last of 4 patty pkg, with 2 slices Daves Killer bread, pickles, mozz and bluecheese. And cheddar potato chips and 3 tbs sourcream. 2 servings of vodka grey goose. Had a head ache washing car before work and sipped a coffee from work for part of 4th cup but didn't drink it all, for lunch had that full 4th cup coffee to help. The head ache subsided, but still felt pressure like my meninges are pressing on a blood vessel. Read about the pericardium inflammation some mRNA vaccines like pfizer have been causing, and worried, bc last few days felt pressure there, but not noticed today. Could have been my empathy for Growly not having his heart meds yet, but he did get it, thankfully, yesterday. Its a liquid one that has to be shaken and comes out like a buret with upside down measurements for 1 mL 2x a day. My stomach kind of felt sick today too but under control. Could be the tight waist trimmer, belt, or not being hydrated, or being on my menstruation. Trying to sell this idea of promethion 24 to my clients at work just in case one bites the line and forks over hundreds of thousands of dollars to buy it or invest in it. Maybe, right?</t>
  </si>
  <si>
    <t>sofritos bowl with cauliflower cilantro rice instead of brown rice, mozz cheese, sourcream, https://www.chipotle.com/nutrition-calculator</t>
  </si>
  <si>
    <t>Schar gluten free bagels</t>
  </si>
  <si>
    <t>cauliflower margherite pizza</t>
  </si>
  <si>
    <t>morning star buffalo chkn patty</t>
  </si>
  <si>
    <t>morning star beef patty</t>
  </si>
  <si>
    <t xml:space="preserve">1 serving protein powder
(120	2.5	0	20	5	2	340)
hershey candy bar
(220	13	8	3	26	1	35)
1 cup almond milk
(30	2.5	0	1	1	1	170)
cauliflower cilantro rice and sofritos with mozz/sourcream chipotle
(410	28	13.5	19	19	6	990)
morning star beef patty
(150	8	1	16	6	3	400)
2 slices Daves killer bread
(140	2	0	6	26	4	210)
1 tbs blue cheese
(100	8	4.5	5	2	0	360)
1/8 cup mozz
(40	2.5	1.75	3	0.5	0	95)
cheddar potato chips
(160	10	1.5	1	15	1	115)
3 tbs sour cream
(180	15	10.5	3	6	0	45)
=120+220+30+410+150+140+100+40+160+180
=2.5+13+2.5+28+8+2+8+2.5+10+15
=0+8+0+13.5+1+0+4.5+1.75+1.5+10.5
=20+3+1+19+16+6+5+3+1+3
=5+26+1+19+6+26+2+0.5+15+6
=2+1+1+6+3+4+0+0+1+0
=340+35+170+990+400+210+360+95+115+45
</t>
  </si>
  <si>
    <t>cinnamon twist 85 degrees bakery</t>
  </si>
  <si>
    <t>1/4 instant red potatoes with 3 tbs sourcream and 1/2 cup mozz cheese</t>
  </si>
  <si>
    <t>potatoes
(210	9.5	7.25	6	22.5	1	680)
2 strawberry poptarts
(400	10	5	4	74	1	240)
salted bread 85 degrees bkry
(320	17	10	6	35	0	430)
cinn twist 85 degree bkry
(330	21	12	5	30	2	280)
bb muffin 85 degree bkry
(480	26	5	6	59	0	590)
3 carmel creamers with 5th cup coffee
(105	4.5	0	0	15	0	45)
1 buffalo ckn patty
(160	6	1	9	19	3	320)
1 vegan beef patty
(150	8	1	16	6	3	400)
2 schar gluten free bagels
(580	7	0	8	120	14	1420)
1 tbs bluecheese
(100	8	4.5	5	2	1	360)
1/4 cup mozz
(80	5	3.5	6	1	0	190)
10 pickles
(75	0	0	0	20	2.5	375)
=400+320+330+480+105+160+150+580+100+80+75+210
=10+17+21+26+4.5+6+8+7+8+5+0+9.5
=5+10+12+5+0+1+1+0+4.5+3.5+0+7.25
=4+6+5+6+0+9+16+8+5+6+0+6
=74+35+30+59+15+19+6+120+2+1+20+22.5
=1+0+2+0+0+3+3+14+1+0+2.5+1
=240+430+280+590+45+320+400+1420+360+190+375+680</t>
  </si>
  <si>
    <t xml:space="preserve">Woke up at 5:30 am and got up tired. Had a few vodka drinks last night. Went to bed around 10 pm. Don't really remember, but don't remember staying up until 12 am. Probably got about 6 hours of sleep. Was tired during last massage, probably the slow electric music too like that hypno electric music sound waves along brain waves hemisync. Did the usual routine, cleaned up a pet mess or two, fed Growly his meds and the babies their food. But read the ch 12 ppt I still hadn't actually read bc too busy studying for a quiz/exam/hw finishing/ lab etc. Finally got to it almost 2 weeks after the lab/lectures reviewed it in class. I finished the ch 14 after work, and the ch 12 before work. Still have to look over those worksheets and try them out before looking at the answers a lot with heat enthalpy and changes and attractions of london dispersion, dipole dipole, Hydrogen, covalent, etc. and bonds that are endo or exothermic and then on to molality and molarity with knowing the vapor pressure of solute and solvent types, etc. A lot that I will need examples and hw type problems to understand. Have to make do with the worksheets. This lab final could be anything that includes these worksheets and also the excel video tips and tricks and all the equipment, the rules of lab, the report statistics, the procedures, anything at all. I will see if we got a review sheet for the lab. I know there is one for the lecture final. But not certain on the lab. We have the lab final Tuesday from 6:30-8:30 pm or 6:00 pm to 8:00 pm. I have to check. Need a 65% to pass course on lab final and it is 25% of grade in course. Breakfast was 2 strawberry poptarts, had 3 cups of coffee and a reg BM before finishing 3rd cup of coffee and after my poptarts. Took measurements, then showered and washed hair. At work for lunch they brought panera bread and it was nice, but I don't like the sandwhiches so I didn't eat any. Every weekend they have been treating us to lunch. I went to 85 degrees with a cup of the coffee no creamer from work keurig, still have a slight headache but not the blinding site just the pressure a little on back R side. At 85 degrees opted out of coffee and got a cinnamon twist with hard sugar crystals the size of epsome salt crystals it seemed and cinnaomon coated on it, crunchy, also a salted butter bread, and a blueberry muffin. After work didn't eat anything until I went to Stater Bros and got some more Morning star buffalo chkn and beef frozen precooked patties, schar gluten free bagels and hamburger buns, a cauliflower margherite pizza, a bottle of Kettle One vodka because they lock up the grey goose for whatever reason. Then at home had a buffalo chkn bagel with mozz and pickles. I fed the babies before going to the store. I gave Growly his meds with icecream and forgot to give him his liquid one until I just remembered at 720 pm. His other 12 hour pill was given around 530 pm. Around 630 pm after reading the ch 14 ppt slides had a vegan beef bagel with blue cheese mozz and pickles. I had a glass of ice water vodka 1 serving while eating my buffalo chkn bagel earlier. I also posted the discussion for genomic sequencing online to buy- would we- dangers-benefits. I had sorted the labs into a separate lab folder to read/review when ready for the lab final. Then entered in the nutrition and notes into this db for today and yesterday. My rag is almost done, its tapering off, very light, light color pink clear slimy, etc. Looked over labs and saw the worksheet on chemical reactions is a lab and need to go back and review that, as well as other worksheets. Thats only ch4 and ch5. Shouldn't be too bad. Will attempt the other worksheets for sure before the lab final Tuesday. They could be included in the lab final. I could email her and ask. Probably on Monday after catching up. Its Memorial Day and my Dad's birthday tomorrow. His massage gun should arrive tomorrow. I will stop by and wish him happy birthday before work or after work. Had two servings of vodka by 830 pm when I made some instant red potatoes with 1/2 cup mozz cheese and 2-3 tbs sourcream. Ran out of sour cream. Feeling tired. Drank some water too because I could be dehydrated. Went to bed at 930 pm tired. </t>
  </si>
  <si>
    <t>mini vegetable egg rolls frozen, 3 eggrolls is a serving:</t>
  </si>
  <si>
    <t>almond chocolate chocoloceur Aldi lg candy bar, serving is 3 blocks or 1 row, 5 rows a pkg, 1 row:</t>
  </si>
  <si>
    <t>schar gluten free hamburger bun</t>
  </si>
  <si>
    <t>spicy mustard generic</t>
  </si>
  <si>
    <t xml:space="preserve">mashed potatoes 1/3 pkg
(210	9.5	7.25	6	22.5	1	680)
2 ckn patty buffalo vegan
(320	12	2	18	38	6	640)
green beans canned 1/4 cup
(30	0	0	2	6	2	5)
gluten free bagel
(290	3.5	0	4	60	7	710)
1/2 cup mozz
(160	10	7	12	2	0	380)
10 pickles
(75	0	0	0	20	2.5	375)
baked potato chips 1 serving Aldi brand
(120	8.5	0	2	22	1	160)
caulipower margherite pizza entirety
(670	26	8	21	88	5	1330)
1/2 choc almond Aldi choceur candy bar
(450	30	12.5	10	35	5	50)
hamburger bun gluten free schar brand
(170	2	0	2	37	4	340)
vegan beef patty
(80	1	0	1	16	2.5	100)
mustard spicy, 1 tbs
(20	0	0	0	0	0	200)
=210+320+30+290+160+75+120+670+450+170+80+20
=9.5+12+0+3.5+10+0+8.5+26+30+2+1+0
=7.25+2+0+0+7+0+0+8+12.5+0+0+0
=6+18+2+4+12+0+2+21+10+2+1+0
=22.5+38+6+60+2+20+22+88+35+37+16+0
=1+6+2+7+0+2.5+1+5+5+4+2.5+0
=680+640+5+710+380+375+160+1330+50+340+100+200
</t>
  </si>
  <si>
    <t xml:space="preserve">Woke up at 4 am , but too early to get out of bed. Still felt a little head ache pressure when I got up to pee. I laid in bed until 430 am and got up, fed the babies and gave Growly his 2 pills, then had 2 cups of coffee planned out my lab final stuying, checked an email and found a guy emailed me about lipocavitation popping fat cells and killing them bc he has a wife that has lipedema and knows. But he isn't a med pro and he emailed me at 130 am via my chat box on my website that he also thanked me for spreading knowlege about lipedema and similar. I updated that blog from November 2020 with his anonymous email. Said he is part of a tiny home bus in his email website. It could be some random guy searching and found that digital footprint on lipedema. Great! Getting recognized. Biz should be picking up even more now. It already has for my MLD clients, but they are slowing down. I had a reg BM after 1st cup of coffee, then had the 2nd cup of coffee, and saw that I am getting refunded almost $600 on the 3rd of June from the overpayment on 10k of unemployment the latest act by congress said would not be included as income as the first $10k of unemployment. Going straight to the credit card. I am sure I will find a way to max it out again when it sits there a few days. I haven't cancelled my auto insurance on the charger yet. Going to wait a few weeks, then cancel it before the 20th when they bill me for it. I don't think anything will happen, but just in case. I already signed over a NRL or Notice of Release of Liabillity on it yesterday, a day after selling it. I think I gave Melvin the other papers we filled in together, because I cannot find them, but I did take a photo before signing it that had his address and our information to send the title when the DMV sends it to me. Dad's birthday is today and won't get the massage gun until 10 pm tonight, maybe earlier. They could always delay it too, wouldn't be the first time. I had breakfast a chkn buffalo patty with 1/3 pkg instant potatoes made last night with green beans and sour cream and mozz cheese already mixed in the potatoes. Canned french green beans. Gave Growly his liquid 12 hour meds before sharing my breakfast with them. He is and has been eating great. Even gaining a tiny bit of weight on his small frame, still coughs, but not as much, only when he gets excited and starts barking. I want to wash the van today before work if possible, maybe because its only 634 am and I don't have to leave until 820 am to get to work by 9 am. And wanted to say happy birthday to Dad before work, I did text him, but he keeps his phone off when not at work. He texted me back, before leaving for work, I washed my van early as I left early for work, and almost lost a car magnet but was able to collect it. While a line was forming. It was in good condition the same as it was. Went to work and ate my bowl of potatoes mashed and a chicken vegan buffalo patty with mozz and sourcream in potatoes red mashed instant made earlier, the last of it. Had a coffee at work with 3 carmel creamers, hten after work started drinking early while trying to get the printer on, and had the CD to install on other laptop, but the other laptop wouldn't install it once the drivers to install with cable pluggen in were in place. Waited while drinking a few hours to see and kept restarting printer. Its a piece of shit, that printer. Never again a cheap printer that the ink costs more than the printer and especially from walmart. The other lap top that the software was installed wouldn't even let me log on. Something with the different passcodes I have to my online Microsoft subscriptions and it wanted to act like a little bitch at my studying time. Wasn't able to use the printer needless to say at all. Made flashcards on a worksheet on chemical reactions and stochiometry from a lab and went to bed after eating a 1/2 chocolate almond candy bar, entire marghuerite caulipower personal size pizza, a hamburger bun gluten free wihta vegan beef patty Morning Star brand, pickles, mozz, spicy mustard and a total of 4 Kettle One vodka drinks with water bw 4 pm and 10 pm. Bed by 1030 pm. </t>
  </si>
  <si>
    <t>sweet and sour sauce generic 4 tbs calorieking.com</t>
  </si>
  <si>
    <t xml:space="preserve">1/2 gluten free bagel
(145	1.75	0	2	30	3.5	355)
1/2 vegan beef patty morning star
(40	0.5	0	0.5	8	1.25	50)
1/8 cup mozz
(40	2.5	1.75	3	0.5	0	95)
5 pickles
(30	0	0	0	8	1	150)
1/3 choc Aldi almond candy bar
(360	24	10	8	28	4	40)
3/4 marghuerite pizza caulipower brand
(502.5	19.5	6	15.75	66	3.75	997.5)
7-8 mini vegetable egg rolls
(577.5	16.5	2.75	13.75	88	5.5	1485)
4 packets or tbs sweet and sour sauce
(105	0	0	0	27	0	260)
2 tbs sourcream
(120	10	7	2	4	0	30)
gluten free hamburger bun
(170	2	0	2	37	4	340)
vegan beef patty
(80	1	0	1	16	2.5	100)
1/8 cup mozz
(40	2.5	1.75	3	0.5	0	95)
5 pickles
(30	0	0	0	8	1	150)
spicy mustard
(20	0	0	0	0	0	200)
serving Aldi choc almond candy bar
(360	24	10	8	28	4	40)
=145+40+40+30+360+502.5+577.5+105+120+170+80+40+30+20+360
=1.75+0.5+2.5+0+24+19.5+16.5+0+10+2+1+2.5+0+0+24
=0+0+1.75+0+10+6+2.75+0+7+0+0+1.75+0+0+10
=2+0.5+3+0+8+15.75+13.75+0+2+2+1+3+0+0+8
=30+8+0.5+8+28+66+88+27+4+37+16+0.5+8+0+28
=3.5+1.25+0+1+4+3.75+5.5+0+0+4+2.5+0+1+0+4
=355+50+95+150+40+997.5+1485+260+30+340+100+95+150+200+40
</t>
  </si>
  <si>
    <t>beef crumbles morning star, serving is 1/2 cup</t>
  </si>
  <si>
    <t>vegan vegetable patty morning star, 1 patty</t>
  </si>
  <si>
    <t xml:space="preserve">1/4 veggie patty morning star
(27.5	1.125	0.125	2.75	2.25	1	97.5)
1/4 gluten free hamburger patty
(42.5	0.5	0	0.5	9.25	1	85)
1/8 cup mozz
(40	2.5	1.75	3	0.5	0	95)
pickles
(30	0	0	0	8	1	150)
1 gluten free hamburger patty 
(170	2	0	2	37	4	340)
1/4 cup vegan beef crumbles morning star brand
(70.00	2.50	0.00	10.00	4.00	3.00	210.00)
1/4 cup mozz
(160.00	10.00	7.00	12.00	2.00	0.00	380.00)
1 white chocolate hersheys sprinkles candy bar
(220.00	11.00	7.00	3.00	29.00	0.00	75.00)
7-8 mini eggrolls
(525.00	15.00	2.50	12.50	80.00	5.00	1350.00)
4 tbs sweet and sour
(105	0	0	0	27	0	260)
1 1/2 cup vanilla icecream
(400.00	24.00	14.00	6.00	40.00	0.00	100.00)
1 bowl mac n cheese with sourcream and mozz
(780	7.5	4.5	27	144	6	1680)
sourcream in mac n cheese 10 tbs/ 3 bowls
(200.00	16.67	11.67	3.33	6.67	0.00	50.00)
mozz in mac n cheese 1/2 cup / 3 bowls
(53.33	3.33	2.33	4.00	0.67	0.00	126.67)
=27.5+42.5+40+30+170+70+160+220+525+105+400+780+200+53.3
=1.1+0.5+2.5+0+2+2.5+10+11+15+0+24+7.5+16.7+3.3
=0.1+0+1.75+0+0+0+7+7+2.5+0+14+4.5+11.7+2.3
=2.75+0.5+3+0+2+10+12+3+12.5+0+6+27+3.3+4
=2.25+9.25+0.5+8+37+4+2+29+80+27+40+144+6.67+0.67
=1+1+0+1+4+3+0+0+5+0+0+6+0+0
=97.5+85+95+150+340+210+380+75+1350+260+100+1680+50+126.7
</t>
  </si>
  <si>
    <t xml:space="preserve">Woke up around 630 am but a few minutes earlier like 10 before alarm went off, fed Growly his meds and the babies their food. I made my coffee, felt groggy, but the coffee shook it off. Had laundry in the dryer and restarted it. Then made more flashcards of the labs done last night where I left it on chemical reactions. There are actually a bunch of labs and chemical formulas, and general formulas like %error and such to write down. This lab final is very vague on to the content of the final, but need at least 60 or 65% to pass course, and I have already seen how easy it is to study for days and not get a 70%. Had posted some retarded social media videos of me drinking bc my printer and her are making me do it as it is futile to think optimistically about getting what you want from either of them and that was to my biz account. Hardly any subscribers or followers, and don't care. The conservatives weed themselves out automatically. Don't have to apply any effort other than be myself. Naturally my clients are minority, educated, females, and not white, conservative, females married into conservative same race families spanning generations of same race and religion family members. Those ones are not my type, neither are the pervs. So naturally, I be my feminist self and they automatically do not follow me or seek my biz services. It works out great. Like the laws of VESPR or electron attraction. Any how, had my regular client at 9 am and made it to hers no problem, she has 2 more prepaid but is going through some health stuff and needs to find out more from her doctors and health care staff to schedule in her 10 th one. Right now her 9th one is this Thursday during my genetics course that is usually a Q&amp;A only and not a typical review session. I ate breakfast before going to client's house. Oh! and had a reg BM by 2nd cup of coffee before having breakfast. For breakfast had a 1/2 bagel and vegan beef patty with pickles and mozz, bc I split the other half 3 ways for the babies. Then later on in the day had a 1/3 choc Aldi almond candy bar, 3rd cup coffee, 3/4 marghuerite caulipower pizza, gave other 1/4 to Princess. And later before my first vodka of the day had 7-8 frozen mini eggrolls vegetable w about 4 tbs or packets of the sweet and sour sauce. Went to Winco after 9 am client's massage ended around 10 am and got groceries. They didn't have beyond meat so I had to buy more Morning Star. They didn't have it at Sprouts last week either. Had my 1st cup of vodka after writing down all the nomenclature of a lab on flashcards except the last part on metals/acids/molecules. I have more labs with exercises as well like the thermochemistry and valence bond and molecular orbital theory to read through. Because these worksheets are labs and that is a lot of information. I will be eating more. I did my measurements after lunch and gained about 2-3 pounds since yesterday. I am almost at 145 pounds. Getting a bit heavy. My tape measurements were slightly larger too on abs and thighs and arms. Not on my rag, no light or spotty bleeding at all. Yesterday just slight tint in spotty fluid, but probably ended the uterine shedding yesterday. Also, was able to get a money order or 2 to be exact from Winco, their money services was open. Yesterday my massage gun order from Amazon arrived after stopping by Dad's house after work to wish him happy birthday. He was eating chicken and rice and with his dog Cody a blood hound. I saw the package was at my house, but had a weird name like 'cordless vibration device' and I thought that might be a sick mix up and opened the plastic wrap to verify that it was indeed a massage gun and not some obscene toy before giving it to my dad. I went back to his house and gave it to him and he said I shouldn't have as always and I told him it was $50 and normally they are 5-10X that price. It was amazon so bargain. He is 64 years old. He is starting to look it. But still about 10 years younger. It was actually cold in the morning, ran the heater a bit, then it got hot after 5 pm and ran the AC. Weird weather. But when is it not. Had a total of 2 servings of kettle one vodka and water by 830 pm and didn't pick up on studying, but did input this data. Also, I sent my client her SOAP notes and receipt by 2 pm earlier today. I also ate 1/3 of the Aldi chocolate and had a gluten free vegan beef mozz pickles spicy mustard burger. Bed by 9 pm, and woke up at around 430 am the next day. Also, did take a nap this day at 2 pm for 15 minutes approximately. </t>
  </si>
  <si>
    <t xml:space="preserve">Woke up at 430 am but a little before that time by a few minutes, got out of bed, did the regular routine, cleaned up a pet mess, fed Growly his meds, and the babies their food icecream and cat food. They love it. Started on the flashcards of labs, and got through quite a bit. I ate a half a veggie patty, not vegan beef but the vegetable patty by Morning Star that is absolutely gross, so only ate really about 1/4 of it with a gluten free hamburger bun and pickles and mozz, gave the other bit except half to Princess, and took a 10 minute nap at 10 am with that half on the desk that I threw away once I woke up. For making up for that I had a cup and half of vanilla icecream with 3rd cup coffee I put in fridge bc I didn't drink it. Made it into a capuccino blast with cinnamon. My digestive tract felt weird later on after eating the rest of the mini egg rolls, 7-8 of them and 4 packets of the sweet and sour sauce. I also had the last gluten free hamburger bun with microwaved morning star beef crumbles and mozz cheese. Ate all that. Had the client at 12 pm. And ate all that before that time. I had gotten through a lot of labs on mostly dry labs. Did look at some of the labs that I remembered some questions or calculations/formulas that were tough, but didn't make notes on them bc didn't think to, but later found out on the lab exam that those parts that everybody asked questions about for the calculations was on the exam. Not the most difficult. I got the minimum +2-3 pts needed to pass course without the instructor going into the exam to look at entries. She said before hand not to worry about it. I had a sm reg BM after 2nd cup of coffee earlier FYI. And the 3rd cup didn't feel like drinking so put in the fridge and made into my capucino blast later before heading to client's house. She is a super nice lady, very cool and listens and gives thoughtful conversation and feedback. I also had a white chocolate candy bar Hersheys independence day sprinkles flavor. While working on notes but couldn't remember if before or after, likely after, as I wouldn't want to eat too much sugar, but know I had gas, and blame the vegetable mini egg rolls because of the cabbage in them and ate them before client's house. After lecture and before the lab exam, we ended ch 13 ppt early 1/2 hour before lecture normally ends, and was open for Q and A only. But was tired. I always get tired during the last 2/3 of lecture. Made mac n cheese kraft brand with 1/2 cup mozz and 1/2 cup or 10 tbs sourcream approximately. Had a bowl of that, makes about 2 1/2 bowls. Didn't have anything else to eat before drinking my 1st serving of vodka and water with ice at 830 pm after the lab final. It was hot and the roommate injured his knee on the bags and was bitching the whole time about the pain he is in demanding I massage him. He injured himself kicking the bag at the gym. He does this all the time. Most of his injuries are from working out. He says I should just massage him and help him to stop his bitching because he isn't going to stop until I do. Had a 2nd cup around 9 pm instead of going to bed, bc I need to fill out this data and sent out the client's SOAP notes by about 9 pm also. I could use more of her type. She's cool, but I love all my clients to be honest. Because I screen them and they all fill out their consent forms and know the terms and conditions. Had a new person call me about her husband and she took a photo of the magnets promoting my service on my van a couple weeks ago. But didn't mention on social media that I had offered a 50% discount to anybody who takes a photo of my car magnets and schedules a massage and I didn't tell her. She asked pricing and wants hot stones. She called back but I couldn't take it bc I had to do dishes and she hung up earlier bc a potential client for her biz called. I also need to change my ringcentral voice prompt, I need a better audio recording system, and a better description of how the caller can navigate to menu items because it doesn't have that info or the numbers I saw on ringcentral do not direct them to the proper voice prompt and they need to know that they can skip the prompt by pressing zero to get back to the main menu to make a selection. The voice doesn't sound perky, happy, or inviting, more normal blah with me interrupts in voice like brain farts that don't sound as a good representation for my biz. Had a 15 minute nap around 10 am. Had a 2nd BM, solid reg sm BM at around 910 pm. while finishing my 2nd serving of vodka and entering in these notes. My stomach feels better. Could be those mini eggrolls or the stress from studying . Got plenty of sleep last night as I went to bed around 9 pm and woke up around 430 am. Finished 2nd drink by 950 pm. Should get to bed, am a little tired. Shouldn't be a problem, might eat something before bed. Not sure yet. Will upload this and see what happens. </t>
  </si>
  <si>
    <t xml:space="preserve">Woke up at 530 am by alarm and got out of bed 15 min later. Did normal routine fed Growly his meds, fed babies, had a few cups coffee 2, then had a sm-reg BM solid by 2nd cup coffee. Updated the phone queu but not completely done. Ate breakfast of mac n cheese and vegan beef crumbles then took measurements and showered for work. After dishes. Went to work, the first 3 were 2 regulars and a new one. The last two were cheap skates, and the one lady, Lina, Asian, spoiled princess Asian Karen, reminds me of my older sister, took 6+ minutes to exit, and not disabled. I wrote that in her notes that she takes 6+ minutes to exit. Of course no tip bc I knocked 2 x asking and telling her I need to get in there. I cannot stand clients like that, they are always cheap too and entitled. She also had a history of going to whoever is available, and didn't talk in the massage, asked for med press than wanted more. The last client called me a masseuse, young white guy that doesn't know how to work out and did a bench press with dumbells that tweaked his neck and upper back, neck and shoulders. He was chatty and did get out on time, which I appreciate, but we ended talking about his marketing company and how he gets clients, bc no cold calls anymore do to wasted time like talking to someone for 15 min, and it not being the right person, or them not knowing what social media is. No tip from him either. As expected, he just goes to whoever as well, and his marketing company must be struggling. These gas prices have most people splitting the normal amount of gratuity they leave. From $20 to $10 now. We fit in more massages for the business but get paid the same bc of the back to back massages, having to fit in everybody in exactly 5 min before and after including making the table and room after disinfecting and having assholes that take longer to exit than contractually allowed. The fine print in the one paragraph before their signature says they get 50 minutes of massage and its a one hour session. I have no time for thankless people or helping them out. Being me, naturally makes the assholes go elsewhere. They were the 4th and 5th client today. That is intertwined with my phone queue for the 4th and 5th phone options for the discounted MLD massages and couples massage. Burned out from new people at work. They will likely call me tomorrow to fill in as someone will call out, bc if its happening to me its happening to others and they don't want to come into work. Too bad. I have a client at 7 pm that is getting back from HI and a client tomorrow at 9 am unless she cancels due to her health or doctor appointment late scheduling. My normal client that that last guy filled in for wasn't able to make it, probably bc she has a wedding this weekend she has to get ready for, planning for her daughter's first wedding. Maybe her only one, time will tell with that. Updated the Ringcentral voice queu again. I think it sounds better now. For breakfast had the last 1/3 mac n cheese made with 10 tbs sourcream or 1/3 cup of it and 1/2 cup mozz last night, with about 1/2 cup vegan beef crumbles by morning star. At work on the way had a white chocolate candy bar, for lunch had 4 carmel creamers in 3rd cup coffee and a reg choc candy bar both hersheys candy bars, and a double salmon poke bowl with tortilla chips a serving crumbled on top. Normal style but no edemame bc the store smelled like fish and normally doesn't and thought the vegetables might taste like fish when not, but still got the cucumbers and ginger, wasabe, double salmon, cream cheese 4 tbs and brown rice with house ponzu type sauce. I know high sodium but it tastes great that way. Had the last 3 clients. Turning into massage green and their clients, that would be great if they could just stick with that company. Traders. Taking their no tip, low tip, and time waste to massage envy. bummer. For dinner had a 4th cup of coffee plain and a whole personal size frozen caulipower marghuerite pizza with about 4 tbs sourcream spread over the slices. The roommate wasn't home when I got here bc I think he was at the doctors bc of his ear ache that he has been waiting to see. He usually gets up around the time I get home on Wed. I had to wash my linens too bc Princess peed on my bed, she is the only one who can jump on it, so it had to be her, although she never pees on the bed, so I think the roommate probably picked up Goody and put him on the bed and he peed on the bed bc he couldn't jump off of it. The roommate said I am giving him heart disease when he got back from his doctor that told him he has high blood pressure. I told him he does it to himself, with his white priviledge getting so mad about not being able to tell or yell at people to get what he wants for just bitching about it. I told him that he needs to stop thinking on that path bc if my brother in law can do it after a heart attack, he should too. And that I am surprised he hasn't had a heart attack yet even though he works out all the time. His diet is terrible, sweets all over the place, chips, 15% fatty meat. He is always getting upset. He said I am killing him by not basically listening to him and letting him bitch at me and yell and not do what he demands of me, hence the divorce after 8 years. He should change and yet he hasn't got with it. He is lucky he hasn't had a heart attack. Somebody loves him. I do too, but I would leave him if I had the funds and could take my furbabies. He is an asshole and gets upset over bullshit that he thinks he is entitled to, listens to propaganda bullshit that upsets him to start his day, works out with more weight than he can use with the right form, and also hits and kicks the bag thinking he's in his 20s with strong tendons and ligaments that bounce back but he is 47 years old and the tendons aren't the same. He is also an idiot and they tend to live longer oblivious to the capabilities and limits until they get injured from excessively pushing those limits for years. Mr Growly makes me happy, he doesn't. I do love him though. But he is an asshole. I sent out my client her receipt and SOAP notes by 930 pm. Felt brain fog wiped from all the studying I did last few days for the final in the lab section the day before. I finished the bottle of kettle one vodka from that time until about 12 am, or just before when going to bed and made a pot of gluten free spaghetti I split smaller with 1/2 cup mozz and 1/2 cup sour cream to make similar to mac n cheese but not the same without the powder cheese. So I added some vegan beef crumbles and some of this pasta sauce I got from Sprouts last week abut 1/2 cup of that sauce. Ate that bowl, finished the 4th serving of vodka for the night or the last of the bottle and went to bed. </t>
  </si>
  <si>
    <t>Sprouts Tomato Basil pasta sauce, serving sz 1/2 cup, jar holds 6 servings</t>
  </si>
  <si>
    <t>pot of gluten free spaghetti noodles with 1/2 cup mozz, 10 tbs sourcream, makes 4 bowls</t>
  </si>
  <si>
    <t>bowl of gluten free noodles with mozz sourcream</t>
  </si>
  <si>
    <t xml:space="preserve">1/3 mac n cheese
(513.33	22.50	15.50	16.33	55.33	2.00	736.67)
1/2 cup vegan beef crumbles
(70.00	2.50	0.00	10.00	4.00	3.00	210.00)
double salmon poke bowl
(979	13.925	2.825	29.875	125.45	14.125	1997.5)
white chocolate hersheys candy bar
(220.00	11.00	7.00	3.00	29.00	0.00	75.00)
chocolate hersheys candy bar
(220	13	8	3	26	1	35)
4 tbs creamcheese
(204.00	20.40	12.80	4.40	1.60	0.00	172.00)
1 caulipower margheurite pizza
(670	26	8	21	88	5	1330)
4 tbs sourcream
(240	20	14	4	8	0	60)
4 coffee creamers international delight carmel
(140	6	0	0	20	0	60)
1 serving white corn tortilla chips
(140	7	5	2	18	2	90)
gluten free noodle macn cheese
(540	16.75	10.5	12.5	82.5	1.75	132.5)
=513+70+979+220+220+204+670+240+140+140+540
=22.5+2.5+13.9+11+13+20.4+26+20+6+7+16.8
=15.5+0+2.8+7+8+12.8+8+14+0+5+10.5
=16.3+10+29.9+3+3+4.4+21+4+0+2+12.5
=55.33+4+125.45+29+26+1.6+88+8+20+18+82.5
=2+3+14.1+0+1+0+5+0+0+2+1.75
=736.7+210+1997.5+75+35+172+1330+60+60+90+132.5
</t>
  </si>
  <si>
    <t>calzone veggie, using generic approx nutrition of calorieking.com</t>
  </si>
  <si>
    <t>Starbucks honey almond milk nitro cold brew</t>
  </si>
  <si>
    <t xml:space="preserve">2 bowls pasta
(1080	33.5	21	25	165	3.5	265)
1 cup pasta sauce
(180	5	1	4	20	4	1020)
1/4 cup parmesan cheese or 4 tbs
(40	3	2	4	0	0	200)
calzone 2/3, but a large one using the calorie king nutrition as 1 whole
(630	22	7	20	86	6	1390)
1 can coke
(180	0	0	0	50	0	60)
1 grande honey almond nitro cold brew
(50	0.5	0	0	11	0	25)
3 tbs ranch dressing
(218	23.1	3.6	0.5	3	0.3	367)
=1080+180+40+630+180+50+218
=33.5+5+3+22+0+0.5+23.1
=21+1+2+7+0+0+3.6
=25+4+4+20+0+0+0.5
=165+20+0+86+50+11+3
=3.5+4+0+6+0+0+0.3
=265+1020+200+1390+60+25+367
</t>
  </si>
  <si>
    <t xml:space="preserve">Woke up a little before 630 am, tired and feeling dehydrated but didn't want to drink water, did normal routine, cleaned a pet mess, restarted dryer, gave Growly his meds and fed the babies, updated the nutrition for this database. My ankles aren't as swollen today but still a little swollen. A normal part of my life with this high sodium diet. They don't get swollen until later in the day as I am standing for longer hours in front of the computer or at work up doing massages. I am not planning on wearing my waist trimmer or compression socks today, bc my client just cancelled for 9 am. She said she might have to due to her doctor last time I saw her. Bc she needs to find out what is going on with her scans that they saw. Had a sm reg BM after 2nd cup of coffee. Put away laundry while drinking 3rd cup of coffee, but made a bowl of pasta same as last night with 1 bowl noodles, 1/2 cup vegan beef crumbles, and 1/2 cup pasta sauce, with 2 tbs parmesan cheese winco bottle brand. Then finished 3rd cup cold while completing 1st half of genetics ch18/19/20 hw. Didn't log in at 9 am, was working on the hw instead. No questions, it was only for exam 4 study guide questions. Didn't even get there yet. Then looked at the ppt slides and worksheet for ch 14 solutions or mixtures not as in the key to worked out problems, that is available. Got tired, because the wording on describing and breaking down the formulas of heat of solution equal to the heat of solute+heat of solvent+heat of mixture got confusing, and made no sense. I took a 20 min nap at 10 am, then reread it and made notes on the endo(+) and exo(-) heats, and the -lattice energy being heat of solute (endo +) but lattice energy always negative or exothermic. So, the confusing part is when the heat of hyradtion is made up of the endo(+) heat of breaking solvent-solvent added with the heat of mixture exothermic (-) heat of attracting solute-solvent then heat of solution is heat of hydration minus lattice energy, and if the heat of hydration is less than the lattice energy, why is the heat of solution endothermic (+) when that would make it negative, because lattice energy is always negative. Why even put that slide in, but to introduce confusion and an exam question, when it doesn't make sense, it should say if the heat of hydration is less than the magnitude of lattice energy, then the heat of solution is endothermic or positive. I feel like a grammatical error leading to interpretation exists on that slide. I emailed the professor about it. Then took my measurements at 1230 pm. Hungry, and it sucks that the food in the fridge isn't satisfying. I ate lunch at 1 pm a bowl of pasta with pasta sauce, parmesan cheese and 1/2 cup vegan beef crumbles. The instructor replied, just notation. I originally said -1&lt;-0.5 --&gt; exo(-) and she said its the amount of energy, basically notation on the magnitude not her words, so that -1&gt;-0.5 --&gt; endo(+). Went to Starbucks, feeling it, the drinks last night, not hung over but the stress of studying and uncertainty and the drinks last night, making me sick. That and getting older and feeling like not a person to go to the zoo with or have fun with. Want to lay my head down and sob until I feel better, but can't. Because its retarded and only imagine it would make me feel better. Looked up rental homes out of curisoity. Not really any listed or rented out all over Corona, there were more before, but I think many people don't want to rent anymore because of the extension on not paying rent for renters in a financial hardship due to quarantines and business shutdowns. Scams and losers all over. I was also annoyed by some bums bag of trash sitting in front of our house like trash since last night and with some other junk. We're right across from a 711. So when I pulled up from Starbucks I threw it in the street. Who the hell puts their shit on city property strip land by a street in front of a residential house? Some bum's cart probably got emptied out and they went somewhere they couldn't pick it up. Then throw that shit away!The city will pick it up if its in the street or just push it right back to the strip of city property on the other side of the sidewalk. Also, the houses are 2-3X the rent as here, only $600 more a month for 2 bathrooms in Riverside. We did a review session for lecture, I did get tired, but had my grande honey almond milk nitro cold brew I sipped until gone during LE. Then have been craving pizza all day, looked up best pizza near me and one at Fuze, ordered a calzone, this way it is less likely to get cross contaminated with meat when they use the same pizza cutters that they use on meat pizzas. It comes with about the same amount of dough as a small pizza at dominos wrapped around mozzarella and ricotta cheese that I chose Basil and peppers that were green bell peppers to stuff in it. It also came with 2 tbs each of marinara sauce and ranch dressing. It was good, couldn't eat it all but did eat about 2/3 of it. I will approximate nutrition value of it by putting a domino pizza small veggie pizza into the nutrition values. Also, drank about 2/3 of a reg sz coca cola soda with it. There goes gluten free and non processed sugars for the day. Stayed in Q&amp;A after break, just personal time in lab to study and ask questions as we look through study material. Went to bed before 10 pm, but couldn't go to sleep, got out of bed around 1130 pm, ate the last 1/3 of the calzone with pasta sauce, and looked at my previous employer's ADP that I logged into earlier in the day and wondered why they have me listed as terminated and have my ugly DL photo up to display me when my current work account lets me switch out the photo, theirs is disabled. I left some statements in my personal statement about how they only allow LMTs to use the used toilet paper last roll, and I quit for harassment and was limited on the words I could put in. I gave a 2 weeks notice there, they let Diane and Yesenia yell at us like slaves, harassing, demand we wash the other LMTs stones and chinese cups without extra pay, and their pay was on a system that only allowed you to get the service commission on top of min wage if you were more than 90% booked, which the front desk and length of time and reliability of clients depends on, and not per day, but per pay period. I didn't leave this information on their yelp or indeed employer reviews but considered it. They had 20-30 rolls of toilet paper they specifically posted a sign up in the breakroom pre-quarantine, with the cheapest thin single sheet toilet paper in the bottom drawer of the cabinets in each bathroom that accumulated so that they wouldn't waste the toilet paper and that the last few sheets would get used by their help. They are scumbags and cheap skates. They treat their workers like worthless help, slaves, 2nd class citizens, like we should be thankful to work there and be treated as worthless yet we bring in the clients. That pissed me off to see I was listed as terminated, and that 'old lady' everybody leaves a review referrring to, Tamera, even when she worked at Massage Heights in Newport acts like she is so understanding and nice, but is the one trying to get lead massage therapists to enforce slavery and harassment on new workers, she also follows me on instagram and facebook. I have never referred to her as an old lady, but when I heard it once at Newport, then a few more times there, then working at the Chino Hills one for her when she said I would get paid more to leave the Rancho location I noticed that for some reason it is a common trend. When people talk negatively about her they talk about her first as being the old lady and then referring to her being stupid in some way or ignorant. I went to bed around midnight, listening to night birds chirping and the AC on medium low, it was supposed to be on high but felt like med-low. This morning woke up just before my 530 am alarm went off, did the normal routine. My ankles weren't swollen, sure that will change as the day progresses. Had a few cups of coffee after looking at the balance on the dodge from a text the new owner sent me of the plates getting sent in. Nice guy. Had a BM after drinking 2nd cup of coffee. I wanted to check the workplace number and cannot login and know I had an account, it is missing from my password file, but scribbled on my checkbook notebook for last year, and cannot find the file of the last workplace number pdf that showed all the places and history of pay and reason for leaving etc since early 2000s. So weird. Makes me think this Massage Heights is also shady in other aspects and wants to put on previous employees as terminated. I can direct message Tamera and ask her why my ADP account says terminated. I will for sure be leaving a bad review of their business on Yelp and Indeed as retaliation for unfair business and fair employment and housing department biz practices if I hear from her that they have me listed as fired when I quit and gave my two weeks notice. I told the owner Mitchell I would be classy and not leave that review, but told him Diane and Yesenia and the low wages are exactly why I was leaving. </t>
  </si>
  <si>
    <t>Digiorno cheese pizza serving is 1/6 pizza</t>
  </si>
  <si>
    <t>ranch dressing, 3 tbs</t>
  </si>
  <si>
    <t>garden veggie pizza 12" 1/8 pizza as a slice https://www.calorieking.com/us/en/foods/f/calories-in-pizzas-medium-12-garden-veggie-pizza/S70v4xx1SBeMcYpMAbHV-Q</t>
  </si>
  <si>
    <t>4 coffee mate creamers liquid, french vanilla sub with irish cream online calorie king, 4tbs</t>
  </si>
  <si>
    <t xml:space="preserve">Woke up about 520 am, did normal routine, a lg BM after 2nd cup of coffee, gave Growly his meds and the food for babies with icecream. Took measurements around 710 am. Had a bowl of pasta with 1/2 cup vegan beef crumbles, 2 tbs parmesan, and 1/2 cup pasta sauce. For lunch had 4 coffee mate creamers in 3rd cup of coffee at work with a salted butter bread and soufle cheesecake for 85 degrees bakery. Then stopped off River Rd Little Caesars craving pizza, had to wait for the veggie at $12, went to Stater and got a frozen 4 cheese digourno, ranch dressing, biscuit rolls and picked up pizza. I ate a slice at home and crust, didn't like it, ended up throwing it away. Waste of money. They don't accept tips there either. I had a huge headache while making flashcards, had a 4th cup of coffee and bottle water, the blinding aura went a way but still blurry, then went away by time digested water, but felt sick, while heating up the cheese pizza. The roommate was bitching again as usual to himself and stupid audio. I played country on spotify to drown him out. He is so obnoxious. So annoying. Puts me in a foul mood. When he left, while pizza in oven I had a drink of his Jameson Whiskey that is his previous boss's he had 3/4 a year. I was feeling sick like flu or nautious. It helped and made me feel pressure in my head. Drank it with water. Not bad. Had a can of soda and ice coca cola with the slice of veggie pizza I ate around 530 pm. Didn't have the pizza till after the drink at 9 pm. I also had 2 pcs of hersheys snack size almond toffee candies before the cheese pizza yesterday. </t>
  </si>
  <si>
    <t>Hersheys nuggets almond toffee, 3 pcs serving</t>
  </si>
  <si>
    <t xml:space="preserve">bowl pasta
(540	16.75	10.5	12.5	82.5	1.75	132.5)
1/2 cup vegan crumbles
(70.00	2.50	0.00	10.00	4.00	3.00	210.00)
1/2 cup pasta sauce
(90.00	2.50	0.50	2.00	10.00	2.00	510.00)
2 tbs parmesan cheese
(20	1.5	1	2	0	0	100)
4 coffee creamers coffeemate french vanilla
(80	4	0	0	8	0	0)
whole souffle cheesecake 85 degrees bakery
(1350	770	132	31	13	37	215)
salted butter bread 85 degrees bakery
(320	17	10	6	35	0	430)
slice of little caesar's veggie pizza
(180	5	2.5	8	25	4	310)
3 tbs ranch dressing
(218	23.1	3.6	0.5	3	0.3	367)
digiorno cheese pizza 3/8 pizza
(675	22.5	11.25	36	83.25	2.25	1575)
3 tbs ranch dressing
(218	23.1	3.6	0.5	3	0.3	367)
can of coca cola reg sz
(180	0	0	0	50	0	60)
100.00	6.00	3.33	1.33	11.33	0.67	33.33
=540+70+90+20+80+1350+320+180+218+675+218+180+100
=16.75+2.5+2.5+1.5+4+770+17+5+23.1+22.5+23.1+0+6
=10.5+0+0.5+1+0+132+10+2.5+3.6+11.25+3.6+0+3.3
=12.5+10+2+2+0+31+6+8+0.5+36+0.5+0+1.3
=82.5+4+10+0+8+13+35+25+3+83.25+3+50+11.3
=1.75+3+2+0+0+37+0+4+0.3+2.25+0.3+0+0.67
=132.5+210+510+100+0+215+430+310+367+1575+367+60+33.3
</t>
  </si>
  <si>
    <t>jose cuervo classic margarita mix, 4oz in a serving 8 servings per bottle, about 1 serving:</t>
  </si>
  <si>
    <t>Alaska cod filets, frozen bag, 1 fish is 1 serving</t>
  </si>
  <si>
    <t>thin crust 10" pizza cheese from Pizzita Chino, approximately 3 slices of thin crust 14" pizza from calorieking.com</t>
  </si>
  <si>
    <t>broccoli rice Target Good&amp;Gather brand, serving 3/4 cup, 3.5 per bag:</t>
  </si>
  <si>
    <t xml:space="preserve">5/8 digiorno cheese pizza
(1125	37.5	18.75	60	138.75	3.75	2625)
5 tbs ranch dressing
(1090	115.5	18	2.5	15	1.5	1835)
1 whole 10" marghuerite pizza from Pizzita
thin crust, not the thick mozz or fresh basil
like a frozen thin crust cheese pizza you get at the grocery store
(574	29.6	13.1	26.8	50.2	3.8	1098)
1 fish filet
(100	0	0	25	0	0	150)
1/2 bag of the broccoli rice
(40	0	0	4	8	6	40)
3/4 cup margarita mix for 2 margaritas
(110.00	0.00	0.00	0.00	28.00	0.00	175.00)
1 can coca cola
(180	0	0	0	50	0	60)
starbucks grande nitro cold brew
(70.00	5.00	3.50	1.00	4.00	0.00	20.00)
=1125+1090+574+100+40+110+180+70
=37.5+115.5+29.6+0+0+0+0+5
=18.75+18+13.1+0+0+0+0+3.5
=60+2.5+26.8+25+4+0+0+1
=138.75+15+50.2+0+8+28+50+4
=3.75+1.5+3.8+0+6+0+0+0
=2625+1835+1098+150+40+175+60+20
</t>
  </si>
  <si>
    <t xml:space="preserve">Woke up at around 515 am and started the day, have to start getting ready for work at 630 am to leave by 720-730 am to make it there before 8 am when I start. Still had a headache on my Right side of my head, gave Growly his meds and fed the babies their icecream and catfood, had my coffee and input the data into this database. Went to bed around 930 pm with the AC on. So about 7.5 hours of sleep. Need to see if Growly's meds is out front. Yesterday I called the company on my dashcam of the guy who was driving an EMT vehicle that drove next to me until I turned to look at him and I knew he was waiting to flick me off bc I was getting off the freeway and he was far behind trying to speed up, he pulled along side me while I was in middle lane in the fast lane so knowing this I turned my dash cam towards him to see him put down his middle finger. But got the video clips stored to my computer. I called and spoke with someone at the UMT unicare medics, saying he is a misogynist and drove irratically into the carpool after flicking me off but that I saw that he transports people and that type of guy would rape female patients transporting for dominance and a hate for women. He shouldn't be around people especially women. She took my first name and was shocked he drove that way. I caught a glimpse of him as having dark hair and not fat but also in mid20s approx. He is supposed to be driving injured people to and from the hospitals and he is driving like he doesn't care about any human life. Plus road rage, he gets that upset. He wasn't even close to my vehicle, to get mad about me who is an obvious female, and had a prenatal car magnet on my left side of my van says a lot about his character. That number for notes is 951-530-8420. The vehicle company number was #2001 and it was a ford van with tinted windows on the Right side that he pulled along side my van in on the freeway to flick me off. Loser guy. Had a reg BM before finishing my 2nd cup of coffee. I ate a lot of fat yesterday, unbelievable amount, its because I ate the entire 85 degree bakery cheesecake that is actually a sub for the soufle cheesecake because that item isn't on their nutrition menu. Its a light pastry not thick like a cheesecake. More like a sponge cake. Measurements taken after 2nd cup of coffee, reg BM, and before having some pizza left over from yesterday, the cheese digiorno with ranch dressing before showering and getting ready for work. Had 2 1/8 slices of the cheese pizza with 2 tbs ranch dressing for breakfast. For lunch I had a grande nitro cold brew from Starbucks and 1/2 a marghuerite personal size pizza from Pizzita, Then after work had a Jack in Coke, because I went to BevMo and got a small bottle of Jack Daniels that was surprisingly $15, a bottle of kettle one that was regular size for $18, a bottle of Jose Cuervo for about $15 that was smaller than normal but twice the size of the Jack Daniels Whiskey, and some lime lemon margarita mix. After the Jack and Coke I was preparing for finishing up some ch 12 study and realized I need to review the ppt slides. It was about 330 pm when I finished the Jack Daniels, and then ate the chilled 1/2 pizza left over from Pizzita, then had a margarita with tequila and the mix, then had the left over digiorno of 3/8 the pizza with 3 tbs ranch dressing, and another margarita. The neighbors are having their 1 year old's birthday party and the same disrespectful guests of theirs that got confrontational with me, a resident who lives next to their friend and recognizes them as trespassers or unfriendly guests/strangers/disrespectful people, blocked the alley last time they were here. I turned on the country music from Spotify to drown them out. That was the last margarita I drank. I was slow drinking the 2nd one. The ice stays cold longer while in it due to the salty margarita mix. Was working on chemistry the whole time, the roommate had the nerve to say to leave the neighbors alone because he doesn't want any problesm. He doesn't even know them, and they invite disrespectful people into our area, so I told him as long as they don't get disrespectful like block the alley like last time and our vehicles, and he insisted I not. They are a bunch of overweight dorks, like losers the kind of dudes you would never think any woman would have a baby with yet someone did and the same types of dudes the roommate called or labeled 'lames' when he would see them in the gym when we met at the gym and he was a personal trainer, they're odd looking dads, don't look intimidating or scary at all, and if so I would for sure cause some upset. But he doesn't want any problems. I had to yell at him and call him a coward when he got in his car. He needs to get his priorities right. They weren't disrespectful, and got out of the backyard where I could hear them chatting and laughing out loud earlier. They left either before he did from the backyard or a little after. So dumb that he wants to let the neighbors' guests come in put themselves before his household. I later made one of the fish from the frozen fish I got from Target weeks ago. It had to be thawed out for 30 minutes in cold water first, then baked for 15-18 minutes at 350. Had it with a microwavable broccoli rice veggie side, parmesan cheese and mozz cheese. Finished the ch 12 ppt and saw the example problem for the use of heat of fusion, heat of vaporization, and specific heat capacities already known to break apart a problem into the phases of the heating curve of water, ice--&gt; heat of fusion--&gt;liquid q eqn--&gt;heat of vaporization--&gt;boiling q eqn for a total of 5 equations to add up the heat or enthalpy to find the amount needed to bring ice from -5 degrees celsius to 120 degrees celsius after boiling. It was already solved in the example of course, but needed to know how to set it up. Wasn't drunk. Started from 240 and ended by 730. Done studying by about 1030 pm. Then went to bed. </t>
  </si>
  <si>
    <t xml:space="preserve">Woke up at 5 am to Goody barking, had to yell at him to shut up. He was barking because Growly was going to attack him for going up the stairs to the bed. They do this once in a while. Then my alarm went off at 530 am and I got up. I thought it was actually 630 am, because the monitor to security cams looked bright outside, but its overcast, and the 5 looked like a 6 on the time code. I did the normal routine, cleaned a pet mess, gave Growly his meds and fed babies, need more icecream, used last of it. Made my coffee, and input this nutrition data from yesterday and notes on the day from written notes jotted down in case I forget. Had about 7 hours of sleep, from 1030 pm to 5 am, or 6.5 hours sleep. Want to buy another car magnet promoting the family massage special and the new phone number or a window decal or 2 for the van. I took off the other ones. Did that and started on some baked fozen rolls 1/2 bag or 5 rolls with mac n cheese added the sourcream 1/2 cup and the mozz 1/2 cup for breakfast will have a bowl and some rolls and take the rest to work for lunch. Study the fashcards I made, then get home have a drink and start acclimating to studying other chemistry material for the final and maybe completing the genetics homework due Tuesday. Its finals week. Final on Thursday at 3 pm for chemistry and online for genetics from Wed-Fri availability online. Had a bowl of mac n cheese with 2 rolls for breakfast with 3rd cup coffee. Then did dishes and had aslightly constipated reg BM by 738 am. Then took measurements. Went to work and then got back. Breakfast and lunch was 2 bowls of mac n cheese and 5 rolls all together and a canned sweet vanilla nitro cold brew from Circle K by my work when I put fuel in my van. At home had a margarita to start, then 3/8 pizza with a coca cola reg sz can, the pizza is mama cozi Aldi brand cheese, with 3 tbs ranch. Jack was in the coca cola. Getting used to soda pop again. Did some studying and review and flash cards of exam 2 and went to bed at 9 pm. No music today. </t>
  </si>
  <si>
    <t>starbucks carbonated canned nitro cold brew sweet vanilla cream, 1 can is 1 serving</t>
  </si>
  <si>
    <t>Aldis Mama Cozzi pizza, 1/6 pizza is a serving</t>
  </si>
  <si>
    <t>raviolis Aldi's Priano brand, 1 serving is 10 raviolis</t>
  </si>
  <si>
    <t>Sister Schuberts dinner rolls, serving 1 roll</t>
  </si>
  <si>
    <t>bowl mac n cheese with 10 tbs sourcream and 1/2 cup mozz</t>
  </si>
  <si>
    <t xml:space="preserve">2 bowls mac n cheese
(1026.67	45.00	31.00	32.67	110.67	4.00	1473.33)
5 rolls
(700.00	20.00	5.00	15.00	110.00	5.00	1200.00)
starbucks canned cold brew nitro sweet vanilla cream
(70	1.5	1	3	13	0	45)
1 coca cola reg sz
(180.00	0.00	0.00	0.00	50.00	0.00	60.00)
3/8 mama cozzi cheese pizza
(697.50	20.25	10.13	31.50	94.50	4.50	1530.00)
3 tbs ranch
(218	23.1	3.6	0.5	3	0.3	367)
4 coffee mate creamers
(80	4	0	0	8	0	0)
=1026.7+700+70+180+698+218+80
=45+20+1.5+0+20.3+23+4
=31+5+1+0+10.1+3.6+0
=32.7+15+3+0+31.5+0.5+0
=110.67+110+13+50+94.5+3+8
=4+5+0+0+4.5+0.3+0
=1473.3+1200+45+60+1530+367+0
</t>
  </si>
  <si>
    <t xml:space="preserve">4.5 1/8 pizza slice mama cozzi cheese pizza
(1046.25	30.375	15.1875	47.25	141.75	6.75	2295)
5 tbs ranch dressing
(363.33	38.50	6.00	0.83	5.00	0.50	611.67)
1.5 servings ravioli Priano brand
(375	7.5	3.75	15	63	1.5	510)
1 serving priano 4 cheese pasta sauce
(90	3.5	1	3	12	3	460)
1 serving vanilla icecream
(200	12	7	3	20	0	50)
1.5 servings ravioli Priano brand
(375	7.5	3.75	15	63	1.5	510)
1 serving priano 4 cheese pasta sauce
(90	3.5	1	3	12	3	460)
1/2 cup mozz
(160.00	10.00	7.00	12.00	2.00	0.00	380.00)
1 can coca cola reg sz
(180.00	0.00	0.00	0.00	50.00	0.00	60.00)
=1046.25+363.3+375+90+200+375+90+160+180
=30.4+38.5+7.5+3.5+12+7.5+3.5+10+0
=15.19+6+3.75+1+7+3.75+1+7+0
=47.3+5+15+3+3+15+3+12+0
=141.8+5+63+12+20+63+12+2+50
=6.8+0.5+1.5+3+0+1.5+3+0+0
=2295+611.7+510+460+50+510+460+380+60
</t>
  </si>
  <si>
    <t xml:space="preserve">Woke up at 4 am not by alarm, got out of bed, went to bed at 9 pm, so about 7 hours of sleep. Normal routine. Gave Growly his meds and fed the babies, cleaned a few pet messes before that and had my couple cups of coffee, no BM by 12 pm, probably none today. Had 3rd cup of coffee by 8 am. Was working on review of exam 2 and working out those problems on flash cards, had to redo a few of those to get it right. Then did some genetics exam 4 study guide questions later when done. Had 7 am breakfast 2/8 pizza with 2 tbs ranch, then at 830 2 1/2 of those remaining 1/8th pizza slices with 3 tbs ranch dressing with a can of coke. The 3rd cup of coffee was after the last pizza. Took a nap at 7 am for 20 minutes. Need to review the nomenclature some more but also the molecular orbital and VSEPR theory and structures etc. I bought the wirelass web cams from BestBuy by my work yesterday but haven't put them up yet. I reviewed the video and zoomed in to the person Ioriginally thought was a bummy guy, but the zoom could show it was a frumpy female with a bun on her head carrying a bag, she pointed at the camera on my house in alley before crossing it, then stopped by the tree in front before going to the front of this house, and I could see in the reflection in the pickup truck window, she didn't walk up to the porch, but couldn't see her throw anything, but that would have been the only way she would have delivered my package on the grass for Growly's meds. She then crossed the street towards 7-11 and didn't see her anymore. I updated my complaint with USPS about the non-delivery of the meds and am awaiting their reply. Getting closer to the finals, and still studying. Got work later today from 3-10 pm. Made some of the Priano cheese raviolis I got from Aldis yesterday with their 4 cheese sauce and some mozz on top. Didn't update the nutrition yet for yesterday or today. So far, for the nutrition had 4 1/2 of the 1/8 th pizza cheese mama cozi Aldi brand, 5 tbs ranch, 1 can coca cola, 2 servings ravioli cheese priano Aldi brand with 1 serving the priano 4 cheese pasta sauce Aldi brand, and 1/4 cup mozz. Then will later have a capuccino blast I just made for when I leave for work, a serving of vanilla icecream, 4th cup of coffee, and cinnamon. Its in the fridge. Overcast all day today at least till 1230 it still was overcast and chilly. Took measurements after eating raviolis and still no BM. Might be dehydrated, but my lower Left side of abdominal area was causing some pinching pain yesterday for on and off till bed. Nothing too painful, but uncomfortable. Wrote in the rest of my nutrition which was just drinking the cappucino getting ready for work and the bowl of pasta with mozz on my lunch break. Had a total of 4 cups of coffee today. Work was a full schedule as the norm. No regulars, all new to me. Had a 15 minute nap at 1 pm before work for the 2nd nap of the day. And my skin around my compression socks itched in first session. So I took the compression socks and waist trimmer off. I couldn't work feeling my skin itch from hair growing in and lymphedema in my body. Didn't have time for a shower before work, used it to feed lunch for my babies and pack my lunch for work. Did brush my teeth and wash my face and put deodorant on. Didn't sweat at all since last shower. </t>
  </si>
  <si>
    <t>Black Forest gummy snacks, serving size 1 pouch</t>
  </si>
  <si>
    <t xml:space="preserve">Woke up at 6:10 am approx, went to bed at 11 pm a little after, got about 7 hours of sleep. Did normal routine, fed the babies, gave Growly his meds, had my coffee, a lg BM by 2nd cup and before 2nd cup of coffee. Studied the molecular oribital portion of chemistry and reviewed the last part of the ch11 slides and reviewed the video for that lecture that explained why some atoms have different sequence patterns of MO for period 2 homonuclear, and how to choose the sequence for heteronuclear diatomic molecules. I have a few clients today at 11, my normal regular at 12, but her good friend that she got a gift card for at 11 am at her house. Very nice people. I see my 12 pm client every week same time for her massage to help with arthritis in LB and knees. I started the van around 830 am to make sure the hydrocollator was hot for the hot packs. Around 9 am , made some rolls from the remaining 5 frozen rolls in freezer and then a couple scrambled eggs, with olive oil and a couple tbs sourcream and some left over broccoli rice from a few days ago that wasn't eaten completely. The chemistry course has a final later in the afternoon today for the first group. I am in the 2nd group. I want to go over more material like format of questions. There was one question I thought could be confusing that I made a flash card on. When getting the amount in moles from an amount of a sample but using the amount of the solution. It was confusing. I know I would get hung up on a question like it. This is the exact question from a worksheet, "A chemist added an excess of sodium sulfate to a solution of a soluble barium compound to precipitate all of the barium ion as barium sulfate. How many grams of barium ion are in a 458 mg sample of the barium compound if a solution of the sample gave 513 mg barium sulfate precipitate? What is the mass percent barium in the compound?" --so the problem is when extracting the grams of Ba ion are we using 458 mg of the ba compount to get the molar mass of the barium sulfate, the mole ratio of barium to barium sulfate then use the molar mass of ba to get the grams barium after converting mg to grams, or the 513 mg sample, then use the other amount to get the mass percent of the result? It is to use the 513 mg sample to extract grams barium, then use the grams barium over 458 mg converted to grams to get mass percent.  I have to take measurements and shower then go to clients' house, maybe get the water, cat food, and paper towels we're low on, bc it seemed like I just bought that stuff. And almost gone. I guess it has been a week. Had a cappucino blast with a serving vanilla icecream and 5 melted snack size hersheys almond toffee candy and 3rd cup of coffee before the shower. Went grocery shopping after my clients at 11 am - 1 pm. Then got home, and started to finish the rest of the final exam study guide questions, after putting groceries away and doing the laundry. I had a jack and ice water at 230 pm then again at 530 pm and finished the study guide by 6 pm. Didn't fill out the SOAP notes or receipt yet or study any more chemistry just yet. Had the last bowl from the raviolis made the other day with mozz and parmesan cheese. No soda anymore because I feel like it or the margarita or the combination of both made me constipated so won't be drinking soda for a while but not the same with margaritas as needed or desired or whatever as long as noninterfering with my studies. Didn't drink any more alcohol rest of the day and ended up getting tired around 8 pm. Got the chemistry exam at 3 pm Thursday on campus and the genetics exam between tomorrow and Friday. I have a 7 pm client tomorrow, but will plan for staying up late that night, waking up, studying, practice problems, take exam, go home study for genetics and read bw studying the exam sheet filled in and take that exam online before Friday or early Friday morning. Then work. Got a family massage Saturday after work, and a stretch session this Sunday that I scheduled with my boss about 3-4 weeks ago. But its scheduled into my calendar. My 11 am client is nice and a good friend of my regular. I have to upload her printed consent form then fill that info into my database. Was tired after studying. Throughout the last part of the day ate 4 fruit snacks here, a couple later,  3 later, 2 late. So about 10-11 fruit snacks. Went to bed at 830 but couldn't go to sleep until probably about 9 even though I was tired reviewing Molecular Orbitals. Woke up at 230 am got up 20 minutes later put the blankets in the wash because Goody peed on them and woke up smelling it. Probably bc Princess went to bed with one of her babies or toys and he always pees on her babies/toys. I tried studying but when reviewing  the Molecular Orbital homework wasted time recalling or figuring out that I don't know where the electrons go in the hybridized orbitals of valence bond theory. WE had an example on 4 electrons with carbon, but sulfur and 3 electron groups and 6 electrons didn't make sense to me. Tried looking at the power point and the homework and drawing schematics, but didn't find an answer. Scribbled all over paper in different colored ink. Tried going back to sleep around 5 am but couldn't and ended up archiving each and every post in both instagram accounts. Then felt like I might not make it through the day driving to and from work, possibly falling asleep in session, or having a couple asshole clients end my day and stressing me out for the time I have to prepare for the exam. Good thing my evening client cancelled last night, I realized this morning. She is busy and wanted to reschedule for Thur or Fri but told her its finals week and nothing available. I decided to call out from work by texting my manager and leaving a voicemail at work around 630 am. Then I felt better but thinking of them like I am a dissappointment, but not nearly as much as getting injured like my roommate did to himself last night at work getting out of his car too fast. His knee is twisted or in pain and makes him limp. Also, thought about seeing people at work call out all the time, or having my work call or text me to come in many times. Also, they are going to be closed 3 days in August for remodeling that we won't get paid for. So, I asked to use my sick days, but didn't disclose those other reasons. Really, I do like my regulars, but haven't been seeing many of them lately, just some new people, and last week two of them were assholes. I do not like having to wait around for somebody to get out of the room more than 3 minutes and closer to 6+ minutes. Then have to rush to get the room ready for a guy that laughs when I correct him on our classification being massage therapists and not masseuses. I hate ignorant peope and I hate entitled people. No healing energy for them. I have absolutely zero to give them. And they drain my good energy. I get the rest of the day to study. Its CA law anyhow to use sick days, and that is their fault if they operate their business model to give clients free massages when a therapist calls off. I wouldn't do that because I have seen it happen all the time at every single place I worked, except for the independent contractor places like Bodycentre where the massage therapists have to pay for the hours they miss under contractual obligations. </t>
  </si>
  <si>
    <t xml:space="preserve">12 bags fruit snacks
(840	0	0	12	204	0	300)
3 bowls raviolis
(1125	22.5	11.25	45	189	4.5	1530)
1 1/2 cups pasta sauce
(270	10.5	3	9	36	9	1380)
1/2 cup mozzarella
(160	10	7	12	2	0	380)
1/4 cup parmesan cheese about 4 tbs
(40	3	2	4	0	0	200)
2 1/2 cups vanilla icecream
(600	36	21	9	60	0	150)
half hersheys chocolate candy bar
(110	6.5	4	1.5	13	0.5	17.5)
can of coke
(180	0	0	0	50	0	60)
=840+1125+270+160+40+600+110+180
=0+22.5+10.5+10+3+36+6.5+0
=0+11.25+3+7+2+21+4+0
=12+45+9+12+4+9+1.5+0
=204+189+36+2+0+60+13+50
=0+4.5+9+0+0+0+0.5+0
=300+1530+1380+380+200+150+17.5+60
</t>
  </si>
  <si>
    <t xml:space="preserve">5 rolls
(700	20	5	15	110	5	1200)
2 eggs scrambled
(140	10	3	12	0	0	140)
2 tbs olive oil
(260	28	4	0	0	0	0)
2 tbs sour cream
(120	10	7	2	4	0	30)
1/4 cup mozz
(80	5	3.5	6	1	0	190)
1/4 cup parmesan cheese
(20	1.5	1	2	0	0	100)
bowl raviolis
(250	5	2.5	10	42	1	340)
serving of priano 4 cheese pasta sauce
(90	3.5	1	3	12	3	460)
10 fruit snacks
(700	0	0	10	170	0	250)
half hersheys chocolate candy bar
(110	6.5	4	1.5	13	0.5	17.5)
=700+140+260+120+80+20+250+90+700+110
=20+10+28+10+5+1.5+5+3.5+0+6.5
=5+3+4+7+3.5+1+2.5+1+0+4
=15+12+0+2+6+2+10+3+10+1.5
=110+0+0+4+1+0+42+12+170+13
=5+0+0+0+0+0+1+3+0+0.5
=1200+140+0+30+190+100+340+460+250+17.5
</t>
  </si>
  <si>
    <t>Woke up at 230 am and couldn't go back to bed, studied, couldn't sleep, didn't feel right to go to work, and called out by 630 am via text and phone message. First time ever for many years. The exam coming up is stressing me out and affecting my health and sleep. I got all day now to study, relax, and memorize for two exams. The genetics exam will be available later today, and I might study for that and take it before the end of the day so that I can take my chemistry exam and be done with the semester by the end of Thursday. Did the normal routine and went to bed at around 9 pm after laying in bed half an hour around 830 pm. So got about 5.5 hours of sleep. I have been up on worse, but really pushing the limits this time. So called out. Thankfully CA law protects workers and provides sick hours over time for them. Because work is stressful, the constant time management and getting the rooms ready, and having to speed up the process to clients who linger in the room for more than 3 minutes at the end of the massage. Mental health is diminished by end of shift. Not trying to work through it. That and I don't really like about half my coworkers. Didn't eat breakfast but had 3 cups of coffee by 7:18 am and a diarhea BM about reg amt of crap after 3rd cup around 7 am after the roommate arrived. My breakfast wasn't breakfast but 4 bags of fruit snacks. Took measurements at 7:42. Started feeling exhausted again, and mentally unable to do anything, but not tired enough to sleep for a nap. Thought about putting the wireless cameras up, but it made me exhausted thinking about it. Took the day off. Had a couple naps about 10-15 min each at some time during the day, the morning around 9 am and in the afternoon. Studied all day and later around 2 pm had a jack and ice water then cleaned kitty litter and washed the dog blankets on couches, swept floor, called the vet meds place to ask how they handle the package of heart meds I never got and they wanted a police report number, I spoke with a lady at USPS who called me and told her what happened and she said it was scanned next door and the neighbor must have taken it but its empty and told her about the security cams seeing her NOT go to the porch at all and of course she said she did. The package wasn't there and I don't believe anybody took it. I filed a police report online but after complaining online on google reviews about the heartland vet meds delivering in flat rate envelope and USPS delivery being lazy and throwing package on lawn or not delivering it. Then studied some more, still going over worksheets and formulas needed and flashcards as needed. Had another jack and water by 530 and massaged the roommate's knee, he is drama all day any day all the time exactly. No inbetween. His knee, his knee, his knee. He hurt it. Put some CBD on it, infrared light, used the instrument assisted soft tissue mobilization tool to detox inflammatory agents and reduce tension in parts of ITB that are pulling on his medial collateral ligament and his hyper extended aches in patella tendon of his L knee. Then let him rest, recorded that mini video if ff to add to my instagram videos. Then studied some more went to bed before 9 pm, difficult at first to fall asleep, but did. I had about 12 bags of fruit snacks all throughout the day, 3 bowls of raviolis or the whole package with 1 1/2 cups in total of pasta sauce about 1/2 cup mozz and 1/4 cup parmesan cheese, about 2 1/2 cups vanilla icecream, some with a canned coke and the rest was later with that first jack and ice water that was the remaining coca cola, the other with the 4th cup of coffee and half a chocolate hersheys candy bar with cinnamon in a coffee icecream drink or capuccino blast and last cup of the day. Went to bed around 9 pm but more between 845 and 9 pm. I didn't wear my waist trimmer or compression socks all day.</t>
  </si>
  <si>
    <t>Woke up at 418 am and did routine, felt refreshed after not being able to sleep the day before. Did some more reviewing of worksheets on thermochemistry and solutions and heat vaporization and fusion with liquids and reactions with mixtures, solutes, and solvents and heat of hydration. Reviewed the ppts of those chapters some and ch13, but don't think we are tested on that one on lattice geometry with cubic layering, but could be what the bonus question is on. Who knows? The bonus question ended up being on the different enthalpies, and wouldn't you know it I didn't remember all of them and also which one is less reliable. Which I assumed was the tabular one. I was there for the final review but didn't study my notes from the final review at all, only the worksheets, and the first 2 pages was exactly from the worksheets on nomenclature and some other problems, She had a very time consuming heat enthalpy with Hess's Law and I am glad we had more time to do it. I also don't know how to know which atoms in compounds have higher lattice energy so just drew the lewis structure and chose the ones with more lone pairs as weaker and the ones with more bonds stronger. Also a question that gave the density and asked grams of NaOH needed when the Molarity was given for the solute and the mass percent. That question didn't make sense. Overall, I feel like I did good on the test. The other questions didn't stump me that much to start. I later had a triple shot of Jack and ice water then studied for the genetics exam and took that at 9 pm and finished around 945 pm. Not a difficult exam but many multiple choice responses seemed likely. I was going to massage the roommate's knee the same way as I told him I would in the morning but he had to get ready for work. He was walking around much better and I should record him limping around before the massage and walking after the next day getting up. The gua sha tool with teeth and infrared light with CBD to loosend the tight bands pulling on his knee on the patella and medial collateral ligament of his knee. All together for food I had 3 bowls of mashed potatos 1 cup each with mac n cheese 1 cup each, 2 pickles 1/2 cup vegan beef morning star brand, 4 cups of coffee all day, one with 1 1/2 cups vanilla icecream, cinnamon, and the other half of the hersheys chocolate candy bar from yesterday, and 13 fruit snacks by bed time at 10 pm after taking my measurements. I got caught up in studying and getting ready. I also had a nap around 10 am for 15 minutes. I only wore my waist trimmer after my shower and after the exam with compression socks for about 5-6 hours, because I showered early in the morning because I dried my hair with my hair dryer I had to ask the roommate to use because he took it for his art painting projects. This was around 9 am. I was already done showering and drying my hair. Didn't take too long because its short and came out smoother than air dried. But I didn't put on the waist trimmer until after my nap around 11 am. It was difficult to put on. I feel like my belly was bloated. I only had a sm BM solid after 2 nd cup of coffee in am and before 3rd one before my shower. But ate a lot of food. A whole bunch of pasta that wasn't gluten free and pasta sauce is high in sodium. Plus the small amounts of Jack and ice water I have been drinking a few days. Finished that bottle it was a small bottle from Bev mo yesterday with my triple shot jack and ice water after my chemistry exam and made me unable to study for about 3 hours while listening to Spotify and budgeting my check book and other things like making some manicottis later in the evening that I didn't eat but made for today as I had to bake them for 45 minutes and wanted something to put in microwave before work for breakfast. Got them at Aldis in frozen section. Not gluten free. Planning on having a drink later and not eating gluten free. This should be interesting to go to work when I called off the day before for the first time ever while working there since Jan 2020. It is now June 2021. Already summer. Chilly in the morning even though hot last night, so running heater still in the mornings.</t>
  </si>
  <si>
    <t xml:space="preserve">3 cups mashed potatoes
(480	12	8	8	80	4	1640)
3 cups mac n cheese
(780	7.5	4.5	27	144	6	1680)
1/2 cup vegan beef morning star brand
(70.00	2.50	0.00	10.00	4.00	3.00	210.00)
6 tbs sour cream
(360	30	21	6	12	0	90)
1/2 cup mozz
(160	10	7	12	2	0	380)
1/4 cup almond milk
(15	1.25	0	0.5	0.5	0.5	85)
1 1/2 cups vanilla icecream
(400	24	14	6	40	0	100)
1/2 hersheys chocolate candy bar
(110	6.5	4	1.5	13	0.5	17.5)
13 fruit snacks
(910	0	0	13	221	0	325)
2 pickles
(180	0	0	0	48	6	900)
=480+780+70+360+160+15+400+110+910+180
=12+7.5+2.5+30+10+1.25+24+6.5+0+0
=8+4.5+0+21+7+0+14+4+0+0
=8+27+10+6+12+0.5+6+1.5+13+0
=80+144+4+12+2+0.5+40+13+221+48
=4+6+3+0+0+0.5+0+0.5+0+6
=1640+1680+210+90+380+85+100+17.5+325+900
</t>
  </si>
  <si>
    <t>Priano Aldi brand manicotti pasta, 3 servings per bag, 2 manicotti in a serving, package:</t>
  </si>
  <si>
    <t xml:space="preserve">Woke up at 530 by alarm and did the normal routine, cleaning pet messes, feeding the babies, giving Growly his meds. We went to bed with the AC on and my eyes were dry waking up and a little tired. Updated this data base on nutrition and notes and other information. Heater on in the am, AC on last night. Finished updating the database by 6:55 am, had 2 cups of coffee at that time and a very large BM in volume that made up for yesterday. Taking measurements around 7 am. Before breakfast. Plan for manicottis, might change it if not good, but should be because the raviolis are by Priano and their pasta sauce. My BM was quite a bit of volume. I lost 2 pounds since taking weight last night around 10 pm, and this morning after my BM, 2 cups coffee, and before breakfast. Body is healing from stress and rebalancing. That's great, no I have a few weeks to look over this python coding for genomics, still haven't gotten my full genome results. But will know more about what to do to analyze it, even though they have their own online system for analyzing it. I will also be able to get more biz on side for my biz, already got a couple new clients this Monday in the morning that scheduled yesterday, and pick up more shifts at work to start paying off my credit card and probably save some, but realistically I spend. There is always something to invest in to add value to my company or to buy. Saving is good for those that can afford to do it, but it does take money out of circulation and spending boosts economy and creates more work. Only save if saving up for your children's education, a house to buy, a vacation, etc. I have a huge genomics machine to save for that realistically I will not be able to afford by saving for, so it is unlikely I will be saving money. Unless I can save a little bit to put down on it and finance the rest. I checked into an email Massage Heights sent out to all visitors in their database, about buying a franchise, and they want at least $400k in equity or $175K cash to even be considered. That is unrealistic, and they also promoted that their average owners gross 1.5M USD a year. Gross is correct, because they are pimps and probably charge them royalties and entitlement fees for the name and monitor them like an HOA with fines and such for not complying with their brand. They honestly don't make after their bills that much. I haven't got the intel on it, because they are all private owned. That Tamera manager works there and knows how much they make, but like I said before they are cheap AF, and have the worst treatment of their employees. That happens in places not making a profit or a very small one to be that greedy on the surface. Although the owners drive 7 series BMW and live in Tustin and own five or four all throughout CA, but have to divy up their profits or better performing locations between the ones not performing well. Boom! I just checked my grade and my final was a 92%. Super! It also replaced my lowest exam. But I did still have another low exam, but 3/4 an A. My score is 88.9% and I think she uses that scale as an A. That is so great! Relaxed and chilled. On to my day. Got home and had a margarita after work, for lunch at work I had the rest of the manicottis, after eating 1/3 the pkg for breakfast, no additional cheese added. I also had a nitro cold brew with honey almond and sweet cream added from Target and bought a new bikini that were out front while waiting in line to the Target Starbucks. I went to that one because Grand blvd was packed, and overflowing too much to turn Left during the light at the start of my break and when returning the same around 1 pm. I finally put up the wireless web cams while drinking the margarita and getting frustrated with listening to the roommate pester me to massage his knee and tell me to hurry while not being able to get the wireless module to connect to my blink app and waiting for it to update my old app from the line plug in blink camera. Got a free subscription until mid July. I had to call tech support and thankfully he was able to get it to work, for some reason when he looked at the account and the devices he could see their activity and everything worked, but for me, it kept trying to refresh and never go through. I had put up the hardware and never found instructions on how to put the cameras on the brackets and was scared of breaking them when trying to snap them on, but didn't. I got 3 camera on the front entrance, 2 on the porch and 1 on the outside of the porch to see that the mail person is not giving us our mail. Had my Mr. GRowly's meds stolen, or she never dropped it off or threw it in the front lawn. The outside one doesn't see the sidewalk, and the view cuts off right below the sidewalk. but the porch ones see through the porch screen any images, but not sure if it will be motion activated that far from the vision in day light. Never massaged the roommate's knee, and had a 2nd margarita listening to country music before deciding to call tech support. They were up and running by the time the roommate left to work out and/or work. Went to bed around 10 pm, with laundry in the wash. </t>
  </si>
  <si>
    <t xml:space="preserve">pkg Priano Aldi brand frozen bag manicotti
(570	13.5	6	33	72	3	1290)
1/2 cups pasta sauce Priano 4 cheese
(225	8.75	2.5	7.5	30	7.5	1150)
honey almond grande nitro cold brew with sweet cream
(70.00	5.00	3.50	1.00	4.00	0.00	20.00)
1.5 cups mashed red potatoes
(120	3	2	2	20	1	410)
1 cup mac n cheese
(260	2.5	1.5	9	48	2	560)
3 tbs sourcream
(180	15	10.5	3	6	0	45)
1/4 cup mozz
(80	5	3.5	6	1	0	190)
2 tbs parmesan
(20	1.5	1	2	0	0	100)
1/4 cup vegan beef crumbles
(35	1.25	0	5	2	1.5	105)
3 fruit snacks
(210	0	0	3	51	0	75)
margarita mix classic jose cuervo brand
(220	0	0	0	56	0	350)
=570+225+70+120+260+180+80+20+35+210+220
=13.5+8.75+5+3+2.5+5+1.5+1.25+0+0
=6+2.5+3.5+2+1.5+10.5+3.5+1+0+0+0
=33+7.5+1+2+9+3+6+2+5+3+0
=72+30+4+20+48+6+1+0+2+51+56
=3+7.5+0+1+2+0+0+0+1.5+0+0
=1290+1150+20+410+560+45+190+100+105+75+350
</t>
  </si>
  <si>
    <t>mac n cheese pkg, 3 servings per pkg, 4 tbs sourcream 1/2 cup mozz 1/4 cup almond milk added and 1/3 cup vegan beef crumbles</t>
  </si>
  <si>
    <t>honey cake 85 degrees bakery</t>
  </si>
  <si>
    <t xml:space="preserve">half bowl mac n cheese with sourcream mozz beef vegan
(613.33	19.58	12.75	24.83	78.33	4.00	1130.00)
8 fruit snacks
(560.00	0.00	0.00	8.00	136.00	0.00	200.00)
salt butter bread 85 degrees bakery
(320	17	10	6	35	0	430)
honey cake 85 degrees bakery
(190.00	10.00	6.00	7.00	34.00	0.00	15.00)
4 international delight caramel creamers
(140.00	6.00	0.00	0.00	20.00	0.00	60.00)
half bowl mac n cheese with sourcream mozz beef vegan
(613.33	19.58	12.75	24.83	78.33	4.00	1130.00)
2 fruit snacks
(140	0	0	2	34	0	50)
=613.3+560+320+190+140+613+140
=19.58+0+17+10+6+19.58+0
=12.75+0+10+6+0+12.75+0
=24.83+8+6+7+0+24.83+2
=78.33+136+35+34+20+78.33+34
=4+0+0+0+0+4+0
=1130+200+430+15+60+1130+50
</t>
  </si>
  <si>
    <t xml:space="preserve">Woke up around 345 am, peed, let Growly out to pee and put laundry in the dryer and laid in bed until 445, got up, and washed the blankets and mattress pad and cover because one of the babies peed on them. Then looked up getting a Texas massage license. Was curious, because the idea of maybe moving there or vacationing there a while and massaging as income came to mind when thinking about taking a road trip in my work van and promoting mobile massage therapy. It is doable, but they want the school catalog course description with the official transcript from my school that I have to get directly from the CAMTC.org because my school has been closed 5 years now and I think it is $125 for that, plus a letter from them probably the same cost, have to email the CAMTC and find out, the letter stating I am in good standing and no violations and how long I have been licensed, and take a  TX jurisprudence exam before applying which is actually done online and costs $35, plus send over the MBLEX to the TX massage board, which is I think $20, since I took it last summer and passed it that was the price at that time. And the cost for the Texas application is $100. I have a couple clients today, nice family. I had to cancel on them for a family massage 2 weeks ago because I had to study for an exam and didn't have enough time, ended up not doing great on the exam even with studying, but had no extra time when deciding to cancel the night before the massages. Thankfully, in the long run I ended up doing great in that class. Two fruitsnacks for breakfast, measurements, got scared Growly escaped and walked around before shower upset looking for him outside. Left by 730 am rushed. But enrolled in course and paid with mastercard and the used text book paid with mastercard to pick up at RCC. Starts the 21st of June, in 10 days. Emailed MBLEX and CAMTC to get additional information on TX needed info. But didn't pay for it. Because I don't know how and still deciding. I think it would be good. Summer course is entirely online and gets out Thur 7/29. 3rd cup coffee before work. Felt like a heartattck looking for Growly. Had a sm BM after 2nd cup of coffee earlier before looking for Growly, he was under the bed. Brain fog this morning. I forgot I let him in first and the othr 2 babies were outside, so when I saw only the other 2, I called his name and he didn't come. He is the only one able to crawl under the gate like the cat does. Turns out Growly was under the bed ignoring me and scared once I was yelling his name. Went to work, didn't pack lunch, out of food again other than mac n cheese, potatoes and quesadillas. Need some frozen raviolis and other pastas, but more sodium in those pasta sauces than the other items. Or both the same. Close, but I think the pasta sauce has the most sodium. Got home around 215, no Amazon package, checked out the front porch wifi camera, the two lights red and blue came on when I looked in the mailbox to see if the mailperson delivered the mail. This is really upsetting because the sinc module is offline. I am likely going to return it. had 5 more fruit snacks bw bk and lunch after the 1st 2, then a salt butter bread and honey cake from 85 degrees for lunch and 4 creamers in 4th cup coffee at work. Then got home tired. Took a 20 minute nap and still felt tired after dealing with customer support, of course the sinc module worked when I called the customrr support for it. I might be taking it back. Made mac n cheese when I woke up, hot day today, and supposed to be much hotter next weekend. Had a bottle of water to see if I was tired due to being dehydrated bc not drinking a lot of water later at all. More coffee and drinks at home at night when done for the day. Going to put sourcream, beef crumbles 1/3 cup of the remaining morning star vegan brand, with almond milk and mozz cheese and the powder it comes with. then top with parmesan. Could be tired bc no real food eaten at all today and about 6 hours sleep from 10 to 445 am. but it was more like 345 then laying in bed till 445, so 5 hours of sleep. Took another nap around same time I woke up but in the PM for 15 minutes. Then made a 5th cup of coffee for the day. Had 1/2 the pot of mac n cheese I made before the coffee and nap while digesting food. Slept for about 10-15 minutes. Still felt tired, and then had the 5th cup of coffee, but woke the roommate up to massage his knee again with infrared light, CBD, and the gua sha tool for IASTM around the taught bands and his medial knot on the side of the knee, feel a pocket of something folding over, almost like a bursa or fluid sack or maybe even a nerve, not a blood vessel, some fluid in knee but not noticeable, felt while palpating knee and him flexing knee he feels pressure in it. Went to clients. A nice mom and daughter. They were understanding of my cancellation two weeks ago due to school related stress. I gave them a discount to help their understanding before hand. They are very nice. Probably will be massaging their pops of the house around father's day and/or the son in law. Got home before 9 pm, because needed to deposit some cash accumulated from tips and the 1s were taking up room in my wallet. I got a stretch session tomorrow. I actually felt normal, energy wise after the massage and during it. The daughter carried the 52 lb massage table up the stairs and down it. That was super cool. Tomorrow I am working with another employee to get trained on stretching after my work shift at exactly 3 pm. Yay! Finally get to learn the Massage Envy stretch technique. Not sure how long that will last but could be all day. I also drank one drink of a margarita while doing the SOAP notes and updating this database and my client database. I actually have a few more clients rebook with me this week, one from a while back like a year ago. Super cool all of them. She has probably gotten through her 1st 2 years at UCLA premed one client, and the others are couples that are regulars. All super cool. I just thought I could see about buying some CBD from her, but she probably doesn't have it on hand, and I just deposited all my cash, not a big deal if she did because I can actually deduct it from their invoice that lasts as long as the massage session lasts. It seems to work on my roommate and my regular client, but also the infrared light and gua sha tool too. The combination for the roommate, and just the CBD and infrared light for my regular client. Super nice lady, of course.  I didn't get any groceries, but don't matter, mac n cheese is good too. Especially loaded with the stuff I put in it. I found out I got an A in my chemistry course. Super yay! I know I fussed the whole time because it was torture, but at least my efforts paid off. She is a great instructor after all. I feel like I learned quite a bit from both courses. I will wait until next week to see what I got in genetics. I am assuming an A as well. But it could be a curve ball. If anything, the worst is a B, but I feel that is unlikely. I have a 93% in the course. But I just realized my Exam 3 score was a 79.5 after hand grading responses. That was the same one the exam cut me out of the last part of the exam and I emailed her my responses. I am not sure if that affected the score, or not. But thought it would improve it. Now not so certain. They get graded usually with a 5-7 day gap after the exam and aren't available to look at. The exams weren't available to look at for my other biology course either 10 years ago, Principles of Ecology, but that was a hard A to earn as well. I won't know my final grade until Tuesday some time. Hopefully an A. Went to bed tired at a little after 10 pm after putting laundry in the dryer, it was probably around 1010 pm. I had the other half of the mac n cheese before bed and 2 more fruit snacks. I also noticed late last night that the front camera does work after checking to see who delivered the better weight scale hopefully that I ordered on Amazon that was delivered last night. </t>
  </si>
  <si>
    <t>Woke up around 524 am when I saw the time on the monitor in room. I did the normal routine, cleaned the babies messes, gave Growly his meds and fed the babies after doing dishes from last night and restarted dryer after feeding babies. Did the receipt for clients, but didn't get around to their SOAP notes. Going to do that this morning. Had my coffee and a small BM before finishing the 1st cup. Had another cup of coffee, folded laundry and put away, then 3 fruit snacks, and made a 3rd cup of coffee before taking measurements. Was finished by SOAP notes and emailing receipt and SOAP notes to clients before finishing 2nd cup coffee. Measurements with new weight scale. My fat caliper measurements on abs is a huge increase, I was able to grab more fat today from abs, usually its tight against my ab muscles. I haven't worked out in months. And I am getting breast tenderness and a little bit emotional, getting ab cramps, so feel like my menstruation is going to start soon. We have a stretch class today after work, and going to grab something to eat other than fruit snacks before work. Showered and washed hair before work. Had another couple fruit snacks before work. Went to work and had a double salmon with added ahi tuna poke bowl only cucumbers, ginger, wasabi, brown rice, cream cheese, and house ponzu sauce, with 1/2 serving tortilla chips. Then after work at 3 pm, had the 3 hours of stretch classes, need one more volunteer within next 2 weeks to do a practical on with stretching. Got home a little after 6 pm, stopped by Aldis for a couple frozen pizzas and raviolis. Ate half a margarita pizza I baked in the oven with 2 tbs ranch dressing. Had 4th cup of coffee at work on my lunch break after the poke bowl. Had it with 4 creamers carmel. After work had 2 drinks, margaritas, listened to country music for first drink waiting for pizza to cook then finishing my pizza that I ate which was half of it, put the other half in the fridge. Then subscribed to hulu recurring monthly for $6/month under jc@y M!4, get a free month trial, going to watch season 4 of the Handsmaids Tale, got through the 1st 2 episodes then went to bed tired. Had 3 fruit snacks before bed time. I have a client for MLD at 9 am and her boyfriend at 10 am, but no consent form filled out for the bf yet. Went to bed just before 10 pm, around 950 pm according to blink.</t>
  </si>
  <si>
    <t>margarita frozen pizza Aldi, valpizza, 134 pizza, 4 servings per container, 2 servings or half pizza</t>
  </si>
  <si>
    <t xml:space="preserve">8 fruit snacks
(560	0	0	8	136	0	200)
4 coffee creamers
(140	6	0	0	20	0	60)
double salmon poke bowl
(988.4	18.275	3.325	38.125	132.45	16.875	2007)
serving ahi tuna
(106	0.4	0.1	8	16.7	0.6	186)
3 tbs creamcheese
(153	15.3	9.6	3.3	1.2	0	129)
4 slices margarita pizza, 1/2 pizza
(700	22	12	28	102	10	1560)
3 tbs ranch
(218	23.1	3.6	0.5	3	0.3	367)
serving margarita mix
(110.00	0.00	0.00	0.00	28.00	0.00	175.00)
=560+140+988.4+106+153+700+218+110
=0+6+18.3+0.4+15.3+22+23.1+0
=0+0+3.3+0.1+9.6+12+3.6+0
=8+0+8+3.3+28+0.5+0
=136+20+132.45+16.7+1.2+102+3+28+
=0+0+16.9+0.6+0+10+0.3+0
=200+60+2007+186+129+1560+367+175
</t>
  </si>
  <si>
    <t>Sweet Earth frozen entrée of pad thai with tofu, 1 serving is 1 pkg</t>
  </si>
  <si>
    <t>Starbucks refrigerated consumer grade carmel machiato, 3 servings per bottle, serving is 12 oz fluid, bottle:</t>
  </si>
  <si>
    <t>Woke up did normal routine around 6 am and got out of bed to clean pet messes, make my coffee, give Growly his meds and feed the babies, then updated this data base and looked up blinks time for my bed time and saw that the outdoor wireless cameras were not synced AGAIN to the module. I went ahead and saved the blink tech support number to my phone and am waiting for them to put it on the network and tell me how to do it, because it seems to only work when they access it. It is SOOOOOOO ANNNoYYYOing to have to keep doing this because they aren't working. I might take them back. Spoke with someone about 30 minutes around 645 am until 715 am, and told me the sync module is fine, but the wireless outdoor cameras' signals are not strong to sync module, so I have to move the wireless router or the same device my roommate has been having problems with and attach the sync module to his room closer to the wifi cameras. Had a sm reg loose BM after ending call with tech support and finishing 2nd cup of coffee. Had another small BM after speaking with the tech support and drinking 3rd cup of coffee or while drinking it. Then took measurements and ate breakfast then showered to get ready for 9 am client in Eastvale.They were nice, she signed up for a 10 pkg MLD session, and the bf said he wants another one this Thursday. I got Growly's meds at the vet he goes to that I ordered 3-4 days ago. They called last night and left a message saying its ready. Then went to RCC to get my Biology book. They gave me the wrong order, a digital card in card board, and I hate digital textbooks, so had to wait in the long line again to either return it or get the right physical used copy for $145 that I already spent. The next cashier said whoever packed the order did it wrong and got me a used one like I ordered. Then went home ate the last two slices of pizza and had a 4th cup of coffee. Then went to work. Had a frozen meal from Albertsons and a 5th cup of coffee that was a carmel machiator 3 serving bottle from refrigerated section of Albertsons the Starbucks brand. The frozen meal was a sweet earth tofu pad thai. I didn't care for it and only ate half of it. Bland flavor like eating Tex Mex and expecting Mexican food. But with Thai food. After work had 2 margaritas but about 1 serving margarita mix, made a pizza and after completing the clients' receipt and SOAP notes and emailing them to them, had 1/4 the pizza with Ranch dressing and went to bed. Had the linens in the dryer before going to bed and did my laundry and spun it before going to bed.</t>
  </si>
  <si>
    <t xml:space="preserve">6 slices pizza margarita 134pizza brand aldi
(1050.00   33.00  18.00  42.00	 153.00	 15.00	2340.00)
6 tbs ranch dressing
(436.00	 46.20	7.20	1.00	6.00	0.60	734.00)
1/2 bowl Sweet Earth pad thai vegan
(175.00	5.50	0.75	4.50	27.50	1.50	285.00)
1/4 bottel Starbucks carmel machiator drink
(142.50	3.00	1.88	5.25	24.00	0.00	75.00)
4 tbs parmesan cheese
(80.00	6.00	4.00	8.00	0.00	0.00	400.00)
1 serving margarita mix
(110.00	0.00	0.00	0.00	28.00	0.00	175.00)
=1050+436+175+142+80+110
=33+46.2+5.5+3+6+0
=18+7.2+0.75+1.88+4+0
=42+1+4.5+5.25+8+0
=153+6+27.5+24+0+28
=15+0.6+1.5+0+0+0
=2340+734+285+75+400+175
</t>
  </si>
  <si>
    <t>soy based veggie burger with grill flavor, EARTH GROWN VEGAN brand Aldi, 1 patty:</t>
  </si>
  <si>
    <t>3/4 pizza margarita 134pizza
(1050.00	33.00	18.00	42.00	153.00	15.00	2340.00)
5 tbs ranch dressing
(436.00	46.20	7.20	1.00	6.00	0.60	734.00)
4 tbs parmesan
(40.00	3.00	2.00	4.00	0.00	0.00	200.00)
1/4 cup mozz
(80.00	5.00	3.50	6.00	1.00	0.00	190.00)
1/2 pickle
(60.00	0.00	0.00	0.00	16.00	2.00	300.00)
1 vegan beef patty
(350	11	1.5	9	55	3	570)
2 slices Dave's Killer BRead
(140.00	2.00	0.00	6.00	26.00	4.00	210.00)
1 serving margarita mix
(110.00	0.00	0.00	0.00	28.00	0.00	175.00)
1/3 cup starbucks prepackaged carmel machiato cold beverage
(190.00	4.00	2.50	7.00	32.00	0.00	100.00)
=1050+436+40+80+60+350+140+110+190
=33+46.2+3+5+0+11+2+0+4
=18+7.2+2+3.5+0+1.5+0+0+2.5
=42+1+4+6+0+0+6+0+7
=153+6+0+1+16+55+26+28+32
=15+0.6+0+0+2+3+4+0+0
=2340+734+200+190+300+570+210+175+100</t>
  </si>
  <si>
    <t xml:space="preserve">Woke up at 530 and got out of bed around 550 am, went to bed 11:50 pm last night. Got 6 hours of sleep, drank some water, had coffee, gave Growly his meds and fed the babies, no messes to clean up. Registered for a microbiology course at Norco College, 4 units with lab, not 5 with the only instructor available, which makes me think out of about 10 in RCC and Norco College she must have a difficult or very stressful class. I might not even need it if I get into the doctor of chiropractic program in Fall. I have a client in the morning and at noon. The morning one is at 9 am and she lives close, but they might be doing road construction or a train might be in the way. The retarded roommate was trimming Goody's butt hair at just before 7 am and had the garbage disposal running 10 minutes or more while doing it that stressed me out, had a small BM after 2nd cup of coffee. He wasn't able to get Growly's butt hair. They need the groomer's but I am busy and so is he, and can't call to book one today because they open at 9 am and don't take calls until then. I will be back in the afternoon before 2 pm and would be able to get them done at that time, but again not able to schedule it because they don't answer calls until 9 am. My knee was swollen after work when updating my database and making SOAP notes before bed when lifting leg up to relieve pressure on LB while standing at computer. I haven't been marking the swollen ankles, because it seems to be the same slightly swollen ankles and nothing really swollen more than normal last few days. Unless it causes me to not be able to flex my foot or put on my shoes, then it will get marked as not swollen ankles, even though there is always some swollen lymphedema there. Just not excessive amounts. Took measurements after having 3 slices of the pizza margarita 134pizza and 4 tbs ranch with 3 tbs parmesan. Actually just 2.25 slices, because I only like the crust and didn't eat the cheese on 3rd slice, gave to Princess. This pizza is too yeasty for them and actually is probably why I weigh 145 pounds. I also have a new appt w someone new referral seems related to new client from yesterday same last name but in Moreno Valley, had to email them to notify of the $20 additional to $60 service cost due to the google drive time saying historically to get to his residence will be 1 hour 10 minutes and back about 40 minutes. They get an included 30 minutes each way. Too much stress to drive further than 30 minutes in traffic. Its CA, so its not that much of an increase. After my massage appointments at 9 am and 12 pm, I was upset about the apps on my phone not working after a Corona police department line called my personal phone to ask for the information for me on the police report I filed last week on the stolen pet meds or the mail delivery person not delivering the package. There was also a silver SUV parked in front of the client's house the whole time and it left after I left a message on option 9 of their menu with the police department asking if their line has something to do with why my phone says I have full internet access with all bars but none of my apps work. I couldn't get any of my apps to work for spotify music to listen to massage spa music or access square scheduler but was able to accept messages and phone calls. After I hung up the lady in the SUV got in her car and left and I checked my music and it worked. I did not like that at all. I have never had that problem at her house. She lives right up the street from a prek school or elementary school and it is the 15th of June and kids should be out of school. But a bunch of cars were outside and a car was blocking the client's house at 12 pm a time I always see her and have been for last few months. I left her house and on the way home I was able to do some grocery shopping for cat food and cleaning supplies for laundry and paper towels, etc, then get my babies in for a dog grooming. While they were there, I got money out the bank to cover it and the roommate said he would put in money to transfer it to my account so did that, he only wanted to put in 100 but I didn't know until after because he usually gives 120. I offered the groomer 40 more than normal bc he was extending his hours to cover their grooming. Then I went to the mailbox after calling to see if the title was there. It has been what feels like 3-4 weeks but the roommate says it has been barely 2 weeks. Right before memorial day weekend started was when I sold it. And its the middle of June, so about 2-3 weeks. The UPS store said I had something from the DMV, so I went and it wasn't the title it was a copy of the registration with the CA seal in the background. I texted the buyer to let him know and he told me I could go to the DMV and give my plates he sent and get the title there. I told him I would do that on my day off on Thursday. I picked up the babies about 545, but waited bc the groomer said bw 5-530. I gave him $200 with the tip to groom them. Usually it is around 165 with tip for all 3 groomed. It was a hot day. The first client's house I was sweating in. The new client tomorrow in Moreno Valley agreed to the $20 additional fee for drive time there and back on top of the $60 so that is a go for tomorrow. Then at home started watching the season 4 episode 3-4 of Hulu's Handsmaid's Tale but its repetitive and the usual torture seens and ways to destroy the main character into giving up her handsmaids. It was losing interest and signed out of that in the middle of episode 4 or so. Went on the news outlets and read some articles and commented on them to facebook while drinking the last serving of margarita mix with tequila then switching to vodka with ice water when that was gone. Had 3 drinks before bed and made a bunch of facebook posts. Looked a little at some of the tableau public server dashboards I had up on allergy meds and the brain glioblastomas, because a client I had recently at work who tipped very well btw, has a sm tumor thats benign on her pituitary gland and also takes allergy meds like zyrtec, allegra, and nasal sprays. I heard from a previous client who's mom died of a glioblastoma that was very healthy had also taken zyrtec and wanted to see if there was anything there in the genes and samples for zyrtec, but only had the other allergy meds on  that dashboard. I will have to look up those dashboards and see. Its on my other lap top. Or github account. For food for the day I ate most of the 3/4 pizza left over with 5 tbs Ranch between breakfast and lunch after dropping dogs off at the groomers and 4 tbs parmesan cheese, and 1/3 bottle of the starbucks carmel machiatto drink, then after finishing my 3rd and last drink for the night had a vegan beef patty from good earth brand at Aldis, with 1/4 cup mozz, 1/2 pickle, and 2 slices of the Dave's Killer bread that is still good and in the fridge. Been there about 2-3 weeks. Those vegan beef patties aren't bad. Went to bed at 10:05 pm according to Blink that was when the lights went out. </t>
  </si>
  <si>
    <t xml:space="preserve">Woke up at 430 to pee and drink water, went back to bed lying in bed until alarm went off around 530 am. The babies were cuddled up with me with the AC on low. They have less fur now and were cold. They're soft fur after grooming was relaxing and they smell like puppy perfume. I have been drinking more regularly and should stop to give body a break. Will do. I have a client tonight in Moreno Valley at 545 pm, must leave an hour or more before that time. Thursday got the DMV, and need to get the email of the TX massage board to have the CAMTC send my transcripts and letter of licensure proving my good standing. Then pay for it. Busy week before school starts up again on Monday the 21st. Thought our break was 2 weeks but its just 1. Thats ok though. I still haven't received the genetics course grade. Spoke with a rep with the TX licensing for massage therapy and got the email and then emailed CAMTC before work. Had a sm BM that was diarhea after 2nd cup of coffee and when waiting with phone on mute to speak with the rep. Not sure why sick, could be too much yeast in the pizza or the drinks or the high fiber bread with vegan beef patty late last night before bed at 10 pm. Took measurements after doing that and before breakfast at around 7:05 am. Had another vegan beef patty with 2 slices Dave's Killer Bread, 1/8 cup mozz and 1/2 pickle then at work got to try the roll em up taquitos with one flour/potato and the other two avocado/corntortilla and cheese/corn tortilla. Cruncy and good. Had sourcream, Mexican cheese and their mild salsa on them. Had the taquitos with a fountain coca cola medium size about whats in a can of soda with ice. Drank the rest of the Starbucks Machiato drink at lunch before the taquitos as my 4th cup of coffee because I had 3 cups before leaving for work. About 1/4 bottle. After work stopped by the house and had a 5th cup of coffee because I was tired. Then when I got home after new client in Moreno Valley, nice couple, referral from other new clients in Eastvale. This was his early Father's Day gift. She paid the $20 delivery drive time additional cost plus gave $20 gratuity. At home started the laundry and had a vodka with ice water and then another vegan patty, mozz, pickles and Dave's killer bread sandwhich before going to bed by 925 pm. </t>
  </si>
  <si>
    <t>flour 6" tortilla, calorie king.com</t>
  </si>
  <si>
    <t>3 taquitos, mozz, potatoes, avocado, 2 corn tortillas, 1 flour tortilla, 1/4 cup veggie oil or 4 tbs fried in, sourcream and cheese on top with mild salsa, approx:</t>
  </si>
  <si>
    <t xml:space="preserve">2 vegan beef patties
(200.00	2.00	0.00	32.00	12.00	8.00	640.00)
1/2 cup mozz, approx for mexican cheese on taquitos and on sandwhiches
(160.00	10.00	7.00	12.00	2.00	0.00	380.00)
1 pickle
(90.00	0.00	0.00	0.00	24.00	3.00	450.00)
4 slices dave's killer bread
(280.00	4.00	0.00	12.00	52.00	8.00	420.00)
3 taquitos, 1 avocado/corntortilla, 1 potato/flour tortilla, 1 cheese/corn tortilla from roll em up in chino on Pine ave.
(991.00	83.50	19.00	13.00	52.50	9.50	802.00)
1 coca cola fountain drink med with ice say a can
(180.00	0.00	0.00	0.00	50.00	0.00	60.00)
1/3 starbucks carmel machiato drink
(142.50	3.00	1.88	5.25	24.00	0.00	75.00)
=200+160+90+280+991+180+142.5
=2+10+0+4+83.5+0+3
=0+7+0+0+19+0+1.88
=32+12+0+12+13+0+5.25
=12+2+24+52+52.5+50+24
=8+0+3+0+9.5+0+0
=640+380+450+420+802+60+75
</t>
  </si>
  <si>
    <t>butter pecan sundae latte med iced Dunkin Donuts</t>
  </si>
  <si>
    <t>Woke up at 535 am and got out of bed around 545 am. I got up at 3 am to pee and drink some water. Did the normal routine fed babies, gave Growly his meds, put laundry in dryer after spinning it again, cleaned up pet messes, because the babies didn't want to go outside while making their food, cleaned it while they were eating their food. Then looked at the Blink app to see what time I went to bed and woke up exactly, and noticed the sync module cameras outdoor weren't working. Talked to tech with a guy couldn't understand what he was saying at first. Then he said its not their system its my wifi, it needs to be a separate 2.4 ghz and right now it is splitting 5 g through my wifi network. I don't know if thats 5 GHz or just 5 G. Because he just said 5 G. I have to call ATT to see if they can create a separate 2.4 GHz wifi line for it. I have to go to the DMV today, want to go early but not have to pee the whole time. Going to be tricky since I need to have 3 cups of coffee by certain time and get there to wait in line outdoors before they open. At least its like cabin whether outdoors, warm or hot. Had a sm reg BM after 1st cup of coffee and ending call with tech support, updated this database while drinking 2nd cup of coffee. Did errands and went to DMV, found out they sent out the DMV title June 6th should get it this week or next week. Because I got the photocopied registration then I will likely be getting the title soon. Today is Thursday. My boss texted to see if I could work today but get errands to do. Wearing blue jeans today, no waist trimmer, my belly is big, but the jeans fit snug over it. Then got Growly's other meds. Contacted the court to see about a 10+ year old record and applying. No useable answer. Looks like got to just apply and was told the FBI holds records and fingerprints 100 years. I just wanted to know if its a crime to say I haven't committed or been convicted of a crime when in CA it drops off the record. It was expunged 2 years after occurring, but the real criminals were the ones posing as victims and getting neighbors to testify a lie for them to save them from deportation. I never had the felony vandalism dropped/reduced to misdemeanor before expunging it and it shows as a felony until it is. I tried a couple years back but wasn't notified by phone or mail that I had a court date that was optional to show to, so they dropped the case when I wasn't there. Pigs. They don't care about helping people help themselves and they can be classist, racist, and misogynist. Especially the females working there as clerks for the court. Not helpful and make you and everybody else feel like a criminal. The same types that would also get to experience misogyny from pigs first hand if ever encountered for mouthing off to a male cop or his lap dog female cop that looks to him to make decisions and approvals. Not outstanding citizens found there by me ever. I sent in my updated unofficial transcript to the SCUHS DC counselor for verification and submitting application for fall. I would like to know that this previous criminal record won't stand in my way when going through the education process and getting licensed. I might have to save up money to hire a lawyer that can get this handled for me. Apparently its an almost impossible thing to do, is reduce the felony wobbler to a misdemeanor if the case has already been expunged. One lawyer gave me self help advice that I already stated ended up with them dropping the case from not notifying me. But said she charges $2k to do it from LA area to Riverside and normally doesn't and couldn't guarantee something to happen but why is it such a problem to get it reduced if it is impacting my options in life. This was in 2009 when I threw a stick at a female I encountered days earlier while she tried to run me over. I got in my car and chased her to her house up the street from me that I knew where it was because I followed her after the encounter to it. I parked in middle of the street and her and her husband got in the street and threw stuff at me while I was yelling and approached my car so I went to circle around them in the street that was a huge street at Cypress and Golden street in Riverside at the end of La Sierra where it meets Arlington by Alhambra Rd. Where I lived. The asshole guy told his wife when I circled them to run shes trying to run us over and I wasn't but had to stop because when circling them they got in my way, when they were out of it I went the other way. There weren't any neighbors there, and the guy hit his own mailbox when turning around crossing the street. I was arrested Aug 2009 for trying to run them over as their neighbors 'witnessed' it and the guy had a mark he doesn't recall how he got on his body somewhere. AFter a year and a half in court I was offered the only plea I would take, felony vandalism for admitting to throwing my dog's stick at the bitch's vehicle as she smiled devilishl and sped up her car to run me over jumping out of the way. I looked them up later, they didn't try to contest the expungement of the Nov 2011 no lo conteste conviction plea back in Sep 2013, because as it turns out, when I ran their background by name in 2015 they were actually arrested for tampering with a witness, domestic violence, and evading or resisting arrest. On facebook it said the lady was in Spain, probably deported and they didn't own the house anymore, but the asshole guy lives in a mobile home park in San Diego County like Escondido or somewhere. That was the last I checked. But universe doing its job, they weren't good people and they finally got exposed in one way or the other from their 'evil' ways. She called me 'evil' when recounting her version of the incident in court. and her own witnesses said the couple was never in the road throwing stuff at me or approaching my car, but that somehow I attempted to hit them with my vehicle in the middle of the road, but they weren't in the road. The whole thing was stupid AF, and the clerks don't care, one even said I was convicted of all 4 charges, and I told her people get sued for that when doing background checks, I wasn't ever convicted of all four charges and she should know how to read a criminal record. And complained on her to her boss. She just looked at me like she's a stupid AF chick just trying to survive by supporting pigs and making any criminal look more like a criminal than they are, or like a monster. I am neither a criminal or a monster. She is for denying humans their rights and her time in doing her job. They hire stupid ass spanish speaking sluts to fill those roles or nosy hispanic Karens only because they can speak spanish and are the same ignorant lap dogs that look to cops on what to be directed into doing. I also had a butter pecan sundae latte iced med size from Dunkin Donuts, decided not to get the nitro cold brew in any form as the last one I had there was disgusting a few months back. There was a drive thru line and it looked like a whipped cream sprinkled donut frappucino and tasted the same as starbucks carmel frapuccino. Didn't have breakfast other than that as my 3rd cup of coffee. Called Dad to say that I would do his taxes for father's dady but he didn't answer his cell phone or work line, like my number is blocked. He goes through phases. As I also dropped off the mail I had for my sister at their house a couple steps back before the DD coffee. I noticed that my youngest niece's car, the Toyota Camry isn't new at all or used from a new biz, but had handicapped plates on it and I realized at that time when checking the front that she is actually driving Sherri's car, my dad's 3rd wife who past away from a stroke in Nov 2020. Wow! because I offered her my Dodge Charger to drive around with about the same payment and amount of payments left and wouldn't take it yet would rather take Sherris car who probably has all sorts of cigarettte smoke and bad energy in the car. But she did barely drive it and it must have has at most 10k miles on it where mine had 74k miles on it same year 2017. Her paint had the scratch on it before my youngest niece drove it thats why she never brought it up, because a dealership wouldn't let a car leave the lot with a scratch on it like that could be masked or buffed out, too light for a key scratch and too dark for a light tree branch scratch. Got the rest of the day off. Thought about horseback riding at the sunset and daydreams place my client told me about for $55-59 or going to beach or somewhere with my new bikini, even though I would look pregnant in it. Maybe lounge in the pool of a hotel in my bikini and drink cocktails with people staring at me, 'she's pregnant! and drinking' me like mind your own business because I am not pregnant. THis is a health condition. Read my blog on it. Do something spontaneous. I got an A in genetics and chemistry. Yay! Doctor status coming up. Took measurements at 11:45 am after the DD drink with bikini on. I am going to walk around the mall and see if I want to buy anything and maybe see if any hotels have pool admission. And bring a towel. Then hang out at some random pool with a margarita and then eat something pescatarian or vegetarian. Then go home. Didn't do any of that, took dogs to park, Growly almost died, didn't make it in the heat, but thankfully saved again with AC this time and some water. Poor little guy, then had a prepaid client schedule for 6 and 7 pm for her and her bf and bought the monthly membership for him. Great couple. Lost it at Lowes, but not physically, waited in line off Limonite, and some girl cuts in line because there was one line to two open cashiers and the guy looked like he was just calling people from the line until his break or something because he didn't announce being open to all. I waited in line 10 minutes and when its my turn to get called she jumps in with people behind me. and blah blah blah, I had to assert myself and take my spot, and listen to her bitch, and she kept bitching the whole time and the female cashier like I have the problem. She jumped the line! and the guy I went to as the cashier said to be patient, which was exactly what I was doing, but she had to cut in. I had to be at clients in 5 minutes. I was like whatever. left listening to them complain about how absurd it was to bitch and assert myself with them bitching about it, there were at least 3 other customers in the line I was in assuming the same damn thing about the order of checkout, and nobody that worked there monitored it or directed it to flow a certain way we just followed the ones in front of us. So stupid, but nothing illegal done, so whatever. Got to client's on time and was behind her pulling in, because she went to Ross, told me in session. But I took 7 minutes as I was early. She might have been annoyed by that because she brought up that she wanted to let me in twice. Very nice lady though. Her and her man. Ended the night with a couple vodka on rocks at home doing the SOAP notes and receipt. And laundry of course. For food, I had 1 vegan beef sandwhich in total from breakfast to lunch because one vegan beef patty left of the pkg with 4, the butter pecan sundae DD drink of coffee was breakfast, 5 cups of coffee in total because I had a 5 th one after waking from my 15 minute nap at 3 pm. and a bowl of raviolis after that. Then shower, work, then home and after all done a 2nd bowl of raviolis. Had a reg but loose BM for 2nd BM today after SOAP notes and 2nd drink of vodka. around 1045 pm and after putting laundry in dryer. Also, started getting spotty while wearing my bikini before my shower around 4 pm. I started my monthly mensa. Bed by 11:25 pm.</t>
  </si>
  <si>
    <t xml:space="preserve">vegan beef patty
(100.00	1.00	0.00	16.00	6.00	4.00	320.00)
1/8 cup mozz
(40.00	2.50	1.75	3.00	0.50	0.00	95.00)
1/2 pickle
(60.00	0.00	0.00	0.00	16.00	2.00	300.00)
2 slices Daves Killer Bread
(140.00	2.00	0.00	6.00	26.00	4.00	210.00)
2.5 servings ravioli
(625.00	12.50	6.25	25.00	105.00	2.50	850.00)
1 cup pasta sauce
(90	3.5	1	3	12	3	460)
butter pecan sundae iced latte Dunkin Donuts med size
(410.00	14.00	8.00	12.00	60.00	0.00	340.00)
4 tbs parm
(120.00	0.00	0.00	0.00	32.00	4.00	600.00)
1/4 cup mozz
(80.00	5.00	3.50	6.00	1.00	0.00	190.00)
=100+40+60+140+625+90+410+120+80
=1+2.5+0+2+12.5+3.5+14+0+5
=0+1.75+0+0+6.25+1+8+0+3.5
=16+3+0+6+25+3+12+0+6
=6+0.5+16+26+105+12+60+32+1
=4+0+2+4+2.5+3+0+4+0
=320+95+300+210+850+460+340+600+190
</t>
  </si>
  <si>
    <t xml:space="preserve">bowl raviolis
(250	5	2.5	10	42	1	340)
1/2 cup pasta sauce
(45.00	1.75	0.50	1.50	6.00	1.50	230.00)
1/4 cup mozz
(80.00	5.00	3.50	6.00	1.00	0.00	190.00)
3 tbs parmesan
(30.00	2.25	1.50	3.00	0.00	0.00	150.00)
1 grande sea salt cream nitro cold brew
(70.00	5.00	3.50	1.00	4.00	0.00	20.00) 
double salmond poki bowl with spicy tuna, too spicy gross, no cream cheese only ate half
(277.25	5.59	1.08	8.90	48.28	4.18	450.50)
1 serving corn tortilla chips
(140	7	5	2	18	2	90)
=250+45+80+30+70+277+140
=5+1.75+5+2.25+5+5.59+7
=2.5+1+4+2+4+1+5
=10+2+6+3+1+9+2
=42+6+1+0+4+48+18
=1+2+0+0+0+4+2
=340+230+190+150+20+451+90
</t>
  </si>
  <si>
    <t xml:space="preserve">Woke up at 5 and laid in bed holding Growly. He had his eyes open, but was breathing and warm. The AC was on last night and he almost died at the park in the heat walking him, and running out of circulation to his legs, screamed from cramps. Put him in car with me and babies with AC on full blast until he cooled off. Then held him entire drive. Was fine at home. It was hot yesterday. Supposed to be more hot days. Got out of bed after a little nap bw 5 and 530 am by alarm. Did normal routine, no pet messes to clean, made my coffee, fed Growly his meds, fed babies, noticed Blink is a recurring issue on the daily to fix. Had to reset entire wifi and internet through ATT app then noticed the wifi to the sync module for Blink worked and so did the cameras. So annoying to do that all the time. Woke up with R shoulder aching, probably slept on it wrong or stretched it awkwardly holding Growly. Had 2 cups of coffee then a sm BM, med-heavy mensa day 2 on rag. Filled out the TX pdf fillable form and sent it in for Criminal History Questionaire. Could take weeks to months to decide. Will find out, but I know I did my part. Still waiting for the CAMTC to send me my paypal form to pay for transcripts to get sent, already took care of the other proof of licensure form yesterday. Then once they do that, take the jurisprudence exam online and apply. Got the funds, might as well. So thats 125 CAMTC transcripts school closed, 35 juriprudence exam, 100 TX application fee, + 90 approx fingerprints with indentogo once applied. Wait for the correspondence on criminal history approval or denial, then the summer have my liability insurance 100 to pay and city license renewal 115 approx to pay. Write offs. Have a couple of clients at 5 pm, but have never been able to get through traffic at that time to make it there. So I altered my schedule, will text her after work when using the waze app to see what time it has me arriving by. A very nice couple too. Took measurements before eating breakfast, last of raviolis with mozz and parmesan cheese. Had a 3rd cup of coffee with raviolis. At work had a no show as 3rd appt, and for lunch had a poke bowl that was gross and only ate 1/3 of it, too spicy with spicy tuna and double salmon, cucumbers, spicy mayo, house ponzu sauce, brown rice, and a starbucks seasalt carmel nitro cold brew drink. After work had last of the tortilla chips from Sprouts to snack on in traffic that was like 1/2 serving. Then got to clients, barely made it out of there without bleeding around my mensa pad and thankfully not on the floor, it was on my pants leaving, had to wipe it off my driver's seat when I got home. Made it back when my alley/neighborhood cat got there. A cute little girl or guy, doesn't like the pate cat food, partially eats it. Very sweet cat though. Saw that Mike, my neice's uncle booked an appointment with me with the free monthly prepaid. Not going to happen since he used 'cum' in the square app scheduler and no consent form, plus gives perve vibes. I will cancel it tomorrow. I have my other client at 4 pm and her cat. They're cool, very cute cat and nice client. I like all my clients. Clients tonight are cool people too, their dog is funny, they are trying to warm it up to people like me, because he barks a lot. Cute dog though. Had laundry in the wash, going to wash my clothes and bloody pants once the linens and covers and supplies are done and in the dryer. I back tracked and marked the swollen ankles because they weren't too swollen to move but they were swollen and they get swollen around my time of the month for menstruation.Went to bed around 1030 pm. After cancelling the square appointment with Mike and explaining why I wouldn't go to his house to give him a massage because I wouldn't feel comfortable with that language, its not respectable language, and it violates the terms of service in the consent form that everyone fills out before the appointment, and also he booked the monthly prepaid $0 appointment and needed to book the $60 hourly massage, and maybe that he doesn't live around Corona, and also that I would be busy and possibly on the other side of town. He probably booked it drunk. He is actually not known to follow social norms for long and always does something to make someone feel uncomfortable. Not the type of client I would ever go to their house to massage them. The idea is gross, reminds me of pigs tyring to connect my professional services to a pervert or disrespectful person. He is technically extended family, but always made it known that he wants to date me when he used to rent a room from us back in the day with my sister and her now deceased babies' daddy, his brother RIP now since July 2007, 14-15 years. 14 years this end of July. I was actually going to have a vodka ice water making the client's SOAP notes and receipts and doing laundry, then I saw his scheduled appointment and it grossed me out with the language used, so didn't drink. I sent out my clients' SOAP notes around 10 pm but a little after 10, then cancelled Mike's appointment. </t>
  </si>
  <si>
    <t>Great Value Peanut Butter creamy, serving is 2 tbs</t>
  </si>
  <si>
    <t>Market Pantry Concorde Grape Jelly, serving is 1 tbs</t>
  </si>
  <si>
    <t>banana bread Albertsons Deli, 10 slices per pkg, 1 slice:</t>
  </si>
  <si>
    <t>Starbucks Vanilla Latte, servings 3 per bottle,1 serving is 12 oz, bottle:</t>
  </si>
  <si>
    <t xml:space="preserve">Woke up at 515 put laundry in dryer after taking linens out and folding and all after doing normal routine, coffee and cleaning pet mess then making Growly's meds and feeding the babies. I skipped his meds last night, because it was off by 4 hours, and have to get to work by 750 am today. He would have to take it late then early when spaced out 12 hours is the goal. Updated this database and folded the linens and supplies before that time. Heavy bleeding and clotting. Had a mess of blood that did exactly what I worried it would do at my clients' house last night, spewed out a clot while standing and waiting for the babies to go outside, dripped down my leg and into my sandle birkenstock Target brand non-leather shoes that are comfortable and have been lasting a couple years already. I cleaned that mess up and used a washcloth, only have one menstruation pad left. Will probably need to stuff my undies with washcloths at work too. Those blood clots are the worst for emergency pants bleeding and around thick mensa pads. Its the fibroid that does it, makes all the blood cake up in the uterus, then slight movements like breathing or walking or standing, open pelvice floor or shift it and all the blood that clotten along and in uterus falls out and other blood when flowing heavy. Had a 2nd cup coffee by 625 am. Almost time to get ready. Had a sm BM after 2nd cup of coffee, then took measurements, made a 3rd cup of coffee and got ready for work. Ankles aren't really swollen, but not 'not swollen' and will be by end of day as my iron bleeds out, same with the last few days. Thats why its marked as swollen, by end of the day they are, even with compression socks on. At work clotted and heavy, used up two wash cloths before lunch, got a fruit bowl of green grapes, strawberries and mandarin oranges, approx 40-50 green grapes sm sz, 2 strawberries sliced and one mandarin orange sliced and peeled prepackaged for 6.99. Then looked for the starbucks carmel machiato but not there prepackaged, got the vanilla latte one instead, and a package of fresh deli banana bread. I don't know why, because there were other delicious options from the Albertsons in Chino Hills, but got that. Forgot the pads, then ate my fruit bowl mostly and a couple slices of the banana bread and a cup and a half of the vanilla latte. in my green cup, about 2 cups of the drink.  for the 4.5 cups coffee for the day as had 3 before work with a peanut butter and jelly sandwhich that was quick to make on Dave's Killer Bread, not bad. The 5.5 cup came after work exhausted, probably because its my heavy rag day and lost a lot of blood. I went back into the Albertsons and got two different sizes of the mensa pads and then went back to work for last client. Last two clients and first one were regulars. They're cool. I am blanking on the 2nd client but just remembered. She usually sees Joanne, but she was busy. Quiet young lady. AFter work had my regular client back from Las Vegas, very nice client, post op 6 months lipo 360. Very fit petite lady. Her cat is super cool and adorable. Got home by or before 6 pm, did the laundry and made a drink while cooking raviolis from freezer last bag and the last pasta 4 cheese sauce. Yay! Got class work to do. Stuff is already due the first day. There are what appears to be scheduled weekly meetings via zoom but the summer registry info said not a set time and date bc online. I can do the Mon mornings as long as no private clients, but only Wed if in evenings. She will be marking attendance, but then again it could just be keeping track of how we log into the course online and not the class. Looks cool. But she also said there is a lab manual, but when I purchased the text book to see what books were needed, I didn't see anything about a lab manual to buy. I will have to check on that. Ordered an air fryer and some earrings from Amazon.com. Had a vodka ice water drink. Feeling it with loss of blood too. Didn't make receipt or SOAP notes yet. Had a bowl of raviolis with mozz cheese. The parmesan cheese was all gone, roommate throws a lot on his food. I just bought two bottles last time I went to Winco. He uses a lot of the parmesan cheese. Had a 2nd BM after looking at homes and saw a condo that was 2 bed 2 ba in corona for 350k. Contacted, for curiosity. It said 5k with 60k a year at 19k a month mortgage. Not a fan of carpeting though. Went to bed early at 8 pm. The roommate came back to get ready for work but I was tired and saw him leave a little after 9 pm. Bleeding on mensa slowed down, but still messy, these Albertsons generic pads don't cover much when sleeping, goes off to sides. </t>
  </si>
  <si>
    <t xml:space="preserve">2 slices Daves Killer Bread
(140.00	2.00	0.00	6.00	26.00	4.00	210.00)
2 tbs peanut butter
(180.00	15.00	2.50	7.00	8.00	2.00	135.00)
2 tbs grape jelly
(100.00	0.00	0.00	0.00	26.00	0.00	0.00)
5 slices banana bread
(900.00	45.00	10.00	10.00	110.00	0.00	850.00)
1/2 vanilla latte starbucks refrigerated drink
(285.00	6.00	3.75	10.50	48.00	0.00	150.00)
bowl raviolis
(250	5	2.5	10	42	1	340)
1/4 cup mozz
(80.00	5.00	3.50	6.00	1.00	0.00	190.00)
40 green grapes
(8.5	0	0	0	36	0	1)
2 strawberries
(6.25	0.00	0.00	0.00	1.50	0.25	0.00)
mandarin orange
(40	0.2	0.1	0.6	10.1	1.4	2)
=140+180+100+900+285+250+80+8.5+6.25+40
=2+15+0+45+6+5+5+0+0+0.2
=0+2.5+0+10+3.75+2.5+3.5+0+0+0.1
=6+7+0+10+10.5+10+6+0+0+0.6
=26+8+26+110+48+42+1+36+1.5+10.1
=4+2+0+0+0+1+0+0+0.25+1.4
=210+135+0+850+150+340+190+1+0+2
</t>
  </si>
  <si>
    <t>Woke up before 530 am but got out of bed at 530 am, didn't feel groggy. Bleeding less today. Pads are messy. Did normal routine, cleaned pet messes, gave Growly his meds, fed babies, restarted dryer, made my coffee, updated this database on yesterday's nutrition information, then checked the time I went to bed on BLink and noticed the outdoor wireless cams aren't connected again. So annoying, didn't have it connect after restarting internet, went to the sync module and restarted it after moving the booster from the roommates separate model room area to the bed area. Nothing is connected to the booster. Haven't set it up properly or just nothing connected now. It finally worked This camera system is such a huge annoyance. I absolutely hate it. Waste of money, should have got the wired in system or other wireless camera like nest and been better off. Emailed the advisor Garfield to see if a kinesiology course of 1 unit or CPR/first aid would count, but checked out the biology schedule and work and decided not to add any other coures, also the first aid cpr has a  day I am unavailable and the tu/thur is no longer avail. Had a BM reg after 3rd cup coffee, took measurements afterwards, alarm went off at 730 to get ready for work, and had some raviolis. Went to work and had the other half of starbucks vanilla latte bottle drink and 5 slices banana bread. AFter work had the last of the raviolis same way with 1/4 cup mozz and the 1/2 cup sauce, it was all in the same pot, but there is a bunch of sauce left over in the bowl and the pot after raviolis gone. I had my client, a regular after work, gave her boy some coloring books, that occupied him pretty well the first 1/2 hour, but he couldn't sit still. He is a cute little boy. After the massage packing the supplies the grandma wanted us to hurry, she is really nice about it, because her dogs were upstairs waiting to come out. We were chatting. This client has an abusive asshole ex she is going through a divorce with. I told her all about the courts and how its more a pyschological thing to test people. They suck on both sides for both people in any courtroom. She is doing better but lost weight. I went shopping at Smart and Final and got some pizza, raviolis, waffles, bananas and chocolate icecream. This client had a good idea about a 'meet up' for single females or interested ones that want to do random fun stuff for a few hours every few weeks like pottery, photography, horseback riding, etc. I thought about making a blog about it. I also put some sweet potato fries in ove around 845 pm after reviewing my summer course syllabus that starts tomorrow in biology. I also had a cup of vodka or drink of vodka and ice water before putting sweet potato fries in the oven. Also, before I went to client's house, leaving at around 410 pm, bc she lives in S corona, I had a 5th or 5.5 cup of coffee. The 3 cups in am before work, the other half of vanilla late refrigerated starbucks as 4.5 and this cup as 5.5 cups coffee. Didn't want a headache, but was tired. Not bleeding heavy today, and only changed my rag one time at work, no leaks around pad or clots, its a medium flow day. Didn't put out client's receipt or SOAP notes by 840 pm before putting sweet potato fries in oven. No ketchup, but ranch dressing and pasta sauce might work with mozz cheese.</t>
  </si>
  <si>
    <t>classico pasta sauce 4 cheese, serving 1/2 cup</t>
  </si>
  <si>
    <t>chocolate waffles eggos, serving is 2 waffles:</t>
  </si>
  <si>
    <t>digiorno stuffed crust 5 cheese pizza, serving is 1/5th pizza</t>
  </si>
  <si>
    <t>california pizza kitchen margherita pizza thin crust, serving is 1/3 pizza:</t>
  </si>
  <si>
    <t>First Street, Smart&amp;Final brand, jumbo spinach, ricotta, cheese raviolis, serving is 4 pieces</t>
  </si>
  <si>
    <t>First Street, sweet potato crinkle cut fries, seving is 3oz or 12 pcs:</t>
  </si>
  <si>
    <t>chocolate icecream, serving is 2/3 cup</t>
  </si>
  <si>
    <t>Woke up at 530 am and got out of bed a little after that time.I woke up shortly before that about 15 minutes with a huge calf cramp when rolling over and stretching, it froze up on my on my Left calf and ached like a huge muscle cramp for about 20-30 seconds it felt like. Was a little sore when getting up but went away. Haven't had those in years.  Went to bed last night at 1040 approximately watching Hulu's Handsmaids Tale. I have a biology zoom 90 minute meeting from 10 am to 1130 am today before work. The other meeting is Wed. But unable to attend because I have work. On the registry it said it was online and didn't have a set day to go. I found this schedule out yesterday, though it was up for a few days before it or week in her announcement. She doesn't deduct points but gives participation points for having web cam on during lecture via zoom. I sent out my client's SOAP notes and receipt after 1st cup of coffee and with laundry in the dryer. I had a reg BM after 1st cup of coffee and started drinking my 2nd cup. Yesterday I noticed that part of my black eyeglasses is broken on one of the folding legs of the eyeframe by the screw. Might order another set or try super gluing it. I don't know how it happened. I am also expecting all of my Amazon packages today except the waist trimmers I was conned into buying. They said it was shipped so they could charge my card, but won't be arriving for a month, so I can't cancel the order. I don't like that at all but have to deal with it. They should allow cancelling the order when it takes longer than a week. I have to update this nutrition database then shower and get ready for the zoom meeting and probably go over the lab manual and the first few chapters of the text book but not read every page as I imagine it is about 3 hours per chapter to read if like the genetics biology text book, and not enough time for that. It is 645 approx right now. Took measurements while preheating oven to bake a pizza, the stuffed crust 5 cheese digiorno pizza at around 704 am. Got a text the bookstore at RCC charged my card, so it must be ready for pick up the lab manual for biology. Not really any time today to get it if the line is going to be as long as last time. But might get it before work and check the UPS store to see if the Dodge Charger title is in. Did the dishes and folded the laundry. The roommate went to his mom's last night (aunts actually but raised as his mom) to celebrate his step dad's father's day. He brought home lasagna he said was vegetarian his mom made for us knowing I am vegetarian. I don't trust her. I think she poisoned her ex husband or two thats why they died of cancer. Shortly after she visited and gave us food when he ruptured his patella tendon, I got Hodgkin Lymphoma when it doesn't run in my family at all. A few months afterwards. So I will not eat anything she makes. She is nice on the surface and means well. But not going to eat her food. I don't like seeing the Blink cam go off and see my roommate in my room for minutes at a time. It is only showing when someone walks by because it was catching us naked after the shower right by the bathroom and my room and when calling tech support for the outdoor wireless cams that keep going out or disconnecting they could see all our activity. So I changed the angle to onlyshow our head walking by. It cathces him at some times coming from my room and not entering it, which is weird. He says hes petting the babies, but if I put it on where it has full view of my room it will go off continuously while I am in my room. Ate 3 slices of the pizza cut into 8 slices with 3 tbs ranch dressing. Gave the babies some of the cheese stuffed crust. They loved it. Not with ranch dressing.Feeling like a nap with my 3rd cup of coffee around 8 am. It was a light mensa day today, only changed my pad about 2x. I added the window decals after taking off adhesive forever on passenger side. I got those in today and added them before work. I baked the whole cheese stuffed pizza and ate all of it in 2 slices, 2 slices, then 3 slices by end of day. or 3-2-3 so that it was 8 pieces. With about 5 tbs ranch dressing. For lunch on my break at work bought some more flashcards, a white board with dry erase markers, and super glue for my broken glasses, and had about a 16oz or whatever size the large refrigerated Starbucks vanilla latte drink is. That was my nutrition or sustenance for the break. I also got an interview with the Southern CA University of Health Sciences for the DC program, but he wants to put me in the 4 year track, probably bc I don't have my anatomy but after this summer's biology will have the required 24 sciences, but not really because short 1. So hopefully get in. Don't want to bomb the interview on June 24th a Thursday at 2 pm. That Garfield guy is super nice and helpful, I have to watch the last 1/2 hour of my biology LE bc I spoke with him during that time. I am so doctor material, and do enjoy helping people and find it rewarding. Why not a chiropractor. I had a lot of respect for the chiropractor who taught the school I went to for massage when learning the trade and at that time wanted to be just like him and own a massage school and offer helpful advice people paid for to ease their aches and pain. I was a bit delusional and thought massage therapists were like Jesus's people and healers of ancient times with knowledge passed down by generation to help people. Somewhat believe that now. I definitely want to capitalize on that insurance sponsored chiropractic adjustments and regular visits and cracking or aligning peoples back and using massage therapists and other health and wellness professions like yoga or pilates and physical therapists to cure the public of their aches and pains while building a brand that can be recognized. I now have two monthly subscribers. How cool. Two. Awesome, been around at least a year, but hey somethings take time to find their momentum. Will have to score that A in biology too. She is the same age as me as we both graduated high school in 2000. It seems like an interesting course. Odd that it is biology for non-science majors but required for anatomy, and I would otherwise not take it. And no intro biology is for science majors, so to me this is odd. Why even say it is a course for non-science majors. Seems pretty intricate too. The other classmates in todays zoom meeting looked just like me brushing hair off face and lowering head as we listened to and read the course requirements, pure stress in the works. They were getting their participation points for having their web cams on. I can only tend the Monday lectures and couldn't even log in on time this morning because the instructor had to log in first. I went to car to get glasses, or van, and came back and realized it didn't matter bc my video was off after taking electric tape off web cam. I put it back. I had a couple vodka ice water drinks while filling in these notes, then had a lg BM. 2nd for the day. Didn't finish 2nd vodka ice water, ice melted.  I got all my amazon packages and got a lot of earrings for $20, more than advertised, one looks like dangly earrings with fake toilet paper on a loop of silver or metal that is interesting. Might wear or not, different kind of humor. Most are cute earrings. Didn't unpack the air fryer or the infrared light and kept in the boxes. I saw on my break they were delivered and texted my roommate to pick them up from the front while he was still there and the packages too. He said like always to stop delivering them there and I had to tell him to stop bitching about it because that is why I got the ring or blink cameras.I paid some bills, and balanced checkbook, then wrote down interview date on new white board, but left the air fryer and infrared lamp that rolls in their boxes. Made some sweet potato fries while drinking vodka ice water. Had about two servings or other half the bag with 3 tbs sourcream and 1/4 cup pasta sauce and 1/4 cup mozz but also a serving of tortilla chips with the same ingredients while waiting for the fries to bake from preheating to baking 20 minutes. And wathing Handsmaids Tale. Didn't finish whatever episode it was in the boat. Went to bed around 1230 am.</t>
  </si>
  <si>
    <t xml:space="preserve">1/2 vanilla latte starbucks bottle
(285.00	6.00	3.75	10.50	48.00	0.00	150.00)
5 slices banana bread
(900.00	45.00	10.00	10.00	110.00	0.00	850.00)
2 bowls raviolis
(500.00	10.00	5.00	20.00	84.00	2.00	680.00)
1/2 cup pasta sauce Priano brand
(90	3.5	1	3	12	3	460)
3/4 cup mozz
(240.00	15.00	10.50	18.00	3.00	0.00	570.00)
approx 20 sweet potato crinkle cut fries
(280.00	10.00	0.00	4.00	44.00	4.00	480.00)
2 tbs ranch dressing
(145.33	15.40	2.40	0.33	2.00	0.20	244.67)
2 tbs sourcream
(120.00	10.00	7.00	2.00	4.00	0.00	30.00)
1/8 cup pasta sauce Classico brand
(15.00	0.25	0.00	0.50	2.50	0.50	125.00)
banana
(105	0	0	1	27	3	1)
=285+900+500+90+240+280+145+120+15+105
=6+45+10+3.5+15+10+15.4+10+0.25+0
=3.75+10+5+1+10.5+0+2.4+7+0+0
=10.5+10+20+3+18+4+0.33+2+0.5+1
=48+110+84+12+3+44+2+4+2.5+27
=0+0+2+3+0+4+0.2+0+0.5+3
=150+850+680+460+570+480+244.67+30+125+1
</t>
  </si>
  <si>
    <t xml:space="preserve">digiorno pizza cheese stuffed crust
(1550.00	75.00	40.00	75.00	140.00	5.00	3150.00)
5 tbs ranch dressing
(436.00	46.20	7.20	1.00	6.00	0.60	734.00)
bottle vanilla latte Starbucks drink
(285.00	6.00	3.75	10.50	48.00	0.00	150.00)
2 choc chop waffles
(200.00	7.00	2.50	4.00	32.00	1.00	370.00)
1 cup chocolate icecream
(270.00	13.50	9.00	4.50	33.00	1.50	82.50)
1/4 cup or 4 tbs whipped cream
(50.00	3.00	3.00	0.00	6.00	0.00	0.00)
other half of sweet potato crinkle cut fries
(280.00	10.00	0.00	4.00	44.00	4.00	480.00)
3 tbs sour cream
(180.00	15.00	10.50	3.00	6.00	0.00	45.00)
1/4 cup pasta sauce Classico
(30.00	0.50	0.00	1.00	5.00	1.00	250.00)
1/4 cup mozz 
(80.00	5.00	3.50	6.00	1.00	0.00	190.00)
3 tbs sour cream
(180.00	15.00	10.50	3.00	6.00	0.00	45.00)
1/4 cup pasta sauce Classico
(30.00	0.50	0.00	1.00	5.00	1.00	250.00)
1/4 cup mozz 
(80.00	5.00	3.50	6.00	1.00	0.00	190.00)
serving tortilla chips
(140	7	5	2	18	2	90)
banana (ate the middle with the waffles and icecream)
(105	0	0	1	27	3	1)
=1550+436+285+200+270+50+280+180+30+80+180+30+80+140+105
=75+46.2+6+7+13.5+3+10+15+0.5+5+15+0.5+5+7+0
=40+7.2+3.75+2.5+9+3+0+10.5+0+3.5+10.5+0+3.5+5+0
=75+1+10.5+4+4.5+0+4+3+1+6+3+1+6+2+1
=140+6+48+32+33+6+44+6+5+1+6+5+1+18+27
=5+0.6+0+1+1.5+0+4+0+1+0+0+1+0+2+3
=3150+734+150+370+82.5+0+480+45+250+190+45+250+190+90+1
</t>
  </si>
  <si>
    <t xml:space="preserve">2 choc chop waffles
(200.00	7.00	2.50	4.00	32.00	1.00	370.00)
1 cup chocolate icecream
(270.00	13.50	9.00	4.50	33.00	1.50	82.50)
1/4 cup or 4 tbs whipped cream
(50.00	3.00	3.00	0.00	6.00	0.00	0.00)
3/4 margherite pizza
(720.00	38.25	15.75	27.00	65.25	4.50	1080.00)
3 tbs ranch dressing
(218	23.1	3.6	0.5	3	0.3	367)
1/2 serving baked potato chips
(60.00	4.25	0.00	1.00	11.00	0.50	80.00)
2 choc chop waffles
(200.00	7.00	2.50	4.00	32.00	1.00	370.00)
=200+270+50+720+218+60+200
=7+13.5+3+38.25+23.1+4.25+7
=2.5+9+3+15.75+3.6+0+2.5
=4+4.5+0+27+0.5+1+4
=32+33+6+65.25+3+11+32
=1+1.5+0+4.5+0.3+0.5+1
=370+82.5+0+1080+367+80+370
</t>
  </si>
  <si>
    <t>Woke up at 630 am by alarm. The roommate came in the room while I was getting out of bed and told me he was verbally assaulted yesterday and had to attack the guy and the guy tried to stab him with a screwdriver 2x, he ran away instead of bashing his head on while on the ground and told the medical clinic up the street a block from where we live. His BP was 180/145 or high, then after 5 min went down to a lower rate. He has been trying to get a doctor to examine his xray and tell him about it. I got out of bed. The roommate just got home at that time. I had 3 vodka ice waters last night while watching an episode of season 4 of the Handsmaids Tale last night and went to bed around 12:30 am but a few minutes after. Got about 6 hours of sleep. Did a discussion while drinking 2nd cup of coffee, feeling less groggy. Had a small BM before finishing 2nd cup of coffee. Then updated database, I forgot I ate a banana yesterday and day before I didn't keep track of. I remembered when looking at food available for breakfast. Then took measurements around 845 am. I just had my MLD client book an appointment that runs close to interfering with my 12 pm client in Norco. I didn't feel good when getting back, the hung over feeling came back, and was gone mostly during appointments and running errands. Was able to pick up my lab manual after my noon massage appt, then thankfully got the title to give to the father of the new owner of the Dodge Charger he bought the 28th of May Memorial weekend a few weeks ago. I contacted him and sent it via fed ex like he sent my plates and gave him the tracking number. Then went home, did the laundry and started the homeword, with the first assignment due being the lab, but there is a lot of work due this week and a lot of studying. I made the margherite pizza and ate 3/4 of it with 4th cup of coffee, then took a nap around 6 pm for about 20 minutes. Felt a little better, but still sick and my throat is sore and then it goes away, but comes back as I chew on the ice. Drank some water and felt a little better. It was shaken off by late when reviewing the first two lectures and notetaking. Already have a quiz on the first chapter material tomorrow. and a Lab quiz on all 3 labs due Friday that I only got through the first lab today. Each lab has a video with it to go with the slides, and each lecture seems to have a worksheet to fill in and video with slides. 16 weeks into 7 weeks of material is quite a bit of work to do during the week. The study guide is the first few slides on what to expect to learn for preparing for quizes, exams, and tests. I didn't do the SOAP notes or receipts for either client by 1036 pm, but did write the SOAP notes in journal.  No more bleeding today noticed. Wore a pad just in case, but it was all gone all day. Finished updating this nutrition by 1046 pm.</t>
  </si>
  <si>
    <t>Woke up at 530 am by alarm. Went to bed at 1120 pm before 1130 pm. Got about 6 hours of sleep. Cleaned some pet messes, made my coffee, gave Growly his meds and fed the babies. Saw one client left me a great review. That was really nice. Looked at the news and saw a gross new report I won't comment on to share to facebook, because just reading or hearing or grabbing news title is sick. There aren't even wild animals that do the crimes pedophiles do, but yet there are pedophiles. Some navy sailor, no image, Randy Tilton, got 200+ years for crimes against very small/young children, closer in age to fetuses instead of kids. He did it to kids of women he dated, which implies he did it to the women as an injury for being a misogynist, gaining their trust, then abusing them with the only things/people they love and would give their life for over anything in the world. Misogynists like this Randall Taylor deserve a gruesome death. Sickos like that really don't deserve life in any capacity. They cannot be fixed and shouldn't try to be. Had to get that story out of my mind and read some other ones like HUD housing for student loan borrowers. Not really new information, but maybe. I spoke with a real estate person before who said something about the 1% of loans, but told her my income based repayment is $0.00 a month for a year and updated annually. So this new HUD loan is only taking into account your loan payment amount and not the 1% of loans, as mine are at 114k and have been thanks to the freeze last year on payments. Expires in September or the end of September and I renew my Income Based Repayment at the end of October. Used the air fryer to make taquitos with olive oil coating the corn tortillas, mozz and paprika but they didn't roll and broke/tore instead, so stacked into pizza with pasta sauce and sourcream. They were delicious. Only took a few minutes. Just preheat, then pause and start for 3 minutes and done. Had to upload to instagram. Took measurements afterwards. Had a reg BM while waiting for the taquitos. Still have 2 slices of pizza in fridge might take that to work. Shower and get ready. Went to work had a double poki bowl same way but with spicy mayo, double salomon, house sauce, 3 tbs creamcheese, cucumbers, ginger, brown rice, wasabi, sesame seeds. And a coffee 4th cup with 4 hazelnut international delight coffee creamers. Was able to get in my one stretch session training needed on a coworker, Robert, after work on his last half of his break. He's a nice dude, he worked a long shift yesterday, 11 hours. Then at home I had 6 spinach raviolis I made in the air  fryer with a coating of olive oil and 1/2 cup pasta sauce and 1/4 cup mozz, Then 2 waffles with whipped cream and a 5th cup of coffee. Looked at the recorded lecture from earlier in the morning that I couldn't go to bc of work. Then uploaded my worsheet for lab 1 to canvas to this course after making an adobe pdf scan of it to upload. I went to my client's at 630 pm. Her and her cat and husband are very nice people. Her cat is a unique one because it is a female tabby. I got home did the laundry from that appointment, and studied for the quiz on the 1st chapter of this unit, then took quiz attempt 1, then looked over the questions unsure about and took the 2nd and final attempt of quiz 1. I wasn't sure about the ones asking covalent bonds, so added in polar and nonpolar at the end, and saw the nucleotide bases were hydrogen bonds that was overlooked. I originally thought all the items for things learned on the first few slides was what would be covered like Dalton's Atomic Theory, but most of it was on bonds from what I recall. Originally 5/10 points then up to 9/10 points. Some were fill in blank and others multiple choice or true false. Went to bed by 1030 pm.</t>
  </si>
  <si>
    <t>4 corn tortillas guerrero brand in airfryer
(200.00	2.00	0.00	4.00	42.00	4.00	40.00)
1/2 cup mozz
(160.00	10.00	7.00	12.00	2.00	0.00	380.00)
3 tbs sourcream
(180.00	15.00	10.50	3.00	6.00	0.00	45.00)
1/4 cup pasta sauce
(30.00	0.50	0.00	1.00	5.00	1.00	250.00)
double salmon poke bowl
(554.50	11.18	2.15	17.80	96.55	8.35	901.00)
spicy mayo serving
(40	4.5	1	0	0	0	40)
1/4 cup or 3-4 tbs cream cheese
(153.00	15.30	9.60	3.30	1.20	0.00	129.00)
4 hazelnut international delight coffee creamers
(140.00	6.00	0.00	0.00	20.00	0.00	60.00)
6 spinach First Street raviolis lg in airfryer
(390.00	13.50	7.50	16.50	49.50	3.00	690.00)
1/2 cup pasta sauce
(60.00	1.00	0.00	2.00	10.00	2.00	500.00)
1/4 cup mozz
(80.00	5.00	3.50	6.00	1.00	0.00	190.00)
2 choc chip waffles
(200.00	7.00	2.50	4.00	32.00	1.00	370.00)
3 tbs whipped cream
(37.50	2.25	2.25	0.00	4.50	0.00	0.00)
2 slices leftover margherite pizza in air fryer
(240.00	12.75	5.25	9.00	21.75	1.50	360.00)
=200+160+180+30+554.5+40+153+140+390+60+80+200+37.5+240
=2+10+15+0.5+11.18+4.5+15.3+6+13.5+1+5+7+2.25+12.75
=0+7+10.5+0+2.15+1+9.6+0+7.5+0+3.5+2.5+2.25+5.25
=4+12+3+1+17.8+0+3.3+0+16.5+2+6+4+0+9
=42+2+6+5+96.55+0+1.2+20+49.5+10+1+32+4.5+21.75
=4+0+0+1+8.35+0+0+0+3+2+0+1+0+1.5
=40+380+45+250+901+40+129+60+690+500+190+370+0+360</t>
  </si>
  <si>
    <t>aldis frozen jalapeno poppers, serving is 3, and 3 servings per pkg</t>
  </si>
  <si>
    <t>aldis frozen cheese sticks with sauce, 3 in serving, 3 servings in pkg:</t>
  </si>
  <si>
    <t>aldis meatless chicken fingers, servingis 2 pcs, 4 servings per pkg</t>
  </si>
  <si>
    <t>aldi puffed potatos (hashbrowns) serving is 3 oz and 11 servings per pkg</t>
  </si>
  <si>
    <t>reeses peanut butter cup snack size two pieces</t>
  </si>
  <si>
    <t>Woke up at 6 am groggy. I haven't had a drink in 2 days either. Felt tired. Got about 7 1/2 hours of sleep too. Cleaned some pet messes, fed Growly his meds, and gave the babies their food and made my coffee and updated this database, have plenty to do today to finish week 1 on my available time this week. I have an interview to get into the doctor of chiropractic program with a sports medicine emphasis at 2 pm, but will discuss with my advisor at 145 pm or so. If I do well on this, I can get a 2nd interview and if that goes well be admitted into the program. Nice. Around 8 am the city of Corona works or constructive asshole fatasses came by to block each direction of the alleys in the back and my van, the roommate wasn't here yet, but they are jackhammering dead center in the alley. I have them partially on the live feed cameras. This is interfereing with studying, but was updating my expenses I hadn't done in months before studying thinking I would have the time, but now the city workers are here loud AF and not sure how long they will be here. All hispanic and males, fat, they have a one of those water trucks for watering dirt, a construction truck with a plow on both ends for picking up stuff like concrete or large dirt loads, another truck is a big hauling truck with an open gated back, and a big truck with racks of metal wire like on a tow truck. I honestly can't think, the jack hammer is vibrating through walls and loud. I didn't take my measurements yet or eat breakfast, only had 2 cups of coffee. Since the roommate isn't here, I might study in his room. I texted him to let him know his parking spot and the alleys are blocked. Had a lg BM earlier, before finishing 2nd cup of coffee and updating expenses part of income/expenses database. Took measurements before breakfast. The outside workers finished between 1030 am and 1045 am. The roommate got home around 930 am bc his worker was late a few hours. Then I had breakfast, a airfried stacked 4 tortillas but one burnt and tossed in trash, with mozz and paprika, 3 tbs sourcream, 1/8 cup pasta sauce with 3rd cup coffee, then for lunch around 1130 am had a 4th cup of coffee with raviolis 6 and 1/4 cup pasta sauce and 1/4 cup mozz. Shared with babies, they love them cooked raviolis in airfryer, with 1 tbs olive oil drizzled on. Had used the canned olive oil yesterday and today but the top one had canned olive oil and it was burnt and thrown out. I went to starbucks, downloaded app to order, bc when I walked in I wanted to be able to talk to the admissions advisor when he called or planned to call at 145 pm, but he didn't, and the starbucks looked like an app order only, bc no cash register shown or nothing pointed to it. I was already downloading the app with others waiting for their under this assumption, then saw a new lady come up to the middle aisle (magnolia/rimpau corona ca) and then saw the cash register. It was unfamiliar territory and didn't want to get sucked into any dialogue as I was waiting for the advisor to call me in that window that had been just before 145 pm. He tried calling when I was actually talking to the cashier about my order that was supposed to be ready at 155 pm and I got involved in dialogue and had to refuse to answer his call, pushed into decision by the fact he called me 10 minutes late. And the cashier didn't know that I ordered anything, but saw me standing around all awkwardly with a 'Jesus is my homie' mint green tshirt, glasses, short Asian lady chin bob, and blue mom jeans and birkenstock imitation sandals feaux leather for like 15 minutes. They made my drink. And I took it. But texted the advisor, as when I called number back no answer. Anyhow walked to my van, and sat as it was close to 2 pm, and Dr. Pradeep Sangh (like John Doe for India) called and was the interviewer for SCUH We spoke at lengths on some various topics to outline or set up the boundaries for what type of candidate for doctoral role I am expected to adhere to or be accustomed to work and how my experience in any context has been able to define what I think a doctor of chriopractice is. He also answered my question on the schedule and that he is the assistant dean for terms 1-3 of the DC program, but is actually an MD, and that the DC program is very time consuming and outside work is highly discouraged as to do well it is expected that a student in the DC program will focus entirely on the material and cumulative exams to take board exams after each of 10-12 terms that are very rigorous and not easy by any standards. I told him it is very good that I sold my Dodge to reduce monthly liabilities and that I could move with my dad and the roommate can find somewhere to live. He seemed like a nice guy and like it went well. But we will see. Anyhow, never took a sip of my starbucks drink until 240 pm when the conversation via phone ended, and texted my advisor it went well in my opinion. He advised before hand to answer honestly and be me and said that I got it. you know like I got this. Nice enough guy. I went home and finished studying, got the itchy skin irritation from stress by 830 pm and poured some vodka ice water. No AC during the day as it was comfortable and cold with it on. I also stopped by Aldis later and when I arrived home I saw that the landlord was fixing the other side bc his truck was there. Then went to Aldi, got frozen foods for air fryer to fix fast meals. Frozen jalapeno poppers, cheese sticks, vegan chicken strips (gross, not very gross but not very good either), and hashbrowns or potato puffs. Ate some of that it was 3 of each and serving of the hashbrowns. But didn't eat all of it right away, by 830 pm ate 2 cheesesticks, 2 chicken strips or 1, because shared with babies, all the hashbrowns, and all the jalapeno poppers, had them initially with pasta sauce and sourcream and last of ranch. A bunch of sodium. Down to last 4 bottles of water by 848 pm. Still have a 3rd lab to finish and turn in and also study for lab exam due tomorrow a minute before midnight  on all 3 labs. I find her ppt slides and worksheets and such out of order, very all over the place. She seems to know her stuff in describing it, but the organization is all over the place, especially filling in the molecules worksheet on carbs, and such. Everything is just thrown about. I went on the discussion to see if any replies to my lengthy initial post, and zero replied. Most the students like stupid stuff like mastering snowboarding, skating, cooking, time management, blah, and one lady closer to my age admitted to her duties in a health office going to RCC for the RN program as putting cathetors into males and females. Gross! That is why I wouldn't want to be a nurse. Sorry, its gross, and I can't say that online, nor reply to a guy my age that posted a picture of him with the balding hair due and strands of hair covering a bald spot that he worked as a healthcare worker in the anesthesiology department for nearly 20 years and now does construction. Because on the surface I think, wow court order not to be near drugs that can date rape a young girl victim, and what better place to fulfill your obligations to pay debts than to work in construction where many misogynists, drug users, and possible sex offenders not caught work, or atleast do drugs like meth that add to their choices in growing a porn empire collection. Sorry, but not, and why is he going to school again the same age as me. Obviously these students are all young and would rather be doing anything else instead of occupying their time with this class in their summer. Also, they don't like lengthy posts or old people and won't expect any ambitious people to comment on my posts. But good thing I have notifications set to only if my name is commented in discussion. Because the design for points and participation is to check into the discussion to monitor your thread, and every person's reply to the topic posted by the instructor is a thread. So I am doing my part. I feel like I am talking to kids my nieces ages. And I don't have kids, but if I did they could be their age. I know I liked doing those activities of trying to snowboard and do other white washed sports to feel cool. But it is the 2020s and I wonder why these blended race kids want to do white activities when everybody who is anybody wants to focus on white privilege and cultural misappropriation and not being the enemy into white washed activities. These kids are odd ones. Raised by racists and conservative, possibly cops' kids, because they have conservative, old outdated ideas of fun in this social context. But whatever, whereelse can I vent, but here, and being the typical loser, child less , middle aged, student, I am drinking my drink for the night while venting, and my skin isn't itching from stress. But probably will be when I start the completion of the lab and studying for lab final tomorrow. Had a sm BM around 1030 pm and ended up drinking 3 drinks of vodka ice water before going to bed around 1130 pm. Around 1030 pm had the cheese stick and 2 vegan chicken strips in fridge, microwaved with pasta sauce about 1/8 cup or 2-3 tbs.</t>
  </si>
  <si>
    <t xml:space="preserve">3 corn tortillas
(150.00	1.50	0.00	3.00	31.50	3.00	30.00)
3/4 cup mozz total 1/2, 1/4
(240.00	15.00	10.50	18.00	3.00	0.00	570.00)
6 tbs sourcream
(360.00	30.00	21.00	6.00	12.00	0.00	90.00)
1/2 pasta sauce total, 1/8, 1/4, 1/8
(60.00	1.00	0.00	2.00	10.00	2.00	500.00)
6 spinach raviolis
(390.00	13.50	7.50	16.50	49.50	3.00	690.00)
2 cheesesticks
(148.89	4.89	0.78	7.11	18.67	0.89	822.22)
3 jalapeno poppers
(240.00	16.67	5.67	3.67	19.33	1.00	646.67)
1 serving hash browns of potato puffs
(150.00	7.00	0.50	2.00	21.00	2.00	290.00)
1 sea salt carmel nitro cold brew
(70	5	3.5	1	4	0	20)
2 almond joys*.85, shared with princess, snack size around 10 am
(135.43	7.65	5.10	1.70	17.00	1.70	34.00)
1 reeses peanut butter cup *.75 shared with princess snack sz around 10 am
(120.00	6.75	2.25	2.25	13.50	0.75	82.50)
1 cheese stick
(74.44	2.44	0.39	3.56	9.33	0.44	411.11)
1/8 cup pasta sauce
(30.00	0.50	0.00	1.00	5.00	1.00	250.00)
2 vegan chkn strips
(140.00	6.00	1.00	7.00	13.00	3.00	400.00)
=150+240+360+60+390+148.9+240+150+70+135.4+120+74.4+30+140
=1.5+15+30+1+13.5+4.9+16.7+7+5+7.7+6.8+2.44+0.5+6
=0+10.5+21+0+7.5+0.78+5.7+0.5+3.5+5.1+2.25+0.39+0+1
=3+18+6+2+16.5+7.11+3.7+2+1+1.7+2.25+3.56+1+7
=31.5+3+12+10+49.5+18.7+19.3+21+4+17+13.5+9.33+5+13
=3+0+0+2+3+0.9+1+2+0+1.7+0.75+0.44+1+3
=30+570+90+500+690+822.2+646.7+290+20+34+82.5+411.11+250+400
</t>
  </si>
  <si>
    <t>white chedder G&amp;G brand popcorn, serving is 2 3/4 cups and 5 per bag</t>
  </si>
  <si>
    <t>Gouda snacking cheese, 12 servings per bag, serving is 1 stick, Aldi brand, 1 serving:</t>
  </si>
  <si>
    <t>Barissimo coffee iced latte coffee &amp; milk beverage, Aldi brand, 1 bottle 1 serving:</t>
  </si>
  <si>
    <t>Fit &amp; Active Aldi brand chedder rice cakes, serving is 20 pcs, 6 servings per bag, 20 pieces:</t>
  </si>
  <si>
    <t>Pueblo Linda flour tortillas Aldi brand, serving is 1 tortilla</t>
  </si>
  <si>
    <t>Woke up at 530 am by alarm and did normal routine, cleaned pet messes, my coffee made, Growly's meds, fed babies with whipped cream and cat food, their icecream is gone. I noticed I was using the fish or seafood box, variety, but all the cans have been beef or chicken and beef. Odd. Down to two bottles of water, and might have to go to grocery store before work to get some things like water, paper towels, etc. But still have the lab not completed and to study for all 3 labs as an exam later tonight. With only one attempt. Ankles haven't been swollen in the morning, but do end up getting swollen by the end of the day, so I mark that feature as such. Took measurements after 1st cup of coffee and before breakfast. Had 2nd cup of coffee and reg sm BM, then made 7 raviolis, split 1 with the babies, had 1/2 cup pasta sauce with 1/4 cup mozz cheese. Took the ones I didn't eat with me to work no sauce, they are jumbo and 4 is aserving. I ate 3, gave 1 to split to babies, had the other 3 at work with popcorn when getting 4 crates of 24 water bottles at target with Good&amp;Gather popcorn. Then at work had a no show for 2nd client, completed the lab for exercise 3, and wanted to recall instructor saying that activity 6 and 7 are optional and not graded on nucleic acids and something else. Will study those. Noticed my emails, when checking for experian that my score increased, I knew from Capital ONe credit card, but saw email directly from experian. The notifications in junk mail showed my quiz from lecture essential biology was changed to 10/10, and the assignments all perfect scores. I turned in everything, because no quiz for lab 3 or exercise 3, but we need to do the activities because those are likely what we are tested on for the quiz that is a one time thing, not like the two times or attempts for lecture quizzes, but is like the unit 1 exam one time. I did the exercises, and they are accompanied by videos another reason to point out the necessity in doing the lab activities as they are covered by instructor and quizzed on. For lunch I went to aldis and got some stick cheese of gouda fresh like string cheese individually wrapped, had 3 of those a small greenred apple, a few cheddar popcorn cakes, and more popcorn, pratically half the bag to 3/4 of the popcorn white cheddar eaten snacking between breakfast and lunch and ride home on side streets. I don't like driving the freeway from the traffic that piles up when I am on the road at 4 pm. Got home tired, so had some ice and tequila 3 seconds shot. Suppose its an ounce serving. Then did all the review of the emails. Saw that when logging into Experian instead of Capital ONe that my credit report with Experian isn't showing my student loans, odd, but my creditWise report on Capital One does show it, and neither shows my commercial van financed in my credit but under my small biz. Also, earlier on my break while completing the 3rd lab, I texted back a real estate guy I contacted buzzed the other week to see home values near me and forgot about the next day, which coincidentall I did last night with attempting to post an indeed.com hiring post for independent contractor massage therapists, but it keeps freezing up on me when I give my credit card information and won't let me pay, one of their reps called me when I was getting ready for work early so that I could stop off at Target to get water. I had to hang up on her because it was literally before getting into the shower and she asked me if I had time to talk and I didn't, apologized, and thanked her before hanging up. I tried again on lunch break to post it, I forgot all about it because I had 3 drinks last night and I do stuff on my 'back burner' of ideas when buzzed and bored and looking to relax, wired into thinking if I take everything or idea off back burner I will be good. Anyhow texted the real estate dude that texted me saying he is trying to contact me again, telling him I am self employed and fully employed and make less than I put up, originally 5k down with 60k a year, but really its 40k a year as empl and building up to 20k a year side biz, bc I am actually seeing money come in bw 1500-2500 a month in clients depending on what month, but that I reinvest my money in marketing, or promotions, new tools of the trade, more office supplies, massage supplies, etc. and my depreciation. When updating my expenses and income for the year, it said I already have about 6k earned in money coming in and 10k estimated with supplies, marketing, office, promos, depreciation of vehicle, licenses, insurance, etc. So thats good, since it is half way through the year. Never heard back from him. But his boss is probably on his case to do something and look up potential leads or mark them off to get to legit clients. I told you about the HUD option now, so it is possible. I also had a 4th cup of coffee on my no show break unpaid with 4 hazelnut international delight coffee creamers, and a 5 th cup from a refrigerated iced milk coffee from Aldis on the lunch break and the way home, just a 16 oz bottle. Not that tastey, but alright in flavor. Not the best or near it. Got home, and already mentioned the ice with tequila, no food, because I wanted to use the air fryer to put in some zucchini, brussel sprouts, mushrooms, and flour rolled tacos or flautas but the roommate was in kitchen cooking his spaghetti and bitching about the counter space my airfryer took up. But it is so convenient. Studied the quizes for quiz 3 and took that around 945 pm, and they were fill in the blank and only quizzed on exercise 3, but I studied all 3 just in case. The score is likely not the final score and hopefully because it is 6/10. Fill in the blanks are usually always different than the programmed answer. Went to bed around 1010 pm checking blink at 1009 pm.</t>
  </si>
  <si>
    <t>brussel sprout 1, calorieking.com</t>
  </si>
  <si>
    <t>85 degrees celsius bakery milk tea bottled</t>
  </si>
  <si>
    <t>85 degrees celsius bakery brioche bread loaf, like sweet bread</t>
  </si>
  <si>
    <t xml:space="preserve">6 raviolis
(390.00	13.50	7.50	16.50	49.50	3.00	690.00)
3/4 cup pasta sauce
(90.00	1.50	0.00	3.00	15.00	3.00	750.00)
1/2 cup mozz 
(160.00	10.00	7.00	12.00	2.00	0.00	380.00)
1/2 bag popcorn white cheddar G&amp;G brand
(400.00	22.50	2.50	7.50	40.00	7.50	525.00)
5 approx cheddar rice cakes Aldi's brand
(32.50	1.13	0.13	0.50	4.75	0.25	62.50)
4 sticks of gouda cheese
(280.00	24.00	14.00	20.00	0.00	0.00	680.00)
1 small redgreen apple
(62	0.1	0	0.3	14.9	2.5	0)
1 flour tortilla
(168.00	4.00	1.00	4.00	27.00	1.00	301.00)
2 tbs sourcream
(120.00	10.00	7.00	2.00	4.00	0.00	30.00)
5 slices airfryed zucchini
(3.38	0.08	0.01	0.26	0.60	0.23	0.68)
2 mushrooms sliced and airfryed
(4.00	0.20	0.20	0.60	0.40	0.20	2.00)
1 brussel sprout airfryed
(8.00	0.10	0.10	0.50	1.50	0.50	4.00)
4 hazelnut coffee creamers at lunch with 4th cup coffee
(140.00	6.00	0.00	0.00	20.00	0.00	60.00)
1 bottle of coffee Aldi's iced latte
(290.00	5.00	3.00	9.00	52.00	1.00	210.00)
white cheddar popcorn, really it was 90% bag ate, this is 40% added to 50%
(320.00	18.00	2.00	6.00	32.00	6.00	420.00)
=390+90+160+400+32.5+280+62+168+120+3.38+4+8+140+290+320
=13.5+1.5+10+22.5+1.13+24+0.1+4+10+0.08+0.2+0.1+6+5+18
=7.5+0+7+2.5+0.13+14+0+1+7+0.01+0.2+0.1+0+3+2
=16.5+3+12+7.5+0.5+20+0.3+4+2+0.26+0.6+0.5+0+9+6
=49.5+15+2+40+4.75+0+14.9+27+4+0.6+0.4+1.5+20+52+32
=3+3+0+7.5+0.25+0+2.5+1+0+0.23+0.2+0.5+0+1+6
=690+750+380+525+62.5+680+0+301+30+0.68+2+4+60+210+420
</t>
  </si>
  <si>
    <t xml:space="preserve">8 slices zucchini, 1/4 zucchini
(13.50	0.30	0.05	1.05	2.40	0.90	2.70)
2 brussel sprouts
(280.00	12.00	0.00	0.00	40.00	0.00	120.00)
1 tbs olive oil
(130	14	2	0	0	0	0)
1/2 apple
(31.00	0.05	0.00	0.15	7.45	1.25	0.00)
salted butter bread 85 degrees
(320	17	10	6	35	0	430)
brioche 1/2 bread loaf, sweet bread 85 degrees
(405.00	16.50	7.50	8.50	53.00	1.00	295.00)
1/2 bottle or 1 serving milk tea
(370.00	16.00	16.00	0.00	64.00	0.00	5.00)
1 cup white cheddar popcorn
(80.00	4.50	0.50	1.50	8.00	1.50	105.00)
blueberry muffin 85 degrees celsius
(480	26	5	6	59	0	590)
30 hashbrowns about 3 servings
(450.00	21.00	1.50	6.00	63.00	6.00	870.00)
3 jalapeno poppers
(240.00	16.67	5.67	3.67	19.33	1.00	646.67)
2 cheesesticks
(148.89	4.89	0.78	7.11	18.67	0.89	822.22)
=13.5+280+130+31+320+405+370+80+480+450+240+149
=0.3+12+14+0.05+17+16.5+16+4.5+26+21+16.7+4.9
=0.05+0+2+0+10+7.5+16+0.5+5+1.5+5.7+0.8
=1.05+0+0+0.15+6+8.5+0+1.5+6+6+3.7+7.1
=2.4+40+0+7.45+35+53+64+8+59+63+19.3+18.7
=0.9+0+0+1.25+0+1+0+1.5+0+6+1+0.89
=2.7+120+0+0+430+295+5+105+590+870+646.7+822.2
</t>
  </si>
  <si>
    <t>Woke up at 530 am by alarrm, went to bed a little after 10 pm last night, normal routine, clean pet messes, coffee, Growly's meds, fed babies, then updated nutrition. Took measurements while drinking 2nd cup of coffee and before reg BM a few minutes later. Reheated the veggies in airfryer that I airfryed yesterday but didn't eat. Mushrooms, zucchini, apple, and brussel sprouts.  Had to get ready for work around 630 am to get to work by 750 am. Got to work on time, had some of the left over veggies, but ate all the mushrooms I put in airfryer yesterday. I had 2 of the brussel sprouts, 1/2 the apples slices, and about 5-8 slices zuchini. Too many pieces were blackened/burnt, so Ihad to cut as much off as the carcinogens aren't appealing. Went to work, then for lunch had a salt butter bread, blueberry muffin, and half the brioche sweet bread loaf and 1/2 the bottle of milk tea I am counting as 4th cup of coffee. I also had about 10 % the white cheddar popcorn. I thought I ate half the bag yesterday but it was about 90% of the bag throughout the day on my break and drive back home. I will change that. After work didn't eat, the workers and landlord were working next door. Saw on my blink cameras around 1040 am they were working and it was almost 3 pm when I got home on a Saturday. They must want to rent it out real soon. We rented this place not on the 1st but another day that it was ready to get first dibs on it. They still have a bunch of junk in the yard to clean up. Not sure what they plan on doing with it. I signed up for hudhomesusa.org and a 3 credit bureau checker on my lunch break and looked at both while having tequila on ice one serving. The roommate is still here and I get off early on Saturdays. Was looking and saw how ridiculously expensive homes are, in the 620k-820k value for homes not even great quality. My older sis bought her huge 3500 affluent neighborhood home for 430k in 2012 or 9 years ago and sold it for about 620k. These prices are ridiculous. She sold it after living in it about 5-6 years. Too much for the payment. How does anybody buy a home. Seems ridiculously unaffordable. The monthly payment must be in the 4k per month at least. With the added mortgage insurance and home owners insurance.I cancelled the membership to both. Waste of money. Not in my price range. Especially with the fires and drought that plague this land. I have studying to do for the unit exam on ch1-3 and labs1-3 I think but it is due tomorrow by 1159 pm. Made notecards after having some fried food in air fryer, 3 jalapeno poppers, 2 cheese sticks, serving about 10 hashbrowns with 1/4 cup pasta sauce. The notecards were from the worksheet keys just posted and the lab manual. Didn't get to the notecards on the lectures, but did make some from the LE quiz but the quiz on lab3 wasn't posted with questions or answers. The exam for this unit is due tomorrow by 11:59 pm. She wants us to plan accordingly since she posted it today at 8 am in an announcement and won't accept any exams that cut out, run out of time or one or the other, or having tech difficulty. It is posted until tomorrow, but not sure why. Maybe for 50% credit, but that is on late work. So not clear on that reasoning. My lab3 quiz wasn't changed, but the mean was 5.59 or something like that out of 10, and one 10, but not sure how someone got a 10 on fill in the blank. The landlord stayed till 515 pm and left shortly after the roommate left bc he had to be at work at 5 pm, the plumber left shortly after the landlord around 530 pm. I was no longer buzzed from the shot of tequila taken around 3 pm, at around that time as my studying and focus got more sharp and found a trail to follow in preparing for exam and flashcards. Then planned for looking at the ppt slides for the lectures. I also had the other half of the milk tea that made my stomach feel like I had the flu for a bit around 4 pm. AFter making the lab and worksheet and LE quiz flashcards, I made about 20 hashed brown in air fryer and continued updating this database, with the 3 ppt open to read/review. Read through and reviewed the ppt slides and made flashcards for those, then went to bed at around 11 pm. The blink camera only got me going to the bathroom around 1047 pm, not coming out of bathroom. Took babies outside before bedtime.</t>
  </si>
  <si>
    <t xml:space="preserve">Woke up at 530 am by alarm, but the roommate woke me up around 245 am because he got back from work and wanted the babies. Then I laid in bed and tried to sleep on and off until alarm went off. Kept waking up to readust. Have to study, did the normal routine, coffee, Growly's meds, fed babies, cleaned pet messes before and after, updated this nutrition from late last night, and then had 2nd cup of coffee by 610 am. Got a new client in Chino interested in the prepaid MLD package and will see her on Thursday morning. Also, remembering that I have an email out to Tred, asking why they cancelled my ad with them but charged my credit card $99. They are closed on the weekends. How would they know if I sold it. Do they stalk my vin number? Did the other guy sell the car on their site? I will find out soon. But not before tomorrow when they open if no emal reply then I will call the number listed. Read through a few worksheets, then made breakfast, 7 raviolis, shared 2 with pups, so 5 raviolis for me with parmesan airfryd, was good, with priano 4 cheese pasta sauce and mozz cheese. Then had 3 rd cup of coffee, had a sm reg BM after breakfast and before finishing 3rd cup of coffee. Its early, don't need to get ready until 730 am, but its 711 am and already did the dishes. Need to shower and wash hair, then get to work on Sunday. Shouldn't be any traffic as long as no expected delays like construction or fire crews mowing the sides of freeway. Bringing snacks and flash cards to work to study for exam after work. Took measurements around 715 am. Had a headache around 10 am after and during the first client's hour massage, started getting the blind spot, then the color spinning spot. Drank 4 french vanilla coffee creamers in a cup of the donut house keurig at 10 am and a cup of water to fix, took 20 minutes but all gone. The 2nd hour was a no show but I got paid for it and studied my flash cards and put laundry in the dryer. Then for lunch had 3 sticks of gouda and 15-20 cheddar rice cakes, and the other half of the brioche sweet cake bought yesterday or the other day from 85 degrees. And went to the mobile circle K shop for fuel was very low and forgot to put fuel in this morning, its pricey there, about 30-40 cents more than local, the one in Chino. Around $4.30/gal and near me is about $3.85/gal. Got an iced machine self serve carmel latte and cold brew mix, but it was so sweet I thought I got mostly creamer and a little coffee. That was my 5th coffee. Didn't drink all of it, it was about 16 oz in their small clear cup. Then I got home and made about 15-20 hashbrowns with 1/4 cup pasta sauce and 1/4 cup mozz cheese. Studied some more then took exam at around 445 pm, and don't think the fill in the blank or essay questions were graded, and know I did good on it, some questions were tricky, but I believe I nailed the essay questions and fill in the blanks. More than 60% points there, and the lab quiz still not graded for fill in the blanks. No new grade. The Tred replied this morning even though not open until tomorrow, saying I sold my car through them, not how they know, but that is why they charged me. maybe the guy got a survey and filled it in and told them I sold him the car. It don't matter. Took a loss. Because the $99 to sell paid, the 17500 the new buyer paid, and the $35.?? and change means I lost about $65 on the deal and don't have to worry about paying taxes on the loss or the sale of the vehicle, but put it in a good owners (hopefully) hands to take care of. It was a great car and am sure it still is. AFter exam poured last of tequila over ice, and drank listening to new radio station 2010s country on spotify. While updating this database for the day. Had a small bm too for 2nd of day around 10 minutes after the exam was finished. Need to get more laundry soap used the last of it. I am washing the linens on the bed. Need more for my laundry. Have lecture and a new week of summer school to do items. Will wait to see and am ready. Saving those flashcards to study at the end of this course for the final that is cumulative. Was overwhelmed at begining and mid week, but I think I got the flow of it and will be able to do as well in this course as the others as long as I manage my time wisely. Went to bed around 1030 pm after watching a couple episodes of the Handsmaids tale. </t>
  </si>
  <si>
    <t xml:space="preserve">5 raviolis
(325.00	11.25	6.25	13.75	41.25	2.50	575.00)
2 tbs parmesan cheese
(20	1.5	1	2	0	0	100)
1 tbs olive oil
(130	14	2	0	0	0	0)
20 cheddar rice cakes
(130.00	4.50	0.50	2.00	19.00	1.00	250.00)
3/4 pasta sauce
(135.00	5.25	1.50	4.50	18.00	4.50	690.00)
1/2 cup mozz
(160.00	10.00	7.00	12.00	2.00	0.00	380.00)
3 gouda cheesesticks
(210.00	18.00	10.50	15.00	0.00	0.00	510.00)
salted carmel latte/cold brew at Circle K
approximated by 2X the barissimo bottled iced vanilla latte
(580.00	10.00	6.00	18.00	104.00	2.00	420.00)
4 french vanilla coffee creamers
(140.00	6.00	0.00	0.00	20.00	0.00	60.00)
35 hash browns, about 3/11th a bag all day
(525.00	24.50	1.75	7.00	73.50	7.00	1015.00)
1 flour tortilla
(168.00	4.00	1.00	4.00	27.00	1.00	301.00)
4 sliced mushrooms
(8.00	0.40	0.40	1.20	0.80	0.40	4.00)
2 cheesesticks
(148.89	4.89	0.78	7.11	18.67	0.89	822.22)
2 jalapeno poppers
(160.00	11.11	3.78	2.44	12.89	0.67	431.11)
=325+20+130+130+135+160+210+580+140+525+168.8+148.9+160
=11.25+1.5+14+4.5+5.25+10+18+10+6+24.5+4+0.4+4.9+11.1
=6.25+1+2+0.5+1.5+7+10.5+6+0+1.75+1+0.4+0.8+3.8
=13.75+2+0+2+4.5+12+15+18+0+7+4+1.2+7.11+2.44
=41.25+0+0+19+18+2+0+104+20+73.5+27+0.8+18.7+12.9
=2.5+0+0+1+4.5+0+0+2+0+7+1+0.4+0.9+0.7
=575+100+0+250+690+380+510+420+60+1015+301+4+822.2+431.1
</t>
  </si>
  <si>
    <t>Totino Cheese pizza rolls a serving is 16 pcs</t>
  </si>
  <si>
    <t>Dunkin Donuts vanilla cold brew bottled, serving is 12 fluid oz, 4 per container</t>
  </si>
  <si>
    <t xml:space="preserve">4 raviolis
(260.00	9.00	5.00	11.00	33.00	2.00	460.00)
2 tbs parmesan cheese
(20	1.5	1	2	0	0	100)
1/4 cup mozz
(80.00	5.00	3.50	6.00	1.00	0.00	190.00)
1/4 cup pasta sauce
(45.00	1.75	0.50	1.50	6.00	1.50	230.00)
20 cheddar cheese cakes
(130.00	4.50	0.50	2.00	19.00	1.00	250.00)
3 cups vanilla cold brew dunkin donuts brand
(180.00	0.00	0.00	3.00	33.00	0.00	75.00)
30 cheese totino pizza rolls lunch and after work
(420.00	16.00	4.00	10.00	62.00	2.00	640.00)
double salmon poke bowl normal way, cucumbers/ginger/brown rice/double salmon/house sauce/sesame seeds, wasabe, cream cheese
(578.5	11.075	2.15	17.7	101.75	8.25	1731)
cream cheese 4 tbs in poke bowl
(204.00	20.40	12.80	4.40	1.60	0.00	172.00)
=260+20+80+45+130+180+420+578.5+204
=9+1.5+5+1.75+4.5+0+16+11.1+20.4
=5+1+3.5+0.5+0.5+0+4+2.2+12.8
=11+2+6+1.5+2+3+10+17.7+4.4
=33+0+1+6+19+33+62+101.75+1.6
=2+0+0+1.5+1+0+2+8.25+0
=460+100+190+230+250+75+640+1731+172
</t>
  </si>
  <si>
    <t>Woke up around 610 pm and got out of bed at 630 am when my alarm went off. Did the normal routine with cleaning pet messes, gave Growly his meds, fed babies, made my coffee after cleaning pet messes and before Growly's meds. Gave the alley cat the last canned cat food, used up last of cheap paper towels on pet messes, have two rolls better quality paper towels, used up last bottled water on coffee and ice cubes, had to go to van and get me a couple bottles bc the roommate didn't take in the 3 packs of 24 bottles, I left them in the van. I told him I would. He wastes the water and has all sorts of unfinished water in water bottles right by his alcohol he doesn't drink But I sneal. Like yesterday I took his jameson whiskey 2x with him here, he was in the man cave 1st time and frying his burgers 2nd time. I cut myself on opening the cap and am feeling it today on index finger. It hurts like a paper cut. I thought it was the finger I accidentally touched the hot part of air fryer but that was other hand and no wound on it. Updated nutrition in this database for yesterday then had a reg BM, and made my 2nd cup of coffee. I have to go to the grocery store but want to shower before my 10 am class that lasts an hour and a half. But also want to add all the files for this week once they are on the site and copy the exam correct answers if posted. The quiz was corrected yesterday and I got 9/10 on the quiz on lab 3, but the unit1 exam wasn't graded yet. Then measurements before breakfast. around 730 am the measurements and before 2nd cup of coffee consumed. Went to Target and got the stuff I needed and some alcohol for later, my last stash is all out and have been using the roommate's that I haven't replaced. I got a grey goose, jose cuervo, and jameson bottle avg sz. Then got home did my laundry and watched the zoom lecture, reviewing exercises in unit 1 labs and this weeks. The exam is Sat instead of Sun and no lecture mon due to holiday. Had another headache 10 min before LE zoom meeting, had raviolis before the LE with 3rd cup of iced dunkin donuts brand vanilla latte bottled, w HA had 4th cup with water, the aura migraine went away after water and 3rd cup but some of the residual aches of the headache still there and finished the 4th cup by the end of the meeting. Had 15 cheese totino pizza rolls after the lecture. No shower before Target, and ate about 20 cheddar rice cakes in van for breakfast on way there. Cashiers at Target are judgey too. Not like I drink the alcohol in one sitting, and not sexually charged when drinking so they should mind their own business. I work, pay my bills and don't have kids, just pups. The alcohol makes a great stress reliever in moderation and don't plan on missing work, starting fights, or becoming a bum. So again, they should mind their own business. Might take a nap before work. I work from 3-10 tonight. Also, had a tiny BM halfway through lecture for 2nd of the day. Took a nap at 12 pm for 20 minutes then woke up and showered and got ready for work early to take the cry baby to get his car. The roommate. He has the nerve to leave me a text voice saying to not get on my computer and feed babies and give Growly his meds when I texted him to as I took him to get his car and had to leave earlier than normal and couldn't give Growly his meds or feed the babies their normal afternoon food. What a scumbag! I got home and new his voice text was scummy and didn't listen to it at work but at home, when noticing the ground outside was wet and texted him to see if the water is leaking or if he used the hose. When I heard the voice text. It pissed me off. I told him to not interfere with me and my school on the computer, that I got up to take his crybaby ass to get his car and wasn't able to feed the babies or give Growly his meds that I also pay solely by myself $150 per month or every 3 weeks because 1 pill is $80 and the other two are $70 and they last about 3 weeks each and not at the same time as refills weren't in alignment with each other,  and that he talks to me like that again with his worthless ass that I was going to curse him into a heartattack or stroke to leave him in a vegie state. What a fucking selfish loser! He texted me back its the hose and didn't say shit. I had an alcoholic drink of jameson 3 second gravity shot over ice water around 1030 pm when getting back from work. There was also a firetruck out front when texting the loser. Fed the alley cat outside but didn't see it and reset the wireless cameras as they haven't been insync with wifi for 2-3 days and wasn't concerned about unpluggin and letting it reset to wifi as no packages expected, except the China package of my already shipped Amazon waist trimmers they won't let me cancel the order on, as I would have, but can't because they put it as shipped and there is not option available to cancel and get refund. At work had a double salmon poke bowl usual way but the lady overcharged me for a 3 scoop instead of 2 scoop and I was going to tip them that couple dollars but noticed it. I don't know why she did it, and I have seen her before, and it was months ago but she acted like she was new. I know they were doing a promo before for buy one get one free on that night, because only at night and I work on Monday nights instead of Thursdays since my spring courses started in early Feb. Weird. I told them to keep the change, but I saw her give me exactly 2 scoops and she charged me 3 scoops. I am not sure if she is the owner. I paid cash and she is the older Mexican lady working in the back, she had to talk to the unfriendly younger early 20s brunette to fix it and was still working on it when I told them I was going to let them keep the tip but asked why I only got coins back instead of a few dollars and the receipt and showed her the error. Left, ate the poke bowl. The best poke bowl from this place though it smells like either fish or onions when I have been going. I also had my 5th cup of the dunkin donuts vanilla cold brew. Didn't start the homework but should as the Sunday exam is earlier for Saturday and I have another client I haven't seen in months book an appointment with me tomorrow after my regular noon appointment. My noon appointment is also paid up for June and there are 5 weeks in June but the monthly covers 4 weeks. I changed that months ago. Originally it was every week same day for the monthly subscription, but I changed it as no fish took the bate other than her. She is a very nice lady though. A cool lady friend. Older, but very friendly. I will find out tomorrow if we are on the same page with the monthly subscription as 4 weekly massages a month and each additional $50 so that each massage saves $10 per massage as long as prepaid for the month. Not a big deal otherwise. Because I changed the plan after she subscribed realizing it was going to interfere with my school studies the time to drive and clean up supplies and laundry as well as massage. Feeling like a 2nd drink. It is 1136 pm, and wanted to update the nutrition portion. But my tolerance on alcohol is getting high. Not tired either, might just lay in bed and not fall asleep and feel like if I drink I might have a sick stomach feeling tomorrow but be able to go to sleep tonight on queu. Decided to make about 15 cheese pizza totinos. That makes about 30 of those for the day. I also transferred the etrade money I never invested that sat in it for years since Dec 2019 into my checking. It was on my mind, that and transferring the Golden 1 savings account balance to my checking, but didn't see it there and thought of the etrade account I never touched instead and how I talked to a guy who was able to set that transfer ability up for me many months ago. But I never transferred it thinking I would use it. Its not doing anything, not invested, and not earning or losing value, and I likely won't invest it as I haven't looked into the stocks or linkedin courses on investing. Its only $100 and don't need it but want it, and the auto finance credit union is a credit union and has some advantages but not set up to transfer to external accounts, and its only $43 and they are going to be sending me a letter saying loan paid in full and amounts. Went to bed just before 1230 am, and only had that one drink followed by the 15 cheese pizza rolls. And updated the nutrition for the day with the item values but not into the columns they belong for totals.</t>
  </si>
  <si>
    <t xml:space="preserve">Woke up at about 610 am and got out of bed, no pet messes seen to clean, made coffee, fed Growly his meds, and the babies their food, and finished the nutrition totals for this data. Then looked at assignments for school. Spoke with the admissions advisor into the Doctor of Chiropractic program, and he told me I passed the 1st interveiw, but need to send in all my official transcripts then fill out the FAFSA and the Master Promissory Note and Entrance Counseling and wait 5-7 days for the financial aid office to contact me. I was happy. We were on the phone about 45 minutes until his audio went out. This program will be the 12 trimester or 4 years instead of the 3.3 years or 10 trimesters. But will be more flexible with my schedule to work for M-Th 8-3pm is school. I will have to contact my boss to see what to do about that schedule adjustment by that time. I had my client at 12 pm. Super nice lady. This one was her bonus massage a free one for month, she signed up next month for another month, then she is going on vacation to their home in Alabama on 16 acres to relax for Aug/Sep. I should be in my chiropractor program at that time. After the massage I was on my way to my client's house and she cancelled, so I got the rollem up tacos with 2 cheese and 1 avocado with Dr Pepper as they only had diet coke and not reg coke. The client is a flake. She tips good and I owed her a $15 discount from missing her appointment last time due to a misinterpretation because she said she would contact me the next day if she wanted it and never did, so she called me a few minutes after the time and I told her my plans changed and I didn't want to bug her to ask since we were texting back and forth. She said I wouldn't bother her or bug her. So I offered her a discount of $15 off her normal 90 minutes. Didn't hear from her for months and today, she slipped and is in a lot of pain in her low back and chipped her front tooth and was on her way to the ER with her sister just arriving to take her. I will probably not be moving anything around to accomodate that client from here on out as she is a flake. She knows how to book in the app too, and she also sent me to Anaheim to have her guests fill the parking without leaving me a parking spot because there was not street parking. Too stressed going out to her house. And when we talk she talks so light that I cannot hear what she is saying. So she will talk and I have no idea what she is saying and agree, but fear that it will come up again at some point and I will not know what she is talking about and have to act like I do. She is a nice lady though, but a flake. Now I was very low on fuel and made it to the Arco station on Serfas Club off 91 with 3 miles left in my tank. Got home ate taquitos in my car, saw a weird hispanic guy walk by in the back and eye the next door that is being worked on and he looked like the same bum walking behind the place a few times already. Did the laundry and fed the babies their lunch cat food. Meow Meow doesn't like this box recipe of cat food and neither does the cat outside I feed, they don't eat all of it, only some of it. I got almost through the first videos and slides but started at 2nd half and then went back to first half on cell structure membrane and support. Have a quiz on the lab haven't started and the worksheet for that part due tomorrow. Have a client tomorrow after work. Not worried about it. I also had a drink of Jameson while I make my regular client's receipt and SOAP notes. I hadn't taken my measurements when I got home and updated this database around 3 pm. For breakfast had a serving hashbrowns last of bag, and a 15 pc serving cheese totino pizza rolls. Then before leaving had a 4th cup of the coffee as the vanilla late dunkin donuts but didnt drink all of it until after my 12 pm client. Also had another 15 pc serving of cheese pizza rolls on the way to her house. After the 12 pm client was on my way to soquel canyon central ave exit in chino when client returned the text saying she was on her way to the ER, so I headed back and hit Pine exit for the roll em up taquitos, and had 8 miles left on dashboard till fuel runs out. Got to Arco off serfas club exit and put $30 cash in on pump 13 and it then said I had 154 miles to empty on the dash. At home now. middle of drink after all the other stuff. laundry, feeding babies, clean a pet mess, seeing weirdo outside looks suspicious, poured and drank drink, updated this. And now doing the SOAP notes. Also, had a lg BM by 2nd cup of coffee earlier in the morning I didn't mention but before my 3rd cup of instant coffee while taking notes on prerecorded ppt slides on the first chapter of this week on cell structures. I plan on taking measurements after updating my income expenses database and sending client her SOAP notes and receipt. Forgot to take measurements in the morning as was side tracked with news of my admission approval into DC program. But did remember while working on worksheet for biology due tomorrow. This was at 852 pm. AFter eating and that one drink and a 5 minute nap at 640 pm approximately after my 5th cup of coffee the last of vanilla cold brew DD brand. Waist trimmer and compression socks only worn for about 4 hours today. I had about 8 sliced mushrooms 2 tbs olive oil, 2 tbs parmesan cheese and 2 slices of the artesan brioche bread in the air fryer earlier in the afternoon when updating notes to the lab section of the lab that has a quiz due tomorrow. Have some essay type questions to complete the worksheet. Then will start the lab. It is almost bed time. Work tomorrow and a great regular client around 7 pm and her cute cat Mappy. </t>
  </si>
  <si>
    <t>artesano bread, serving 1 slice, 2 slices:</t>
  </si>
  <si>
    <t>2 cups vanilla latte dunkin donuts bottled beverage, 2 servings
(120.00	0.00	0.00	2.00	22.00	0.00	50.00)
30 cheese pizza rolls
(420.00	16.00	4.00	10.00	62.00	2.00	640.00)
2 slices artesano bread
(440.00	6.00	0.00	12.00	80.00	4.00	760.00)
2 tbs olive oil
(240.00	28.00	4.00	0.00	0.00	0.00	0.00)
2 tbs parmesan cheese
(20	1.5	1	2	0	0	100)
8 sliced mushrooms
(16.00	0.80	0.80	2.40	1.60	0.80	8.00)
1/2 cup mozz in 2 cheese taquitos
(160.00	10.00	7.00	12.00	2.00	0.00	380.00)
2 tbs vegetable oil fried taquitos 3 in rollemup
(240.00	28.00	4.00	0.00	0.00	0.00	0.00)
3 corn tortillas
(150	0	0	3	14	3	30)
1/2 avocado in 3rd taquito
(161	14.5	2	2	8.5	6.5	7)
2 tbs sourcream
(120.00	10.00	7.00	2.00	4.00	0.00	30.00)
ranch dressing type nutrition for their BBQ chipotle flavored Mexican sour cream on top taquitos
(218	23.1	3.6	0.5	3	0.3	367)
16 oz dr pepper fountain soda with taquitos
(270.00	0.00	0.00	0.00	75.00	0.00	90.00)
=120+420+440+240+20+16+160+240+150+161+120+218+270
=0+16+6+28+1.5+0.8+10+28+0+14.5+10+23.1+0
=0+4+0+4+1+0.8+7+4+0+2+7+3.6+0
=2+10+12+0+2+2.4+12+0+3+2+2+0.5+0
=22+62+80+0+0+1.6+2+0+14+8.5+4+3+75
=0+2+4+0+0+0.8+0+0+3+6.5+0+0.3+0
=50+640+760+0+200+8+380+0+30+7+30+367+90</t>
  </si>
  <si>
    <t xml:space="preserve">Woke up at 530 am snoozed 10 min then got out of bed at 540 am, made coffee, fed Growly his meds, and the babies their food, then reviewed the lab slides made notes on. Checked emails and junk. Saw the last week's unit 1 exam was graded, I did better at 83/100, but the answers weren't posted. I thought I did better, and don't know which ones missed. The exams are 4 in total and they account for 2/3 * 60% of the course grade. It was weird that I checked grades before it was graded and had a 93% then after had a 90% in course. Not sure what changed, but the ungraded exam, was 62/100 initially without grading the written in repsonses. The roommate got back at his normal time at 630 am and was bitching and begging me to massage his knees. I won't, he's an asshole.  A disrespectful asshole, thinks the world owes him everything and thankless for anything because he expects it, also the type to complain about everything you do if you know him. Not the type of person anybody enjoys being around. Went to work after having the serving of pizza rolls cheese and 3 bags fruit snacks Market Pantry brand. At work had Starbucks honey almond milk coldbrew with brown sugar instead of honey bc they were out a grande size, and a falafel bowl, 5 falafels, ate 4, don't like the eggplant hummus reminds me of an ointment the after taste it leaves, but did have the zesty feta and the red pepper tzaziki sauce with the red pepper type hummus, some of that grain stuff they had, a mediterranean bread, kale, pickled cubed beets, and cucumbers. After work had my 5th cup of coffee, instant, was tired in traffic. Not too much of it. Notified my boss I will need a schedule change around Sept 6-7th for my chiropractic school and she said we could talk about it in person. Got home around 4 pm, have my regular for Wed nights leave by 630 pm, landlord over next door today working on the other apt. I get the Zillow home updates for Tomball TX and saw a cute littel 3bed 2 ba in town for 200k with green grass and yard. Emailed it to Mo and Dad, and told Mo to buy it and rent it out to Mom or Dad. I have been seeing a lot Texas license plates on the road with me when driving to and from work, its almost like I am in Texas. There are quite a bit of them. Went to client's at 630 got there before 7 pm. Client and her cat are cool. I got home after 830 pm, finished the lab and studied from the notes on that quiz for the quiz due by 11:59 pm. I ate 2 gouda cheese sticks, a mini coca cola of the roommate's, a serving of cheese pizza rolls, and 2 cheese sticks with 1/8 cup pasta sauce. Then after quiz that I took around 1030 pm had an ice jameson drink. Was tired earlier. Not so much after drink. Looked at emails and the news. My recommender system has been posting a lot of TX crimes on my feed for MSN or Yahoo. Lots of violent crimes are posted and nothing to sweeten going there. My feed wants me to realize or think TX is full of violent, racist, misogynists. That might be true, but I won't know unless I visit. We can change the world if we try or let it consume us and do nothing. It has been changing for the better until Trump came to office, and especially after his loss in office. But there have always been ignorant, racist, conservative, misogynists in TX, but the majority dwindled over the years compared to the new people and ideas of diversity coming in and new generations who grew up to MTV and social media instead of their ignorant parents' or grandparents' views. Didn't do the SOAP notes or receipt. Thought I had a new client tomorrow but its next Thursday. Have to finish up some lecture and a nother lab due Friday, and a unit 2 exam to study for and take the unit 2 exam by Saturday night on all material covered this week. </t>
  </si>
  <si>
    <t>Market Pantry fruit snacks, 1 serving is 1 pouch:</t>
  </si>
  <si>
    <t>10 fruit snacks Market Pantry brand
(700.00	0.00	0.00	0.00	170.00	0.00	200.00)
2 servings cheese pizza rolls
(420.00	16.00	4.00	10.00	62.00	2.00	640.00)
1 mini coca cola
(90	0	0	0	25	0	30)
1 falafal bowl with kale and some grainy mix like yellow firm sugar molecule sized fiber, 3 hummus but avoided eggplant one, so only 2 hummus and 4/5 falafels, pickled beets 2 tbs and 2 tbs cucumbers and 2 tbs red pepper tzaziki sauce
(1562	46.5	4	91.5	202	74.5	3955)
brown sugar almond milk cold brew 16 oz Starbucks
(50	0.5	0	0	11	0	25)
2 cheese sticks
(148.89	4.89	0.78	7.11	18.67	0.89	822.22)
1/8 cup pasta sauce Priano 4 cheese
(22.50	0.88	0.25	0.75	3.00	0.75	115.00)
=700+420+90+1562+50+148.9+22.5
=0+16+0+46.5+0.5+4.89+0.88
=0+4+0+4+0+0.78+0.25
=0+10+0+91.5+0+7.11+0.75
=170+62+25+202+11+18.67+3
=0+2+0+74.5+0+0.89+0.75
=200+640+30+3955+25+822.2+115</t>
  </si>
  <si>
    <t>El Monterey nachocheese taquitos, serving is 3:</t>
  </si>
  <si>
    <t>Gardein prepackaged made for grill, soy free burger patty, serving 1 patty:</t>
  </si>
  <si>
    <t>boston cream pie cake approximately, 1/4 the cake, this is 1/3 the cake on caloriking.com:</t>
  </si>
  <si>
    <t xml:space="preserve">1/4 boston cream pie
(463.00	15.60	4.50	4.40	78.90	2.60	265.00)
10 fruit snacks
(700.00	0.00	0.00	0.00	170.00	0.00	200.00)
10 nacho cheese taquitos
(833.33	43.33	10.00	20.00	86.67	0.00	1166.67)
15 cheese pizza rolls
(210.00	8.00	2.00	5.00	31.00	1.00	320.00)
1 gardein made for grill, soy-free, beef patty
(210.00	11.00	9.00	20.00	7.00	1.00	450.00)
4 slices artesan bread
(440.00	6.00	0.00	12.00	80.00	4.00	760.00)
4 tbs parmesan cheese
(40.00	3.00	2.00	4.00	0.00	0.00	200.00)
2 tbs olive oil
(240.00	28.00	4.00	0.00	0.00	0.00	0.00)
1/4 cup mozz
(80.00	5.00	3.50	6.00	1.00	0.00	190.00)
1/4 cup pasta sauce
(45.00	1.75	0.50	1.50	6.00	1.50	230.00)
2 Gouda cheese sticks
(140.00	12.00	7.00	10.00	0.00	0.00	340.00)
=463+700+833+210+210+440+40+240+80+45+140
=15.6+0+43+8+11+6+3+28+5+1.75+12
=4.5+0+10+2+9+0+2+4+3.5+0.5+7
=4.4+0+20+5+20+12+4+0+6+1.5+10
=78.9+170+86.7+31+7+80+0+0+1+6+0
=2.6+0+0+1+1+4+0+0+0+1.5+0
=265+200+1166.7+320+450+760+200+0+190+230+340
</t>
  </si>
  <si>
    <t xml:space="preserve">Woke up at 630 am and went to bed around 12 am last night a few minutes before. Did normal routine with coffee, feeding babies, Growly's meds, sent out client's SOAP notes and receipts, had a lg BM after 1st cup of coffee and while finishing 2nd cup of coffee. Then updated this database, I need to do the folding of laundry, while drinking 3rd cup of coffee. Have hw to do a lab and another lecture, a few worksheets, and preparing for the exam for this week on material covered comparing it to her wrksht keys if she gives them by that time. Also, want to copy my massage school transcripts and send to TX and take jurisprudence exam and pay for that and the massage therapist application and send that in. Also, need to get the cashier's check for rent, already transferred the share of the roommate's rent with his permission this morning. Not sure if I want to go to Winco or my credit union. Noticed the etrade money never used was in my checking account this morning. Made me think to close my dodge credit union account too and transfer that money though it is only approximately $43-45. I don't like having money spread out anywhere. I took my measurements after the lg BM and before breakfast and before finishing my 2nd cup of coffee. Did the lab 5 and the worksheet on photosynthesis by 9 pm and went to bed at 920 pm. Was tired. Have been tired the last few days, because of six hours of sleep every day. I also had two Jameson and ice water earlier in the day after 4 pm and stopped by 530 pm. Had two naps at 2 and 4 pm for 5-10 minutes. Was still tired all day, shook it off a little with the Jameson and water. Ate a bunch of frozen food and breads. I actually ended up applying for my Texas massage license before I left to the bank earlier in the day to get the cashier's check, deposit a little bit of cash, then one of my monthly subscribers checks for July into savings. My other monthly subscriber had his birthday the end of June and probably out celebrating with one of my MLD clients who also had 7 of those massages left. I took the online jurisprudence exam, that was simple, because if you select the wrong answer it will not let you go to the next question until you do. Basically don't let your massage license expire and keep clients' records minimum 2 years, if you move business locations then you need a new license, continuing education doesn't need to be taken from a licensed massage therapist but somebody trained in the massage related modality or similar, 12 of those CEUs every two years, if you let your license expire there, then you have to reapply with test/exam, and all documents and fees. Ofcourse, nothing sexually driven or related in any capacity for massage and not promoting health profession diagnoses or treatments of disease that is outside the scope of massage therapy. I had a Gardein made for the grill vegan soy-free beef patty and parmesan toast in airfyer for breakfast, then later parmesan toast with 1/4 cup pasta sauce and 1/4 cup mozz in airfryer, after running errands, I got some nachocheese taquitos and more cheese pizza rolls Totinos and a boston cream pie cake from bakery at Albertsons. I ate 5 of those taquitos plain from air fryer, then later had in all 1/4 the boston cream pie cake between 3 pm and 7 pm, another 5 taquitos and 15 cheese pizza rolls, and about 10 fruit snacks throughout the day. Also, there was a jumping tarantula that was desert sand color and tiny, about the size of a pencil eraser with legs that jumped onto my laptop from the ceiling. I tried to catch it but it kept jumping about 6-8" from me. I was able to get it into a gallon size bag with a pippette that we got from biology lab manual that came with the lab manual, I took it outside. It kept showing or popping out its fangs. It reminds me of the jumping tarantulas that are black in Texas. The application was $100 and the juriprudence exam was $34. I tried calling them to see about the fingerprints to pay and get a receipt, but couldn't get a hold of the office there. It was about 1130am to 12 pm CA time and about 2pm to 3 pm TX time. I sent in photocopies of my transcripts in pdf form with my photocopied MBLEX pass sheet, my massage license for CA, and my certificate for massage license from CA, and the criminal history form. I already paid to have the MBLEx and letter of verification sent out to the TX massage board 3 weeks ago, but never applied. Hopefully, they have it on file somewhere. They should because it is a big department that handles all of TX licensing and registration from various jobs. Bed was at 920 pm </t>
  </si>
  <si>
    <t>Woke up at 5 am but got out of bed just before my 530 am alarm went off. Neck ached like I didn't sleep well or maybe the pups were jumping on my head at night. I don't know. Normal routine, had to clean up some pet messes, made my coffee, gave Growly his meds with the babies' food when feeding them, then updated this database and done with nutrition part by 627 am. Took measurements after a reg lg BM and before breakfast around 630 am. Need to finish the cellular respiration worksheet and turn in by tonight, and study for the unit 2 exam due tomorrow by midnight all this material. It is a lot, and sounds understandable when looking at it, but then realize I need to really understand it better. I only have to draw the diagram and answer the apply your knowledge question and check the other responses I put down yesterday before bed and tired. Went to work after breakfast, showering, drying hair, etc. Had a Gardein burger on parmesan toast for breakfast, a double salmon poke bowl. Had 4th cup coffee at work with 4 hazelnut creamers, and got home around 420 pm and had 5 taquitos and 15 cheeze pizza totino rolls with coffee and 1st drink, then a Jameson, and then 6 taquitos and 2 fruit snacks, 2 more drinks, had a 1/8 slice of the boston cream pie cake between last 2 drinks, worked on the last part of the worksheet for cellular respiration and turned it in, then made flashcards until 11 pm from 9-11 on the photo synthesis and cellular respiration. Didn't get to the other cell membrane and transport lecture to make flashcards. I get back after 2 pm tomorrow and have to leave by 720 am for work tomorrow. Bed by 1145 pm.</t>
  </si>
  <si>
    <t xml:space="preserve">gardein patty
(210.00	11.00	9.00	20.00	7.00	1.00	450.00)
2 slices artesan bread
(220.00	3.00	0.00	6.00	40.00	2.00	380.00)
2 tbs parmesan
(20	1.5	1	2	0	0	100)
2 tbs olive oil
(240.00	28.00	4.00	0.00	0.00	0.00	0.00)
double salmon poke bowl
(554.50	11.18	2.15	17.80	96.55	8.35	901.00)
4 tbs cream cheese
(204.00	20.40	12.80	4.40	1.60	0.00	172.00)
4 coffee creamers
(140.00	6.00	0.00	0.00	20.00	0.00	60.00)
11 nacho cheeese taquitos
(916.67	47.67	11.00	22.00	95.33	0.00	1283.33)
serving cheese pizza rolls 15 pcs, serving 16 pcs
(210.00	8.00	2.00	5.00	31.00	1.00	320.00)
2 fruit snacks
(140.00	0.00	0.00	0.00	34.00	0.00	40.00)
1/8 boston cream pie cake
(173.63	5.85	1.69	1.65	29.59	0.98	99.38)
=210+220+20+240+554.5+204+140+916.7+210+140+173.6
=11+3+1.5+28+11.2+20.40+6+47.7+8+0+5.85
=9+0+1+4+2.15+12.8+0+11+2+0+1.7
=20+6+2+0+17.8+4.4+0+22+5+0+1.65
=7+40+0+0+97+1.6+20+95.3+31+34+29.6
=1+2+0+0+8.35+0+0+0+1+0+1
=450+380+100+0+901+172+60+1283.3+320+40+99.4
</t>
  </si>
  <si>
    <t xml:space="preserve">4 fruit snacks
(280.00	0.00	0.00	0.00	68.00	0.00	80.00)
45 cheese pizza rolls
(630.00	24.00	6.00	15.00	93.00	3.00	960.00)
3 vegan chicken tenders (gave 2 to babies)
(210.00	9.00	1.50	10.50	19.50	4.50	600.00)
2 slices bread
(220.00	3.00	0.00	6.00	40.00	2.00	380.00)
2 tbs parm
(20	1.5	1	2	0	0	100)
2 tbs mozz
(80.00	5.00	3.50	6.00	1.00	0.00	190.00)
2 tbs olive oil
(240.00	28.00	4.00	0.00	0.00	0.00	0.00)
1 can coca cola
(180.00	0.00	0.00	0.00	50.00	0.00	60.00)
4 hazelnut coffee creamers
(140.00	6.00	0.00	0.00	20.00	0.00	60.00)
1/4 boston cream cake pie
(173.63	5.85	1.69	1.65	29.59	0.98	99.38)
2 slices artesan bread
(220.00	3.00	0.00	6.00	40.00	2.00	380.00)
2 tbs parm
(20	1.5	1	2	0	0	100)
1 tbs olive oil
(120	14	2	0	0	0	0)
1 morning star vegan beef patty
(80	1	0	1	16	2.5	100)
=280+630+210+220+20+80+240+180+140+173.6+220+20+120+80
=0+24+9+3+1.5+5+28+0+6+5.9+3+1.5+14+1
=0+6+1.5+0+1+3.5+4+0+0+1.7+0+1+2+0
=0+15+10.5+6+2+6+0+0+0+1.7+6+2+0+1
=68+93+19.5+40+0+1+0+50+20+29.6+40+0+0+16
=0+3+4.5+2+0+0+0+0+0+0.98+2+0+0+2.5
=80+960+600+380+100+190+0+60+60+99.4+380+100+0+100
</t>
  </si>
  <si>
    <t>Woke up at 515 am but got out of bed by alarm at 530 am, did normal routine, cleaned pet messes, made coffee, fed Growly's meds, fed babies, then started immediately on the cell membrane transport ppt flashcards, got to slide 9 before alarm to get ready for work went off. Had a reg BM after 1st cup of coffee before the alarm went off and finished 2nd cup of coffee before measurements. Need 3 cups before leaving for work due to tolerance and preventing headache later. Went to bed at 12 am last night, slightly after 1145 pm. Got about 5 hours of sleep. For breakfast made about 20-25 cheese pizza rolls and took them to work where I ate about 10 before work for breakfast and the rest for lunch. I also had 4 fruit snacks. And my 4th cup of coffee with 4 coffee creamers hazelnut. Then at home had made 5 of the vegan chicken strips and about 18 cheese pizza rolls while I finished up the flashcards on photosynthesis took 4-5 hours because of the drawings and notes. I had a drink after about 3 hours figuring 15 more slides to go and still writing the information down. Then studied after the flash cards, the worksheets, not the keys or solutions as not given or graded yet for all. Nothing was actually graded as a final score this week, she must be going on vacation. No class tomorrow but the work will be posted. Fortunately, it was mostly on photosynthesis and not cellular respiration, because I just realized the cellular respiration was in animals but knew the photosynthesis was with plants, I got that from a question on the exam, and I did write all that information down, but there seem to be more steps, and its all rushed at me and I am sure any person taking a 16 week course in 6 weeks, that it seemed confusing to talk of ATP and NADPH in plants, then go to cellular respiration where ATP and FADH2 is used instead with similar process but in mitochondria. But both cells have this organelle, so you can see why I was cramming and getting to know it well but more on concepts, that the overall picture of there being a division or difference between the two to me seemed like cellular respiration happens in both plants and animals but photosynthesis in only plants. I got lucky there. But we are allowed to use notes. Only used one card on glycolysis, tricky, produces pyruvate I know and some carbon dioxide, but it asked if it was T/F that is produces CO2 and NADPH. So I looked it up. That was the only question. I feel like I did good on it, but will find out. She deducts points for essays with wrong information. Before I took the exam I had a coca cola around 930 pm, but got tired around 10 pm and got scared I would fall asleep and miss the exam, so I took it. I also had a couple slices of parmesan toast with the coca cola, I made it with too much olive oil and needed to drown it out with the corn syrup in the soda. Finished exam with time to spare. Tomorrow I plan on deep cleaning the house, we'll see. Unless, I get some clients. I will be drinking, listening to music and deep cleaning the house, although need to go to grocery store or Target first to get a shower curtain and magic erasers. The 2nd drink while updating this database for yesterday and today. Fireworks were all over the place starting at 10 pm. Actually started earlier as expected, but they are displaying more now. Many cities aren't allowing it, but some are little less inclined to report them because they have kids and neighbors that like seeing them and now there are actually penalties in the form of fines in some cities. I don't even care anymore since I don't have to get up early and got booze to fall asleep with it keeps me asleep for a while. Washed the bed linens and blankets because when I got home cat vomit was on them. She vomits hair ball that look like shit in piss. or yellow bile. They weren't dry by the time I wanted to go to bed after 11 pm. It is 1140 pm now and had already put on the alternate set that uses the loose sheet instead of fitted one. I always put a mattress pad on bc the babies pee on the bed every once in a while especially when princess has her toys or babies on the bed. Sometimes just to be assholes too. Was going to go to bed but had the 3rd drink and watched the last two episode of the season 4 Handmaids Tale. Had a slice of boston cream cake pie. My feet are swollen and ankles today, noticed this 2 hours ago. I have had fluid in legs since middle of studying today when lifting leg up while standing. I stand at computer while studying and taking notes and making flashcards. Pressure and fluid at Right knee, and while laying in bed watching the laptop Hulu Handmaids Tale, feet swollen. Fat and swollen.  I went to bed at 230 am last night after watching the last 2 episodes of season 4 of Handmaids Tale on Hulu. I also ate a morning star burger on parm toast that I used only 1 tbs olive oil on and tasted much better with half a new coca cola before going to bed.</t>
  </si>
  <si>
    <t xml:space="preserve">15 cheese pizza rolls
(210.00	8.00	2.00	5.00	31.00	1.00	320.00)
1/8 boston cream pie cake
(173.63	5.85	1.69	1.65	29.59	0.98	99.38)
1/2 coca cola from last night
(90	0	0	0	25	0	30)
9 cheese rolls
(118.13	4.50	1.13	2.81	17.44	0.56	180.00)
1 zucchini
(27	0.6	0.1	2.1	4.8	1.8	5.4)
2 tbs olive oil
(240.00	28.00	4.00	0.00	0.00	0.00	0.00)
2 tbs parmesan cheese
(20	1.5	1	2	0	0	100)
4 fruit snacks
(280.00	0.00	0.00	0.00	68.00	0.00	80.00)
=210+173+90+118+27+240+20+280
=8+6+0+5+0.6+28+1.5+0
=2+1.7+0+1.13+0.1+4+1+0
=5+1.65+0+2.81+2.1+0+2+0
=31+29.6+25+17.44+4.8+0+0+68
=1+0.98+0+0.56+1.8+0+0+0
=320+99.4+30+180+5.4+0+100+80
</t>
  </si>
  <si>
    <t>cauliflower tatertots, serving 9 pcs:</t>
  </si>
  <si>
    <t>PF Changs frozen veggie egg rolls, serving size is 4 with 2 servings per carton, carton:</t>
  </si>
  <si>
    <t>Interntational Delight carmel iced cold brew coffee, serving is 12 fl oz, 5 per carton, serving, cup:</t>
  </si>
  <si>
    <t xml:space="preserve">morning star vegan beef patty
(80	1	0	1	16	2.5	100)
2 slices artesan bread
(220.00	3.00	0.00	6.00	40.00	2.00	380.00)
2 tbs parm
(20	1.5	1	2	0	0	100)
1/4 cup mozz
(80.00	5.00	3.50	6.00	1.00	0.00	190.00)
pkg eggrolls
(440.00	11.00	2.00	6.00	78.00	6.00	1660.00)
6 fruit snacks
(420.00	0.00	0.00	0.00	102.00	0.00	120.00)
2 cups international delight carmel iced coffee
(360.00	7.00	5.00	10.00	64.00	0.00	240.00)
double salmon poke bowl
(554.50	11.18	2.15	17.80	96.55	8.35	901.00)
1/4 cup cream cheese
(204.00	20.40	12.80	4.40	1.60	0.00	172.00)
3 cauliflower tater tots
(43.33	2.33	0.33	1.00	5.00	0.67	103.33)
=80+220+20+80+440+420+360+554.5+204+43
=1+3+1.5+5+11+0+7+11.2+20.4+2.3
=0+0+1+3.5+2+0+5+2.2+12.8+0.33
=1+6+2+6+6+0+10+17.8+4.4+1
=16+40+0+1+78+102+64+97+1.6+5
=2.5+2+0+0+6+0+0+8.35+0+0.67
=100+380+100+190+1660+120+240+901+172+103.3
</t>
  </si>
  <si>
    <t>Went to bed at 930 pm but couldn't go to bed until 10 pm and woke up to pee around 1030 pm, then the fireworks died down or out. Did the normal routine, woke up sore in L tricep and R ubns, from all the scrubbing of the couch and furntiure and floors yesterday. Gave Growly his meds with the babies' food and made my coffee after cleaning pet messes. Woke up tired, the coffee helped wake me up. Got about 8 hours of sleep from 1030 pm to 630 am when I woke up by alarm, but actually woke up 15 minutes before that and laid in bed till alarm went off. Had 1st cup of coffee then a reg BM. Then began 2nd cup of coffee. Need to get some groceries and supplies from the grocery store and clean the bathroom. I got to work later and leave by 220 pm approximately. Feet weren't swollen and ankles only slightly swollen, doesn't hurt when I lift my leg up or fill stiff and swollen with fluid while standing at computer. Measurements taken after BM and 1st cup of coffee and before 2nd cup of coffee. For breakfast had a morning star vegan beef patty and 2 slices of artesan bread with mozz and parm airfryed and 1/3 pickle in slices with a 3rd cup of coffee. I cleaned the bathroom with what was available then showered and went to Target to get a bunch of cleaning supplies and some frozen foods. Had made the box of egg rolls vegetable with the bag of cauliflower hashbrowns, but only ate about 3 of them, because without sauce they taste like eating vegetable oil. The egg rolls I had 3 for lunch, and put the rest with half the cauliflower tater tots in a plastic container for work. I put the tater tots I didn't eat in the fridge to eat later. Probably tonight. I put the Target run on my credit card because I don't get paid until Wednesday and tomorrow at the earliest. Not enough cash for the total purchase. I also washed the curtains that had a bunch of dust on them and noticed the screws loose and fixed those while making my tatertots and eggrolls after the Target trip. I had the curtains in the dryer before I ate lunch. The roommate is up early and wants them up soon as possible. Its hot out but the dj on KISS FM said its going to be a high of 80 degrees fahrenheight, yet feels like uppper 90 degrees. Tired and might take a nap before work. Had my 4th cup of coffee as instant iced mocha cold brew in a carton from Target as brand International Delights. I also had the last 1/8th boston cream pie cake before leaving for Target. For lunch I ate a double salmon poke bowl with the other 4 veggie eggrolls and 1-2 cauliflower tater tots. I had my 5th cup of coffee the same as the 4th cup on the way to work. After work, the roommate was at home but was in pain and didn't get out of bed, the porch light was off and gate unlocked. I had to login to the other computer for him but it kept shutting off, and when logging on for the 3rd time, it took forever to log on. It kept shutting off, he kept bugging me because he had to order something and refuses to use his own laptop because its not charged or his phone that he could order anything from amazon on using. It was really annoying. I was drinking an iced tequila with water trying to unwind and he had to start being his annoying loser self. I don't know why the laptop isn't holding a charge. I just got a new battery for one laptop then switched out the hard drives, but there was nothing wrong with that battery oc the Acer. I think. I got the battery for the HP, or else this battery I just got for the Acer isn't good anymore and I just got a few months ago from Amazon. I will have to check my orders. I checked and it was the HP. The Acer is acting dumb for some other reason. Went to bed around 1145 pm.</t>
  </si>
  <si>
    <t xml:space="preserve">Woke up a little before 530 am but got out of bed when I set my alarm for last night to this alarm at 545 am, have to leave by 8 to get to my indentogo fingerprint appointment in Upland at 920 am and have my regular client at noon. Then got a bunch of homework to do and get started on. The roommate was being retarded again this morning about the laptop. Its a piece of crap and keeps shutting off, won't hold a charge or stay on with it plugged in. Could be the canon cheap printer software messing it up or not having updates installed regularly. I had him on the HP alternate laptop instead. I just need to move all my files from those computers to my hard drive and I probably already have, but just in case I didn't should do it again. Did the normal routine. Made my coffee after cleaning pet messes, fed Growly his meds, he had to skip last night as I was at work, and fed the babies their food. Haven't been giving them icecream or whipped cream this last few weeks with their cat food canned in the am or pm. Updated this nutrition and got the roommate using the HP instead, which did work fine. I need to switch out the hard drives on those 2 lap tops and transfer over the HP files onto hard drive or check that I don't have those ones already. Had a reg lg BM after 1st cup of coffee and when 630 am alarm went off, was into 2nd cup of coffee, then took measurements. Went to the fingerprint place, had a lot of cuts on finger tips that interfered with the rolling of pattern, those dry hands and paper cuts over time. I already have my prints in the system from previous prints and the 2009 August incident with the worst neighbors ever. I then went to the house to upload the fingerprints, and also was notified that I needed a document filled in for financial aid from my advisor. Nice of him because I get so busy. I signed a document agreeing to terms and sent it in, all is good there. I uploaded the reciept to the Texas dept of licensing and regulation for massage with my application login. Then went to noon client's house and the new client of MLD who still had drains in. I used the new red light infrared machine for first time at my noon client's house, and had trouble starting it at first but it gets really hot and can feel the infrared on the skin, only 5 min LB and 5 min both knees bc she has High BP. The machine says no more than 30 minutes per client. But not those exact words. Then at the new client, up the street, I was too early so stopped by the Wendy's for a potato with 2 sourcreams and a butter salt and pepper. Violated the added butter for first time and totally forgot about it. I also got krispy kremes dozen and ate two when I got home after the finger prints and had some pizza rolls a serving and a cup of the instant carmel coffee. Then when I got home and did the laundry with extra detergent and in hot water as always, I ate another 2 donuts and 5th cup coffee as carmel iced coffee. For breakfast I had a Gardein vegan beef patty, 2 slices parm toast, no mozz cheese, and pickles, and serving sweet potato fries that were really good from airfryer. I have a ton of homework to do that is due tomorrow by midnight and have the SOAP notes and receipts to send out and laundry to do. No worries though, haven't even started any of her videos to take notes on and then do the worksheets to turn in and lab. I will do the SOAP notes and receipts first, then all the rest, because now at 440 pm the roommate is home being a bitch about the laptop. No work today or yesterday because his security job site closed that location or ended that contract. Didn't have SOAP notes done by 550 pm but had laundry in dryer and made a vegan beef gardein burger with 12 pcs cheese pizza rolls and mozz toast, the roommate ate all parmesan cheese, he puts a half cup in every bowl of pasta he eats. It should last longer, but buying 2 of those parmesan cheese plastic bottles every week. I had one of his mini coca colas. And finished the lecture slides of the first 2 ppts but she ended abruptly to say she would have an overview on stem cells but I didn't see it in the assignment for this one set of worksheets. Was and am reall tired. It is slightly before 9 pm. It is the other ppt on stem cells, the last 2 slides on embryonic development were not discussed. Went to bed around 9 pm, woke up around 10 pm when roommate came back from wherever and went back to sleep, then woke up at 2 am and stayed in bed until 230 am and had about 20 cheese pizza rolls at 330 am including on this day's nutrition, bc before weighing myself and went back to bed at 430 am after finishing notetaking on the first 2 LE subjects and the lab exercise 6. </t>
  </si>
  <si>
    <t>sweet potato fries, serving 12 pcs:</t>
  </si>
  <si>
    <t>1 teaspoon table salt, calorieking.com</t>
  </si>
  <si>
    <t>potato, calorieking.com</t>
  </si>
  <si>
    <t>salted butter 1 tbs, calorieking.com</t>
  </si>
  <si>
    <t>glazed or sugared donut, 3" diameter, calorieking.com</t>
  </si>
  <si>
    <t xml:space="preserve">2 gardein vegan beef patties
(420.00	22.00	18.00	40.00	14.00	2.00	900.00)
4 slices bread
(440.00	6.00	0.00	12.00	80.00	4.00	760.00)
2 tbs parm
(20	1.5	1	2	0	0	100)
1/4 cup mozz
(80	5	3.5	6	1	0	190)
27 cheese rolls
(354.38	13.50	3.38	8.44	52.31	1.69	540.00)
4 donuts, 2 pink sprinkles, 1 glazed, 1 chocolate glazed krispe Kreme
(768.00	41.20	10.80	9.20	91.60	2.80	724.00)
mini coca cola
(90	0	0	0	25	0	30)
sweet potato fries serving
(140.00	5.00	0.00	1.00	24.00	3.00	140.00)
plain potato Wendys
(134.00	0.20	0.10	3.60	29.60	3.20	11.00)
2 tbs sourcream
(60	5	3.5	1	2	0	15)
1 teaspoon salt with potato
(0.00	0.00	0.00	0.00	0.00	0.00	2325.00)
1 tbs butter
(102.00	11.50	7.30	0.10	0.10	0.00	82.00)
2 cups/servings International Delight carmel iced coffee
(360.00	7.00	5.00	10.00	64.00	0.00	240.00)
1 pickle
(90.00	0.00	0.00	0.00	24.00	3.00	450.00)
20 cheese pizza rolls 330 am
(262.50	10.00	2.50	6.25	38.75	1.25	400.00)
=420+440+20+80+354.4+768+90+140+134+60+0+102+360+90+262.5
=22+6+1.5+5+13.5+41.2+0+5+0.2+5+0+11.5+7+0+10
=18+0+1+3.5+3.4+10.8+0+0+0.1+3.5+0+7.3+5+0+2.5
=40+12+2+6+8.4+9.2+0+1+3.6+1+0+0.1+10+0+6.25
=14+80+0+1+52.3+91.6+25+24+29.6+2+0+0.1+64+24+38.75
=2+4+0+0+1.69+2.8+0+3+3.2+0+0+0+0+3+1.25
=900+760+100+190+540+724+30+140+11+15+2325+82+240+450+400
</t>
  </si>
  <si>
    <t>Tai Pei brand Shrimp Fried Rice frozen section Albertsons Chino Hills</t>
  </si>
  <si>
    <t>2 cups carmel iced coffee
(360.00	7.00	5.00	10.00	64.00	0.00	240.00)
4 donuts, 3 glazed, 1 sugared
(768.00	41.20	10.80	9.20	91.60	2.80	724.00)
16 cheese pizza rolls
(210.00	8.00	2.00	5.00	31.00	1.00	320.00)
sweet potato fries
(140.00	5.00	0.00	1.00	24.00	3.00	140.00)
shrimp fried rice frozen section Albertsons
(400.00	11.00	1.00	12.00	63.00	2.00	890.00)
5 bags fruit snacks
(350.00	0.00	0.00	0.00	85.00	0.00	100.00)
mini coca cola
(90	0	0	0	25	0	30)
=360+768+210+140+400+350+90
=7+41.2+8+5+11+0+0
=5+10.8+2+0+1+0+0
=10+9.2+5+1+12+0+0
=64+91.6+31+24+63+85+25
=0+2.8+1+3+2+0+0
=240+724+320+140+890+100+30</t>
  </si>
  <si>
    <t xml:space="preserve">2 servings cheese pizza rolls
(420.00	16.00	4.00	10.00	62.00	2.00	640.00)
2 servings sweet potato fries
(280.00	10.00	0.00	2.00	48.00	6.00	280.00)
1 gardein vegan beef patty
(210.00	11.00	9.00	20.00	7.00	1.00	450.00)
2 slices artesan bread
(220.00	3.00	0.00	6.00	40.00	2.00	380.00)
1/4 cup mozz
(80.00	5.00	3.50	6.00	1.00	0.00	190.00)
2 tbs parm
(20	1.5	1	2	0	0	100)
3 fruit snacks
(210.00	0.00	0.00	0.00	51.00	0.00	60.00)
=420+280+210+220+80+20+210
=16+10+11+3+5+1.5+0
=4+0+9+0+3.5+1+0
=10+2+20+6+6+2+0
=62+48+7+40+1+0+51
=2+6+1+2+0+0+0
=640+280+450+380+190+100+60
</t>
  </si>
  <si>
    <t>Woke up at 530 and peed and took babies out to pee, then went back to bed until 630 am, and snoozed alarm for 10 minutes then got out of bed while roommate was unloading from work. Made my coffee, felt tired, folded linens from yesterday, made the babies their food and fed Growly before folding linens, the roommate took them out of the dryer to put wash load in dryer and his clothes in washer. Then made the SOAP notes and receipts for last night clients or late afternoon clients, then checked out SOAP notes of the prospective clients for MLD sometime soon, like one this morning at 10 am in Chino, then a return new client already prepaid at 1230 pm in Eastvale for MLD. Many people are having liposuction or full mommy makeovers with Brazilian Butt Lifts or BBL and need the manual lymphatic drainage as soon as possible and recurring to prevent scarring and adipose effects post-op that are permanent if not taken care of regularly and early in healing stage, but also with their surgeon's approval. Had a reg lg BM while making 2nd client's SOAP notes online, and while finishing 2nd cup of coffee. Not tired but have lots of homework to do and start, the next assignments are due tomorrow by midnight, and a lab exam to study for and flashcards to make to study for the exams on the lecture material. I also have the LE prerecorded video to watch, a couple of them on this chapter and the zoom meeting recorded from Wed morning. A full day. Measurements taken after BM, 2 cups of coffee, and before breakfast. My ankles and feet are still swollen from yesterday but not as much. Made a 3rd cup of coffee and sweet potato fries and cheese pizza rolls in the airfryer before going to my morning client's house and before showering around 9 am planned. Didn't shower, did the prepping of laundry, then washed face, put deodorant on and makeup on, and left for new client. She signed up for 10 pkg MLD, then next client, doing great had her drains slowing down. The first client had a BBL retouch lipo360 2 days ago. Not really any bruising on either clients, both of them don't really like the BBL pillow, the 2nd doesn't like using it. The 3rd client was thinking about signing up but decided to try it out a few times at the $60 price and then pay the difference after she decides if she likes it for her post-op 1 week lipo and BBL, not lipo 360, only from midsection not the arms and thighs. I had a 4th cup of plain instant coffee between the 10 am and 1230 pm client. Was able to stop off at the house to put in the laundry and wait till the end to start it after each appointment. Didn't start the hw, but was considering maybe dropping or taking the P/NP option. The deadline is 75% of the semester, this is at 50% 3rd week of 6 weeks. I am already in the chiropractic program, but don't want to stress over making the grade that takes my all and cancelling availability for clients. Had a glass of tequila on ice instead of 5th cup of coffee around 430 pm. And did the notes on the day so far and ate the same thing for breakfast as for lunch same time as 1st drink. But less pizza rolls, shared with babies, so like 80% of the serving of cheese pizza rolls. Then around 7 pm had a gardein vegan beef patty on mozz and parm toast no olive oil and 1/3 pickle in slices, and 3 bags of fruit snacks. Had 2 drinks by then. Didn't start the homework.  Started the homework and went to bed around 830 am, slightly before, to take a nap, and get up and work on it some more. I only got through looking at the inheritance lectures and practice problem videos and note taking. I didn't get up to do homework until after 3 am</t>
  </si>
  <si>
    <t>Woke up at 530 am by alarm got out of bed at 6 am, bc I went o bed at 9 pm and woke up at 230 am to study and finish the notetaking on lectures to ppt slides for assignments due by midnight tonight. Had some cheese rolls approx 20 of them around 330 am, bed again at 430 am for an additional hour, got about 6 hours of sleep. No pet messes to clean at this time, was one at 230 am. Made my 3rd cup of coffee, had 2 cups at 230 and 330 am of coffee. Folded the laundry after feeding the babies and giving Growly his meds. Then updated this nutrition. Had a reg BM, noted later after this day, because every day I have had a BM, but must not have had one until after updating this nutrition but before work. I Have a regular client today after work at 7 pm. They are cute, the cat and her. Had a glazed and sugared cinnamon krispy kreme donut with a 4th cup of coffee as the carmel iced coffee. Then took measurements and got ready for work. At lunch time I got some wet catfood for the babies, they were down to two cans, and myself some frozen PF Changs or similar shrimp fried rice I microwaved in my van. Not bad, but not great. I had the last cup of the carmel iced coffee for 5th cup of day. After lunch, my regular called off, and he was late but was willing to pay 1/2 hour if I would stay but had to do studying and couldn't afford it time wise for 3 assignments due today by 11:59 pm. I had a reg client on side book one of his remaining 2 credits of monthly membership massages, he just got back from LV, his babies mama is my client for MLD, she booked the appt under her name. That was at 530 and was slightly late a few minutes to reg client in Yorba Linda, they live in Eastvale. But made it. Did finish the assignments on time with 9 minutes to spare. Ankles, knees, feet swollen by time I had a drink. My tequila over ice tastes like poison, like sunscreen. Everything tastes like sunscreen zinc or medicinal poisoning. my babies managed to make the house floors look like they weren't just deep cleaned. I got the covers or wetpad protectors for furniture but too loose to stay in place, but atleast they cover the couch and recliner size chair. I am starting to get a lot of MLD requests from new clients, have a new one tomorrow, and one after her I just booked a 10 pkg deal with a few days ago. This one tomorrow might get the 10 pkg, and sounded certain of it, but I will see. Also one in Corona texted back and forth with me too. Biz is booming and lack of time to do assignments for summer course dwindling. But I have time this weekend. Not a big deal. I am already in at the chiropractice school. Finanacial aid should cover all the expenses. Still waiting to see. Thats why I want to keep taking courses if some unforseen circumstance prevents me starting chiropractic school. Also, waiting on the TX licensing. I didn't get my official transcripts sent over. My school closed, but will have to do that, probably. I will maybe call tomorrow and see if I can avoid the $125 fee to have the CAMTC send their copy as my school closed and is unavailable to send them. I only uploaded my own copies I keep with important documents. Today early am was a couple donuts, at lunch the shrimp fried rice, when I got home, a little filling in of a worksheet for course biology, and ate some sweet potato fries, and serving of cheese pizza rolls. Had the 2 carmel iced coffees. Also had 5 bags of fruit snacks, then when I got home, had a couple more donuts, glazed and sugared. I dropped one glazed and threw it away. Didn't get a chance to do SOAP notes or the receipts other than quick notes in notebook of clients SOAP notes. Time was 1250 am now. Need rest to shrink ankle size, but noting nutrition to update later and day's events. Also, had a mini coca cola while working on worksheets to turn in tonight and eating donuts. Went to bed around 1250 am, almost 1 am.</t>
  </si>
  <si>
    <t>chives 2 tbs calorieking.com</t>
  </si>
  <si>
    <t>poke bowl salmon/ahi tuna/brown rice/sesame seeds/cucumber/ginger/wasabi/ponzu sauce/spicy mayo</t>
  </si>
  <si>
    <t xml:space="preserve">9 cheese pizza rolls
(118.13	4.50	1.13	2.81	17.44	0.56	180.00) 
gardein vegan beef patty
(210.00	11.00	9.00	20.00	7.00	1.00	450.00)
2 slices bread
(220.00	3.00	0.00	6.00	40.00	2.00	380.00)
2 tbs parm
(20	1.5	1	2	0	0	100)
2 tbs mozz
(80	5	3.5	6	1	0	190)
1/3 pickle
(60.00	0.00	0.00	0.00	16.00	2.00	300.00)
4 tbs cream cheese
(204.00	20.40	12.80	4.40	1.60	0.00	172.00)
poke bowl ahi tuna, salmon, ginger, cucumbers, brown rice, green onions, spicy mayo, house ponzu sauce, sesame seeds
(610.00	15.20	3.20	23.60	93.90	7.00	1954.00)
7 fruit snacks
(490.00	0.00	0.00	0.00	119.00	0.00	140.00)
1 1/2 cans coca cola
(270.00	0.00	0.00	0.00	75.00	0.00	90.00)
=118.1+210+220+20+80+60+204+610+490+270
=4.5+11+3+1.5+5+0+20.4+15.2+0+0
=1.13+9+0+1+3.5+0+12.8+3.2+0+0
=2.81+20+6+2+6+0+4.4+23.6+0+0
=17.4+7+40+0+1+16+1.6+93.9+119+75
=0.56+1+2+0+0+2+0+7+0+0
=180+450+380+100+190+300+172+1954+140+90
</t>
  </si>
  <si>
    <t>Woke up off and on at 10 pm and 1230 am and 3 am and laid in bed at 3 am until 330 am and got out of bed. I finished the ppt slides for reading what I watched on the video yesterday before bed, and then handwrote in the questions but didn't answer them, and answered some of the worksheet 7 questions. Had a couple cups of coffee and a tiny BM while working on homework and after folding the linens and putting away. I ate about 9 cheese pizza rolls and made the rest of the vegan chicken strips and fed two to the babies Growly and Goody.Had a 3rd cup of coffee with breakfast. Princess was tired but she did have a third of one. Saved the other 3 for later. Took a nap for 20 minutes at 6 am then woke up. Had another sm BM. Then updated this database. Took measurements (after breakfast and 3 cups of coffee earlier before nap) at 7:18 am. Breakfast was around 5 am with the 3rd cup of coffee. Then showered before 730 am. The roommate wasn't home at 630 am the normal time he arrives from work. Not unusual, some of the workers are late or don't show till later. The roommate got home after my shower. Wanting me to check his order arrivals from amazon and target. Went to work and for lunch had a poke bowl, added green onions, and substituted one scoop salmon for tuna, with cream cheese and other scoop salmon, and added spicy mayo too. Only a minor change from normal, with an ice cup of 1 can coca cola, then at work 10 minutes early from break had 4th cup of coffee with 4 carmel machiato International Delight creamers. At home had a Gardein patty with parm/mozz toast and pickles, and a shot of tequila on ice. Finished my assignments for the day. Have a client added to my schedule tomorrow that I haven't seen since the super bowl in February tomorrow night after 8 pm. Not a lot of food items eaten today. Also had 5-7 fruit snacks, and left one out from the last of the box bought about 3 weeks ago from Target. And a mini coca cola with my gardein burger. Went to bed around 1130 pm to 1145 pm. By middle of the day studying, my ankles and feet were swollen, especially the left side. Did some dry brushing and felt a bunch of fluid in right leg and saw the puffiness in both ankles and feet and swollen calves/shins. Didn't remove the fluid with just the dry brushing.</t>
  </si>
  <si>
    <t xml:space="preserve">Woke up at 530 but not by alarm, got out of bed at 530 am but woke up at 445 am to pee and laid in bed napping and waking up until the alarm went off. Coffee, Growly's meds, babies fed, updated this nutrition portion of db. Had 2 cups of coffee and a sm BM after 1st cup coffee. Have to leave for work by 720 am today. Its Saturday, I have studying to do, and an exercise 6 lab to finish the portion not turned in on Wed, that I didn't do at all, this exam is due tomorrow at 1159 pm on the labs from the last 3 weeks. There was going to be a study session but no internet for instructor in Mammoth on vacation, so she said she would turn in answers somewhere. I havea  return client later tonight, local, but last time on Super Bowl Sunday, there was no parking, I had to drive around. It is at 815 pm for an hour. She usually gets an hour and a half. I have had almost 100 appointments since 2/7/2021 when I saw her last. And it is 7/10/2021, so that is about 5 months. they are just on the side, some months more than others. Varied pricing for separate package deals. I woke up with the right side still really swollen and the foot, but it went down some, just feel pressure in the leg and foot when flexing or moving it, but not in the right one, it looks somewhat normal only a tiny bit of swelling around the ankle bones. Took measurements while finishing up 2nd cup of coffee. For lunch had the same as breakfast plus the last fruit snacks. Thats a parm/moss toast with pickles and MorningStar Vegan beef patty sandwhich. I found out that when I updated my blink account to pay through Amazon a subscription it doesn't record the clips anymore and pissed me off, because a whole process of somehow manually adding each device, I tried a loop circuit of unlinking and linking amazon account I alreay subscribed to then only option deleted blink account and had to restart the whole process of connecting cams, and had no recordings from after this morning due to thinking I had updated billing and cancelled the free subscription. It was never linked, even though Blink says its linked to my Amazon account, it it paid for but not recording the clips to anywhere for whatever retarded reason. Pissed me off, made me sweat with that and the heat while in my van and hearing the alerts go off for movements but not able to record due to cancelling account. I cancelled account thinking it would open the door to allowing me to link to Amazon, but of course its a whole process, tech support didn't answer the phone both attempts. I had a drink when I got home and took out the van dash cam, bc I forgot to mention I almost got in a wreck yesterday due to some asshole and another driving a stone hauling double bed truck on 71 yesterday morning. He got pissed I cut in front, and he cut in front of me, then I noticed he was also driving a company vehicle, blah blah blah, and I need to get the video clips. No wreck, but for the scoreboard another misogynist, he actually pulled aside to let me in once he saw I almost got in a wreck getting his side panel information for whatever construction type business he operates. Of course, I get home into 2nd drink, no worries, this client is cheap and has no parking, I didn't get to speak with her last time, she doesn't tip, is my race or my mom's Filipino, and has no parking, double emphasis, bc I don't like to think I am going to lose more in tow fees and loss of peace of mind while delivering massage services to locals at a discounted price. I do give her my regular price and she doesn't get any discounts and pays with zelle so I don't lose any 3-5% fees. They take a grip but give me my scheduling app for free. I tried connecting and got as far as the indoor camera, then samsung updated my phone and blocked time. Fuck it, what the fuck else right? I mean I only have an exam to study for in lab, but not too worried bc its the labs and not that much additional information in biology, and its due tomorrow night. Onto my 2nd tequila drink, the landlord is next door with the plumber and they are fixing up the side duplex to rent. I would love to make it a massage studio just to not have to deal with neighbors or sharing of the backyard where I take my pups, and I average $1200 a month, but could get more clients if I put the outdoor exercise equipment in there and a massage studio with all supplies and rented out space to other independent contractor massage therapists who pass my tests for approval. The parking thing sucks, but there is street parking and a little walk, not so bad, might have to park on the street in the days and open up parking in the day for them. He is renting it for $1800 a month. We pay $1500. Cool, so I just spoke to the landlord and he was ok with a massage studio and plans on having it ready in 2 months. So, I got first dibs. Finishing up my 2nd drink. I don't give a fuck that he probably knows I had a drink or almost two. Anyhow. This is totally doable as all of my biz money is extra money, and I also have extra money, so I could put the gym equipment in the other duplex and the massage studio, it is a 2 1/2 bedroom so we can figure something out, maybe get my nieces to work, or hire some people, but I would need a Tax ID number instead of my Social Security Number, SSN, woo-woo. I got this! hit up victims of police harassment and get my clients there. Awesome! Get in some other folks too, but my prices are very competitive as in good for consumers but about at the minimal for workers. So somehow find a median. It don't matter though, because the landlord already said it was ok to have a massage studio. Super cool. Anyhow had 2 drinks, then a coffee, had another sm BM between the drinks and coffee, studied a bit and texted the guy who texted me out of the blue who bought the Dodge Charger a month ago. Then went to the client's house on time, and found parking but wrong address. The service address on jotform said that address, but the square app said her mom's address in S Corona. I told her I can't let her book anymore and apologized. This should have been communicated earlier. No worries, had time to review exercise 6 of lab, no real studying done, but I will tomorrow on all the review items on labs. Made a pan of pkg beyond meat, zucchini, cashews, and brussel sprouts in olive oil. Had 2 bowls. Had 5th cup of coffee after 2 drinks ended by 5 pm but started around 330 pm. At work had the 4th cup of coffee with the 4 creamers, 3 hazelnut and 1 carmel machiato. Bed time somewhat early, am tired, plan on waking up early refreshed and able to study. When I have to study, I am just going to tell any clients I haven't seen in a while that I can't massage until done for the planned study day be it today or tomorrow. </t>
  </si>
  <si>
    <t>pan of pkg beyond meat, 1 zucchini, approx 9 brussel sprouts, 2 tbs olive oil, 1/3 cup cashews, makes 3 bowls</t>
  </si>
  <si>
    <t>bowl of veggie beyond bruss/zucc/cashw/OO</t>
  </si>
  <si>
    <t xml:space="preserve">2 vegan beef patties morning star
(160.00	2.00	0.00	2.00	32.00	5.00	200.00)
4 slices artesan bread
(440.00	6.00	0.00	12.00	80.00	4.00	760.00)
4 tbs parm
(40.00	3.00	2.00	4.00	0.00	0.00	200.00)
1/2 cup mozz
(160.00	10.00	7.00	12.00	2.00	0.00	380.00)
2 bowls beyond meat, brussel sprouts, cashews, zuchini, olive oil
(1907.33 118.07	19.40	64.53	143.80	7.80	1416.27)
4 hazelnut (3) and (1) carmel machiato coffee creamers
(140.00	6.00	0.00	0.00	20.00	0.00	60.00)
5 cups coffee, 5th cup after 2 drinks after work around 3 pm.
1 fruit snack pack, last one for lunch
(70.00	0.00	0.00	0.00	17.00	0.00	20.00)
=160+440+40+160+1907+140+70
=2+6+3+10+118+6+0
=0+0+2+7+19.4+0+0
=2+12+4+12+64.53+0+0
=32+80+0+2+143.8+20+17
=5+4+0+0+7.8+0+0
=200+760+200+380+1416+60+20
</t>
  </si>
  <si>
    <t>sesame seed oil, 2 tbs, calorieking.com</t>
  </si>
  <si>
    <t>poki bowl double salmon, brown rice, wasabi, ginger, sesame oil, sesame seeds, cream cheese</t>
  </si>
  <si>
    <t>Del Monte tomato sauce spaghetti sauce, 1/2 cup serving, sm can. 3.5 servings per can, slightly less than 2 cups, 1/2 cup serving:</t>
  </si>
  <si>
    <t xml:space="preserve">Penne pea protein pasta barilla, beyond pkg 4 serv per pkg, 3 apples, 2 tbs olive oil, makes 4 bowls, 7/12/2021 recipe, pot: </t>
  </si>
  <si>
    <t>Barilla red lentil pasta 4.5 servings of 2 oz servings, 4.5 servings per box, box:</t>
  </si>
  <si>
    <t>bowl penne pasta 7/12 recipe:</t>
  </si>
  <si>
    <t>Woke up at 430 am with upper abs aching, a bit, not a lot, like the burnt blackened carcinogenic food I pan cooked yesterday on stove of brussel sprouts, cashews, beyond meat and zucchini and olive oil wasn't sitting right. I did normal routine, no pet messes to clean, took babies outside, had coffee, fed Growly his meds and the babies their food, started finishing up exercise 6 activities on mitosis and meiosis that wasn't required to turn into the worksheet turned in Wednesday. I had a tiny BM, then another one while finishing 2nd cup coffee, and another by 3rd cup of coffee, and abdomen felt a little better, but that black burnt stuff in food should not have been eaten as I know it is a carcinogen. My legs and feet and ankles still swollen, more so on Left leg. A little pinge of pain in Right knee that went away that was random after massaging it less than a minute. Finished up the exercise 6 lab activity around 645 am and the 3rd cup of coffee and had a total of 3 sm-reg BMs. Have to review the lab revew sheet on page 99 of lab manual and make sure I know the items listed. I ate the last of the brussel sprouts and beyond meat and shared some with the babies. I took out most of the burnt pieces. They love it. Updated this nutrition from yesterday and then took measurements. Took measurements after breakfast and before showering. The roommate came home around the end of taking measurements 7:35 am. I am trying to eat less sodium, so for lunch I had a poki bowl with double salmon, ginger, sesame seeds, brown rice, wasabi, and sesame oil instead of house ponzu sauce or spicy mayo. Not tastey without it btw. And I had cucumbers on it, but they mixed a red onion in with it that stank disgusting, and had to remove all the cucumbers from the bowl to eat it and seal off the red onion in the bag it came with. I did the studying and had a snack after a while, around 8 pm and took exam for the labs from first half of summer term around 920 pm. For the snack I tried making a quesadilla pizza in air fryer with 1 tortilla flour, pasta sauce Priano, mozz cheese and 3 chopped brussel sprouts. Didn't come out good at all, wet in middle, crispy on edges and brussel sprouts had some type of dark spots on it that was cut out. I ate about 1/2 of it and threw away the rest. Then I took exam about 920 pm and ended about 1/2 hour later or so. We weren't allowed to use notes so I didn't, wouldn't matter much anyways as my notes didn't really have any of the questions I was forgetful on. Only a few or one. So not a big deal. New week, another 3 chapters to squeeze in, complete assignments for, and test take on. Only 3 more weeks of hell for now. Partially joking. My ankles and calves are ridiculously fat and not in proportion to my body, afterwards had two drinks of tequila with ice water. Was doing laundry all day since back from work while studying because one of the babies, probably Goody, peed on my pillow, and some on the bed, had to wash mattress pads, pillow and the linens. The pillow is a memory foam and dried it a little in dryer with it sounding like a dead body in there or shoes like horror films show, and took out to air dry then put my clothes in it. Looked up prices for speed queen washer and dryers and wow! super expensive, not cheaper than $950 for washer and same price for dryer and for commercial used is $2000. So, might just get the Lowes ones. If I rent out the next door, I could get another couple people with me, and would have some dirty linens to wash and dry every day, so something to consider. Even expensive washing machines break and put a biz out of service and convenience when that happens. Went to bed around 12 am. I forgot to add that I ate 3 pcs of hersheys toffee and almond snack size chocolate candies.</t>
  </si>
  <si>
    <t xml:space="preserve">bowl bruss/zucc/cashw/beyond
(953.67	59.03	9.70	32.27	71.90	3.90	708.13)
double salmon, ginger, wasabi, brown rice, sesame seeds, and sesame oil, low sodium avoided ponzu house sauce and avoided spicy mayo
(992.00	62.00	19.90	25.70	84.90	6.80	574.00)
1/2 flour tortilla
(84.00	2.00	0.50	2.00	13.50	0.50	150.50)
1/8 pasta sauce
(45.00	1.75	0.50	1.50	6.00	1.50	230.00)
1/4 mozz
(80.00	5.00	3.50	6.00	1.00	0.00	190.00)
2 brussel sprouts
(280.00	12.00	0.00	0.00	40.00	0.00	120.00)
hersheys toffee almond chocolate 3 pcs
(150	9	5	2	17	1	50)
=953.67+992+84+45+80+280+150
=59+62+2+1.8+5+12+9
=9.7+19.9+0.5+0.5+3.5+0+5
=32.3+26+2+1.5+6+0+2
=71.9+84.9+13.5+6+1+40+17
=3.9+6.8+0.5+1.5+0+0+1
=708+574+150.5+230+190+120+50
</t>
  </si>
  <si>
    <t>Woke up at 530 am, peed, and went back to bed, just layed there, bc I needed to get my legs to alleviate fluid from low limbs. Wasn't really tired, got out of bed when alarm went off at 630 am, tried napping, but couldn't between 530 am and 630 am. Cleared schedule for end of July and early Aug due to finals, with final that Thursday, and possibly going on vacation early Aug somewhere. Since work is closed for remodeling the first 3 days of Aug. I also cleared schedule for the weekend before finals to study. Got exams due, a final exam, worksheets, quizzes, lab exams to study for. A bunch of stuff. Good thing I didn't try cramming the chemistry 1B into summer because its 5 units. Did normal routine, coffee, Growly's meds, fed babies, had a reg BM after 1st cup of coffee, fed alley cat while drinking 2nd cup of coffee - not part of daily routine like that. Have work later and the zoom meeting for lecture at 9 am. I need to stick to a low sodium diet. Or start eating more protein drinks and low sodium as well as low carbs diet. Retaining water for weeks and months even and gaining weight. No soy sauce or pasta sauces at a minimal or not at all. I will make the penne vegan pasta with beyond meat with cheese, and pick out items that are low sodium from my nutritional data to pick from. Made a pot of penne red lentil pasta, beyond meat, 3 apples, and 2 tbs olive oil, then had a bowl with mozz. Updated this nutrition and took measurements after breakfast.Planning to have 2 more bowls and only that for lunch and dinner at work. I thought lecture was at 9 am but its at 10 am. Want to take a nap, feeling tired. Just finished the 3rd cup of coffee, then had a 2nd BM but it was diarhea, My stomach doesn't feel sick though, nor my temperature. Hopefully not sick. Ate a dark chocolate covered donut and a white powder donut at beginning of zoom lecture, then took a nap afterwards for about 15 minutes and had my 2nd bowl of the penne pasta with the mozz/prov Good&amp;Gather brand shredded cheese in airfryer like baked ziti or similar in about 5 minutes. Shared with babies of course, then checked some emails, I have had a few clients inquire about some appointments, that I have had a month or more ago. One wants to subscribe to the monthly plan, the other asked what the most massages I do in a day is. I know the last one is having a wedding soon, or planned, as she was recently engaged, and I haven't heard from her since replying 1-5 households for 1-3 hours each on days off and a reply to what days as Tue and Thur. That was last night. She gets busy and could be planning a sort of spa day with her bridesmaids or family. I got ready for work now at 1 pm plus a few minutes. Added the mozz/parm to 3rd bowl pasta at work on lunch break already in it but microwaved it, had 5th cup of coffee at work with 4 carmel machiato creamers, and the 4th before work while getting ready. At home after work around 1030 pm had a drink then the last of the bottle for 2nd drink of tequila iced water. And reviewed the lab of exercise 8 and got some answers to the questions in the lecture prerecorded lab videos. Had a tiny BM before bedtime. Went to bed around 12 am. Started my rag at work, Felt it wet and wasn't sure why, am getting older and wanted to make sure I wasn't peeing myself but it was blood from my menstruation. At this point, I survived cancer and have a big fibroid, so it is possible but thankfully hasn't gotten to that point. I still have bladder and bowel control and should forever. Nobody can control their uterine blood flow and monthly cycle naturally.</t>
  </si>
  <si>
    <t xml:space="preserve">3 bowls penne pasta red lentil beyond 3 apples 2 tbs olive oil
(1707.00	80.29	18.00	104.55	163.28	31.88	1050.00)
mozz 1/4 cup
(80.00	5.00	3.50	6.00	1.00	0.00	190.00)
2 donuts white powder after chocolate of roommate's Winco bakery
(480	24	12	4	62	0	440)
mozz/prov blend Good&amp;Gather for 2nd bowl of pasta airfryed
(90	6	3.5	7	2	0	200)
mozz/prov blend Good&amp;Gather for 2nd bowl of pasta airfryed
(90	6	3.5	7	2	0	200)
4 coffee creamers carmel machiato at work with 5th cup coffee
(140.00	6.00	0.00	0.00	20.00	0.00	60.00)
=1707+80+480+90+90+140
=80.29+5+24+6+6+6
=18+3.5+12+3.5+3.5+0
=104.55+6+4+7+7+0
=163.28+1+62+2+2+20
=31.88+0+0+0+0+0
=1050+190+440+200+200+60
</t>
  </si>
  <si>
    <t xml:space="preserve">bowl penne pasta from 7/12/21 yesterday
(569.00	26.76	6.00	34.85	54.43	10.63	350.00)
1/4 cup mozz/prov cheese
(90	6	3.5	7	2	0	200)
1 slice artesan bread
(110.00	1.50	0.00	3.00	20.00	1.00	190.00)
1/4 cup mozz/prov
(90	6	3.5	7	2	0	200)
Gardein vegan beef patty
(210.00	11.00	9.00	20.00	7.00	1.00	450.00)
1/4 cup cashews
(164	13.5	2.5	4.7	8.4	0.9	4)
bowl penne pasta from 7/12/21 yesterday
(569.00	26.76	6.00	34.85	54.43	10.63	350.00)
1/4 cup mozz/prov cheese
(90	6	3.5	7	2	0	200)
=569+90+110+90+210+164+569+90
=26.76+6+1.5+6+11+13.5+26.76+6
=6+3.5+0+3.5+9+2.5+6+3.5
=34.85+7+3+7+20+4.7+34.85+7
=54.43+2+20+2+7+8.4+54.43+2
=10.63+0+1+0+0+0.9+10.63+0
=350+200+190+200+450+4+350+200
</t>
  </si>
  <si>
    <t>Woke up at 6 am and took babies out to pee then laid in bed until alarm went off at 630 am. Princess was crawling all over the place and me and annoying. Couldn't sleep. Did normal routine of coffee and Growly's meds and fed the babies. The area by the sink smelled like something died, so when the roommate got back when making the babies food I had him check it out, he didn't see anything under or around the sink and ran the garbage disposal to see if that was it. We have had a mouse a year or two ago that hid under there and left his mouse droppings but it died and all that was cleaned out when the electricians and the landlord's workers came over to fix the electrical wire they crossed to the next door that caused our garbage disposal not to work. That was fixed at that time. Got some homework to do, a 10 am MLD client, regular client at noon, and a 315 MLD client all local Chino, Norco, Corona. Ankles and ft weren't as swollen this morning, probably got about 6 hours of sleep, my rag isn't heavy yet. Hopefully not at all today until home after work, because I don't like bleeding heavy going to each client mobily or at work. Having to constantly change the pad or leak around my pants from so much blood. Having a little bit more blood early morning and a sm BM after 1st cup of coffee and before measurements and breakfast. Then a 2nd cup of coffee while I read through the lab and finished the exercise 8 lab before showering and getting ready for clients. Had a bowl of pasta about an hour after measurements, should have been the last bowl of the pot, but one more, these bowls were smaller. So the pot actually made 5 bowls, but I will keep it there anyways, because its all approximate. Added the mozz/prov cheese in airfryer, then had 3rd cup of coffee to prevent a headache. Started getting one yesterday at work, but had to leave the 2 hour appointment to get water the last 35 minutes and it helped the aura migraine blinding light kaleidoscope go away 20 minutes later. And no pain in the headache later at home, could be bc I also had a couple drinks. Who knows? Four households and five clients, two were a couples, two were MLD, and one new monthly membership. Got back by 8 pm and did laundry, dishes, notes, broke open the grey goose for a drink, starting to feel like a headache coming on. or aura migraine. Haven't restarted my homework, but the lab assignment part is done and some of the exercises, not the worksheet, but doesn't look difficult, and a worksheet due tomorrow. Hopefully only one, could be more. I will know after I do all my client's soap notes. Only went over the LE slides, 1/3 of them and went to bed. Had a couple vodka ice water total while doing laundry and SOAP notes and receipts and emailing out.</t>
  </si>
  <si>
    <t>pasta 7/14/21 recipe: penne red fennel/beyond meat/cashews/broccoli/olive oil</t>
  </si>
  <si>
    <t>bowl pasta penne 7/14</t>
  </si>
  <si>
    <t xml:space="preserve">3 bowls penne pasta brocc/beyond/olive oil/casews
(1713.75	90.44	19.91	109.65	140.55	28.43	1075.52)
3/4 cup mozz
(240.00	15.00	10.50	18.00	3.00	0.00	570.00)
=1713.75+240
=90.44+15
=19.91+10.5
=109.65+18
=140.55+3
=28.43+0
=1075.52+570
</t>
  </si>
  <si>
    <t>Woke up at 5 am peed, laid in bed till alarm at 530 am, did normal routine, coffee, Growly's meds, fed babies, folded 5 sets of linens, covers, towels, and had to redry some in more than full load. Then done folding by 630 am and made a pot of pasta, red lentil penne/beyond meat/broccoli florets/cashews, found the cashews thrown on bottom shelf behind the pancakes. They were in the fridge, lost them with last recipe, had a bowl rushed with mozz cheese G&amp;G brand Target. Filled in this database rushed, and took measurements, bleeding med heavy and no BM. Have two clients today after work and assignments due, but can upload them partially and then upload the finished assignments for full credit, I believe. Measuring tape was sticking to me bc sweaty, hot and sort of humid. Showered around 745 am after taking measurements in the middle of finishing a bowl of pasta. Makes 4 bowls, 4.5 servings per pkg pasta, and 4 servings beyond meat per pkg. Had a bowl for breakfast with mozz, same for lunch, and late night at around 9pm. I had my MLD client in Eastvale area/Jurupa Valley at 4 pm and then did grocery shopping at Winco to get cat food and water and paper towels and toilet paper, then stopped by the house to change my pad a heavy menstruation day, not super heavy with clots but reg heavy. Then went to my client's in Yorba Linda at 7 pm. Left the house around 635-640 pm. A lot of stop lights to work this morning and at that time in Corona. The one at W Grand and Sixth street was really long turning left onto sixth st from Grand blvd. There are video cameras on all of these street corners too, but the city is directing traffic to make you lose 5+ minutes at each light, was waiting there opposite a firetruck across from me gave me anxiety, did not like it and didn't wear my waist trimmer either today. Not sure if that had anything to do with it, but I really noticed I don't like white males judging me from across the street. Reminds me of white privilege and not a fan. My dad called me on the way to work while merging onto the freeway, saying how he is doing and asked what everyone is doing because nobody checks in with him. I told him I would be able to do his taxes for him if he has all his documents, and he does for the most part. He said my health is more important than staying so busy. My dad is a white male. And I love him. I think I really don't like white males, because I feel like Patrick at work is a little prick that is a big attention seeking baby that gets on my nerves and realized that when I got to work. Every racial group at work seems racist, the Mexicans speak spanish, the Asians the same, and the white people talk about bias news out in the open like its not racist when viewing it on tv in the break room about that time when the blacks were going to get reparations many months ago for ancestral inhumanities their families endured. They are not genuinely friendly people. Most people who go there notice that and don't stick around too long, and not because its not busy. Its because of the workers I am thinking. I did the worksheet and turned it in and took the quiz by 10 pm. Got 10/10 on quiz after watching the video. I also had a vodka iced water before completing worksheet and watching video and taking notes on the things she said. I already knew most of it from genetics and it was on the genetics of protein building from nucleus to cytoplasm and DNA to protein. Went to bed without making the two clients' SOAP notes or receipts around 11 pm. No BM all day nor felt like it nor constipated. Didn't wear waist trimmer, but did eat low sodium and higher protein content and avoided sweets.</t>
  </si>
  <si>
    <t>beyond/broccoli/apples/cashews airfryed pot makes 3 bowls:</t>
  </si>
  <si>
    <t xml:space="preserve">bowl penne pasta
(571.25	30.15	6.64	36.55	46.85	9.48	358.51)
mozz 1/4 cup
(80.00	5.00	3.50	6.00	1.00	0.00	190.00)
gardein patty
(210.00	11.00	9.00	20.00	7.00	1.00	450.00)
broccoli
(31.00	0.34	0.04	3.00	6.00	2.00	30.03)
bowl beyond/broccoli/cashews/apples
(473.67	28.71	7.51	29.53	26.37	6.13	478.01)
=571.25+80+210+31+473.67
=30.15+5+11+0.34+28.7
=6.64+3.5+9+0.04+7.51
=36.55+6+20+3+29.53
=46.85+1+7+6+26.37
=9.48+0+1+2+6.13
=358.51+190+450+30.03+478.01
</t>
  </si>
  <si>
    <t>Woke up at 6 am and laid back down, alarm went off when I was starting to dream and made me really tired. The roommate got home at that time and I let him clean up the pet messes and unload his stuff then got read for the day, made the coffee, fed Growly and the babies, Growly didn't eat his food with meds in it. He isn't feeling well. I put him outside to eat his meds, but he stayed out there 20 minutes and didn't eat it. I need to refill his meds too. I have a 10 am in Chino this morning. Noticed my ankles aren't that swollen today, and almost all gone from ankles. Must have been my super high sodium and sweets filled diet. The pasta I made left out pasta sauce due to the high sodium content. Had a cup of coffee and updated this data base but don't feel like a BM is moving with nature soon. Could be wrong. Maybe a few more cups of coffee. I didn't have one at all yesterday. I will wear my waist trimmer today even though not at work because my waist starts getting big if I don't, and I want to keep it as small as possible with this fibroid. My knee has been hurting yesterday and the day before when it was noticed hurting three days ago after massaging my noon Tue client with knee arthritis, used last of other client's CBD and have the work brand. It works. Yesterday I was doing an hour stretch session, first time, and it was a 230 pound ex athlete guy, and felt something in shoulder like a shoulder pull that turned into a knot. On my break I massaged it with my hand and my massage cane and put some of the menthol Massage Envy sponsored partnership brand CBD body butter on it with biofreeze and used the massage cane and the pain, no lie, went away. I didn't feel it the rest of the day or even now as typing. My client contacted me about her brand that she sells for Amway, but it was to fill out a survey. I asked if she and her husband are going out this weekend bc they weren't on the schedule when she wanted to be a few weeks ago. I saw them there, and then I didn't, but on Square, it usually notifies me when I get a cancellation or edit to the appointment or a new appointment. This time it didn't and was genuinely wondering if she actually scheduled it in when I was certain I saw them there for that time at 515 pm this Friday. Its ok. Not a big deal. Took measurements before breakfast and before a BM. Lost a few pounds, probably was water weight from the diet of high sodium foods. Had a tiny BM before breakfast and 3rd cup coffee. Thought my client was at 10 am, but I got there then checked and it is 4 pm. Shouldve checked first. Was texting back and forth with same client asked many able to massage a day and didn't hear from for a few days, wanting 4 people massaged today if not too late, but unable, she said early Aug. works. Got home and finished the lab exercise 9, that will be quized on evolution. Didn't watch the lecture but reviewed confusing slides, bc of plant seeds predicting for next round simulating next gen being more than seeds started with and initially thinking it was supposed to be less, since the birds ate some. BUt realized it mimicks an assumed equation for evolution based on the seeds left and started with. Tired by 1250 pm. Got the couples tomorrow after all pushed back a couple hours, bc have a regular MLD new one, at their normal time. Will get back late tomorrow, and my 4 pm today, will get back by 6 pm. For brkfst had last bowl penne pasta with the mozz in airfryer, and a gardein patty with about 4 broccoli florets for lunch while finishing assignment on lab. Will have to actually read all the intro material to that lab before being quizzed on it and look at lecture, but need to do the worksheets for the other two sections on evolution&amp;naturalselection and sexual selection. Med mensa flow with some clots, almost med-lt flow but some clots. Can use the smaller pads comfortably. Went to bed around 10 pm and after eating some food I made in the airfryer before my last client's MLD massage. It was beyond meat, broccoli, cashews, and apples. Turned out good. No added spices or seasoning, the beyond meat has its own flavor that I like. I had the linens in the dryer by bed time. All day I ate very little. And ankles weren't as swollen as normal by the end of the day but still had some pressure in R knee. Had 2 vodka ice waters before bed after sending out client SOAP notes and receipts.</t>
  </si>
  <si>
    <t>Woke up at 330 am sweating, turned up AC, and did some studying of worksheet on evolution and ppt slides on evolution and selection in biology, finished that by 530 am and turned it in. I have a quiz on lab exercise 9 and another worksheet due by midnight tonight, but have an MLD client and couples for 1 1/2 hours each after work, won't get to it until late. Had breakfast of the beyond meat broccoli apples cashews made yesterday and warmed in airfryer, 2 cups of coffee and working on 3rd cup, feeling exhausted and tired. Would love a refreshing nap before work and my long day. No BM by the time I updated this at 637 am. Fed the babies and GRowly his meds by dissolving in water and using the previous liquid meds syringe to force feed him it around 545 am. He didn't eat his meds at all yesterday morning and then when I got back from my 645 client around 8 pm he had another lights out event or seizure, hacking and coughing, trying to get his breath while excited to see me and then passing out with a little dog scream before knocked out completely. I had to pick him up all limp and pat his back repeatedly and hold him close until he woke up, then gave his his water pill yesterday. I need to refill his meds, they're low. They don't have one meds for his heart and cannot refill it but do have the other 2 meds. Poor little guy. He is only 12 years old and a little French poodle. On menstruation but lightly flowing. Had 3 cups coffee by the time I took measurements and after breakfast around 545 am. My ankles aren't as swollen as they were few days ago before cutting back sodium but there is still pressure in R knee.</t>
  </si>
  <si>
    <t xml:space="preserve">bowl beyond/broccoli/cashews/apples
(947.33	57.43	15.03	59.07	52.73	12.27	956.02)
=947.33
=57.43
=15.03
=59.07
=52.73
=12.27
=956.02
</t>
  </si>
  <si>
    <t>numberAlcholicDrinks</t>
  </si>
  <si>
    <t>TypeAlcohol</t>
  </si>
  <si>
    <t>wine, merlot</t>
  </si>
  <si>
    <t>wine,organic non-sulfate merlot</t>
  </si>
  <si>
    <t>vodka, Potters brand</t>
  </si>
  <si>
    <t>wine, Predator brand cabernet sauvignon</t>
  </si>
  <si>
    <t>wine, merlot red blend</t>
  </si>
  <si>
    <t>wine, Triveno brand red blend</t>
  </si>
  <si>
    <t>wine, Josh vineyards red blend cabernet sauvignon</t>
  </si>
  <si>
    <t>wine, blackstone merlot</t>
  </si>
  <si>
    <t>wine, red blend beringer</t>
  </si>
  <si>
    <t>wine, rose wine</t>
  </si>
  <si>
    <t>wine, moscato</t>
  </si>
  <si>
    <t>vodka, Grey Goose</t>
  </si>
  <si>
    <t>vodka, Belvedere</t>
  </si>
  <si>
    <t>whiskey, Jim Bean Sour Apple</t>
  </si>
  <si>
    <t>vodka, Kettle One</t>
  </si>
  <si>
    <t>whiskey, Jameson</t>
  </si>
  <si>
    <t>tequila, Jose Cuervo margaritas</t>
  </si>
  <si>
    <t>whiskey, Jack Daniels</t>
  </si>
  <si>
    <t>1 tequila (margarita), 2 vodka (Grey Goose)</t>
  </si>
  <si>
    <t xml:space="preserve">tequila, Jose Cuervo  </t>
  </si>
  <si>
    <t>tequila, Jose Cuervo</t>
  </si>
  <si>
    <t>numberAlcoholDrinks</t>
  </si>
  <si>
    <t>this is a text field for the type of alcohol as wine or type of liquor or beer with brand if known or recorded in notes</t>
  </si>
  <si>
    <t xml:space="preserve">This is the number of servings of alcohol, even though a mug or cup is about 1 1/2 cups it can have 3 mugs filled with wine in a bottle, but the bottle of wine says it is 5 servings not 3. If it is an individual sized bottle, then it is one serving per bottle like the moscato 4 pack individual wines. </t>
  </si>
  <si>
    <t>spring mix salad, 1 cup</t>
  </si>
  <si>
    <t>masago 1 oz</t>
  </si>
  <si>
    <t>bowl triple salmon/springSalad/brownRice/masago/doubleCucumber/doubleGinger/SesameSeeds/SesameOil</t>
  </si>
  <si>
    <t xml:space="preserve">6 corn tortillas Guerrero brand
(300.00	3.00	0.00	6.00	63.00	6.00	60.00)
3/4 cup mozz
(240.00	15.00	10.50	18.00	3.00	0.00	570.00)
bowl poke triple salmon/brown rice/spring mix lettuce/double ginger/double cucumbers/sesame oil/sesame seeds/masago forgot about wasabi
(969.00	46.23	8.83	32.88	104.95	8.13	969.50)
1/4 cup almond milk with cold brew iced coffee
(20.00	1.50	0.00	0.50	1.00	0.50	90.00)
=300+240+969+20
=3+15+46.23+1.5
=0+10.5+8.83+0
=6+18+32.88+0.5
=63+3+104.95+1
=6+0+8.13+0.5
=60+570+969.5+90
</t>
  </si>
  <si>
    <t>Woke up at 530 by alarm, didn't sleep well, stayed in bed until 6 am and got up to complete the SOAP notes and receipts and email out to yesterday's clients, then folded laundry, doing the normal routine of coffee, Growly's meds new way dissolved with water in syringe and force fed to make sure he takes it, and fed babies. Then took measurements cutting into shower time, have to leave by 730 am at latest to get there at 8am, Also cancelled my appointments for the day, don't feel a BM coming along today either, and the lack of sleep and low calories last few days won't help with the coffee thats not working, its stress and lack of sleep, roommate was home last night at 11 pm and kept me from sleeping on time that and Princess and her ear scratching and slobbering all over the bed, massive amounts of saliva chewing her paws like she peed on the bed but didn't. The AC worked great, didn't wake up sweating. no alcohol last night, finished the last worksheet and the quiz in lab half or 3/4 assed it on effort but what was in the slides the last hour before due. I didn't really get that lab even though I went over it, but didn't TBH look at the Lecture recording on it, just the lab manual and the ppt slides. Didn't eat anything else other than the two bowls of vegan beef veggies yesterday for breakfast and lunch. Went to bed around 1230 pm last night but not really because couldn't sleep and looked at clock, it was about 2 am. So probably only got about 3 1/2 hours sleep. On menstruation spotting. Almost done with it, thankfully and my ankles aren't that swollen only a little at malleolas, and the knee still has pressure that was also present yesterday on R knee, but ankles weren't very swollen yesterday after a long day of work and lack of sleep and no BM. Lost 7 pounds of water since last week. Mostly from lower legs and abdomen and thighs. My last two clients are regulars that I like but were also 'no shows' I ate a poke bowl between the two no show appointments that was from ichi poke by starbucks and had a grande cold brew with ice and almond milk only. The poke bowl had 1/2 cup brown rice, with 1/2 cup spring lettuce greens mix, 1 tsp sesame seeds, double ginger or 3-4 tbs, double cucumbers about 1/4 cup or 1/2 cucumber, 2 tbs sesame oil, 3 tbs salmon. For breakfast on the way to work had 3 quesadillas in air fryer rolled like flat tacos the normal style of corn tortillas and mozz cheese G&amp;G brand. Got home early after 2 pm, and did laundry of personal clothes and had an iced water vodka. I know I have studies to do, but lack of sleep or being tipsy ain't going to help. Read-repeat-repeat-... and make flashcards while tipsy, but drowned out the nervous stress while amusing myself with the subject matter. I have been gluten free for last 4 days, still having pressure in R knee that comes and goes, but could be from fluid pushed up from ankles. A little swollen not as bad as before lowering my sodium by more than half the norm and going gluten free. Had a reg solid BM finally after 3 days practically nothing eliminated from food consumed, except that tiny BM 2 days ago. Had the reg BM around 315 pm afer or while finishing the vodka grey goose ice water and updating this database with finding how many drinks and what kind for all days I drank alcohol. I am adding that as a new feature/field/variable and just added them at end of data dictionary to keep track. Did the extra credit lab exercise and sent in that was due today, ate some more rolled quesadillas as an airfryed pizz. In total had 6 corn tortillas, 3/4 cup mozz, and 1/4 cup almond milk with my 4th cup of coffee the iced cold brew from starbucks. My stomach started aching like a tummy ache and thought back to what could it be, maybe the lack of sleep of one serving of vodka ice water 5 hours ago, but it was probably all that ginger I had in my poke bowl. I had the worker put double or extra ginger on my poke bowl. It was a good mix, and thankfully no smelly repulsive red onions in the cucumbers. Its so lazy when they cross mix the ingredients that deep into the bowl. It must have been on the knife when they prep the food, the other day at the Aloha Poke and not this Ichi Poke across the street by starbucks in Chino. Was going to study some, but really feeling exhausted now. Probably just going to skim the slides its 9 pm and a good night's rest is needed.</t>
  </si>
  <si>
    <t>Birds Eye potatoes/sweet potatoes/broccoli/cauliflower shredded pieces, bag is 4 servings, serving:</t>
  </si>
  <si>
    <t>Rainbow's end brand watermelon sorbet 93g serving approx 3/4 cup:</t>
  </si>
  <si>
    <t>Rainbow's end brand Hawaiian Delight Sorbet, 92 g serving approx 3/4 cup:</t>
  </si>
  <si>
    <t>3 cups elbow macaroni plain, calorieking.com</t>
  </si>
  <si>
    <t>pot of homemade mac n cheese with 1/3 cup sourcream, 1/2 cup mozz, 3 cups elbow macaroni, 2 slices American cheese</t>
  </si>
  <si>
    <t xml:space="preserve">alaska cod
(100	0	0	25	0	0	150)
1 tbs olive oil on fish
(120	14	2	0	0	0	0)
1.5 serving veggies 
(75.00	1.50	0.00	3.00	10.50	3.00	390.00)
Hawaiian and watermelon sorbet about 2 cups Hawaiian and 1 serving watermelon
(397.33	0.00	0.00	0.00	98.33	0.00	53.33)
bowl mac n cheese only noodles, mozz, sourcream, and processed cheese 2 slices in pot
(401.00	14.63	9.23	16.13	47.20	2.53	314.67)
1 entenmann's chocolate donut of roommate's
(260.00	17.00	11.00	2.00	26.00	1.00	200.00)
2 flour tortillas
(336.00	8.00	2.00	8.00	54.00	2.00	602.00)
1/3 cup mozz 
(106.67	6.67	4.67	8.00	1.33	0.00	253.33)
2 snack sized almond joy candy bars
(159.33	9.00	6.00	2.00	20.00	2.00	40.00)
=100+120+75+397.33+401+260+336+106.67+159.33
=0+14+1.5+0+14.63+17+8+6.67+9
=0+2+0+0+9.23+11+2+4.67+6
=25+0+3+0+16.13+2+8+8+2
=0+0+10.5+98.33+47.2+26+54+1.33+20
=0+0+3+0+2.53+1+2+0+2
=150+0+390+53.33+314.67+200+602+253.33+40
</t>
  </si>
  <si>
    <t>Woke up at 5 am to the roommate checking on Growly under the bed, then got up by alarm at 530 am, had to get the roommates help to force Growly his meds and his food, but he didn't eat it, and went under the bed. I didn't have the AC on cold last night, so maybe he was too hot. I have it on now. Made the babies their food, my coffee, paid some bills water and wifi internet, balanced checking before that. Had a reg BM while starting 2nd cup of coffee. Folded my laundry from last night that I took out of the dryer and left on my bed before feeding Growly his meds bc we couldn't get him out from under the bed and the roommate was trying. Went to bed last night around 930 pm so probably got about 7.5 hours sleep. Ankles aren't swollen except a little by the malleolas on both sides but only when flexing the feet flexing the plantar muscle or pointing the toes. There is still pressure or fluid in the Right knee that makes it hurt when I lift it up to take pressure off my low back when standing at computer. Not spotting anymore on my rag, so marking this day as not on menstruation. Always have some fluid that sheds a few days thats clear when the blood stops shedding the uterine lining. Growly is still under the bed. Didn't eat his breakfast. I need to get groceries for the house. Only have stuff for quesadillas. Need some vegetables and vegan meat and other low sodium food items. For breakfast made a bag of frozen ready to steam broccoli, potato, sweet potato, and cauliflower veggies with some of the frozen Alaska cod (in air fryer with paprika and parsley seasoning) Ate half of the fish and about a serving of the sodium added veggies. The bag serves 4 and has 230 mg sodium per serving. I can taste the salt. These veggies aren't that great as the steamed broccoli. I made a serving of the veggies and the remaining fish for lunch. I need to get groceries. Had 3rd cup of coffee by the time I took measurements around 710 am. Measurements taken after breakfast and 2 cups coffee. Went to work, ate sorbet from the shop next door to the aloha poke I usually go to. It was a froyo place, but expensive, like most gourmet icecream shops. I never saw it busy, but the prices let me know how they stay open, I did also pile on the sorbet, because I intended to get an acai bowl they advertise on their window, but saw the instant frozen yogurt varieties and they had the nutrition on top of the sorbet flavors. Then went to work and ate my fish and veggies I had left over from breakfast after warming it in microwave in van. Then after work, studied for the Unit 3 exam while drinking 2 cups of coffee almost back to back bc I missed the 4th cup at work eating sorbet and was really tired when I got home not too tired, but needed to wake up a little bit more and focus with roommate's background noise of his normal routines and video podcasts, no flashcards this time while studying, but notejotting key points from each slide on 8X10' printer paper to review, then took exam by 10 pm. She drops lowest, but I don't think I did bad on it. I had an aura migraine 3 hours into studying but it went away after drinking some water, thankfully. I was worried I would get a headache from drinking more coffee than normal and did, but it went away by the time I took the exam. Then by 11 pm was considering going to bed, but remembered that the girls, my nieces, are ok with going to do any of the things for fun I offered on my vacation Aug 2-4th like an Air BnB in LV, Santa Barbara, Sedona AZ, San Diego Wild Animal park, Universal Studios Hollywood, etc. But we didn't confirm anything. I looked at some places while drinking an iced water vodka grey goose and saw a few places, one nice one in Palm Springs, but not certain of the fun things to do in Palm Springs other than the nice pool that would cost $800 for 2 nights including the cleaning and disinfecting fee. Had a reg 2nd BM by 1130 pm. Went to bed after 1230 pm around that time maybe 1245 pm</t>
  </si>
  <si>
    <t>Good&amp;Gather applesauce and berry pouches, 1 pouch:</t>
  </si>
  <si>
    <t xml:space="preserve">bowl mac n cheese homemade
(601.50	21.95	13.85	24.20	70.80	3.80	472.00)
4 applesauce pouches, 3 berry 1 apple unsweetened
(180.00	0.00	0.00	0.00	44.00	4.00	0.00)
=601.5+180
=21.95+0
=13.85+0
=24.2+0
=70.8+44
=3.8+4
=472+0
</t>
  </si>
  <si>
    <t>Woke up at 6 am, but layed in bed until alarm went off and decided to sleep in after remembering what day it was and that no appointments on Monday, just lecture later and work, and how I felt when I didn't use that time last week to catch up on sleep, so slept until about 745 am when I got out of bed, gave Growly his meds force fed as solution then fed babies, cleaned up pet messes, and then made my coffee, and updated this nutrition from yesterday. Got lecture in an hour, going to look at some places to vacation at or shower. Need to go to the grocery store. Ankles look normal and not swollen other than a tiny bit of lyphedema around Left outer malleola. Not a lot of pressure in Right knee. Noticed a waist trimmer bruise and scab on my lower R back side where the boning that is metal is stabbing me while I wear it, but not literally stabbing, just pressing on it, the pieces are coming apart. The waist trimmers are at the end of their life cycle, and still haven't gotten those ones that Amazon sent at a deal in price but time in months. I would have cancelled the order if they would have said the expected delivery. Con artists, said it shipped and took my money, then said the expected delivery was months later at least 6 weeks. I will be leaving them a bad review for that regardless. They should be honest up front. That is an Amazon vendor and he/she needs to let the Amazon prime members know they are not getting this item soon. I am not forgetting. My body is suffering, literally, while waiting for these waist trimmers. Had a reg lg BM after 1st cup of coffee and after updating this database. My abdomen is looking smaller, the belly button isn't sticking out as much from the umbilical hernia from the fibroid making it pop out of my belly button. Measurements taken before breakfast. For breakfast I had the last of the mac n cheese about the bowl and a half, gave the rest to the babies. I also had 3 cups of coffee, listened to lecture, but started having a terrible aura migraine while listening to lecture and took a shower. Then drank water, and went to Target to get groceries, still had a bit of the aura migraine there. Made it home and then took a quick 20 minute nap. I think it is from the brain freeze I got yesterday at lunch time from the frozen yogurt place that I ate it too fast and it made my head hurt bc I was tryying to eat it before it melted while driving to get gas/fuel for van on low and because I over packed the small size frozen yogurt. It hurt badly but went away. After work yesterday I had the migraine hit after the 5th cup of coffee. I didn't want to have a 4th cup of coffee today, because I didn't think it would work, it was making me really hurt, and the aura blinding part went away by the time I started work and I dowened a water, and had 3 of the apple sauce pouches from Target earlier on the way to work. I also had my waist trimmer that is missing good grommets in the middle an inch tighter as it was 2 days ago. But didn't hurt. I started the client but felt like the pain from the headache was going to keep me from finishing the hour and a half and hurts enough to make me vomit but that I would try and see. He was ok with it. During the massage, I was massaging his ubns like he requested and med-firm but only med press used, got to his arms dealing with pain, but it was hot, made me sweat, then the AC came on and gave me chills while massaging him and dealing with my headache. After 15 minutes and finishing symmetrically both sides of ubns and rotator cuffs and arms, I ended session. He understood and got dress after asking if he should. Bc nobody is able to finish the massage. And I know the clients have to book in advance and need the massages. Felt bad, literally, told the front about this before starting him, then 15 min after ending session, they let me know they understood. I went to the bathroom bc I felt like something along with my headache would end up being expelled from my body, it was vomit at the sink in the bathroom. I was able to get 3 vomits out of mostly water and some apple sauce, and then use the bathroom cleaner they had to clean up the entire sink of the vomit that thankfully flushed down the sink drain with the cleaner and the paper towels. Looked clean and left it better than before vomiting in it. Then cleaned up room and drove home. Made it home with the throbbing pain, some traffic, then tried taking a nap with babies from 430 to 730 getting up to move around, feeling pain in L side of head from headache. The aura part gone, when bending down to get something the pressure hurts. Sitting up right doesn't hurt it though. But feel sick, not even 85% healthy. Updated the new weekly assignments. Cut out my schedule earlier before work and scheduled in a 1 1/2 hour couples tomorrow after my new MLD at 9 am the return MLD at 10 am and reg monthly at 12 pm. Will be busy, probably the added stress of side work, work, and daily due datees for assignments in week 5 of 6 weeks of this summer school course added to my headache. Made me worry it was a blood clot moved past my knee, didn't notice the R knee pressure, but it is there, the blinding pain of the headache interferes. I am going to start cutting back on coffee. I had 3 cups today and will leave it there. It is almost 9 pm. Going to start that first worksheet due tomorrow, 2 quizzes on We, 2 wrksts on Thurs, 2 wrksts on Fri, Sat an extra credit due, sun the unit 4 exam and participation board, and an animal flyers assignment of quick research after reviewing all this unit's materials is due on Monday. I looked up an article on that and it said that the trigeminal nerve is responsible for brain freezes and not everybody gets them, but people who do are more likely to get migraines. That sounds about right. It controls body temperature in face or mouth, and to fix it, put a warm drink on upper palate after eating icecream or frozen treats fast. Which is odd that I chew ice all the time about 4 cups to 6 cups a day of ice cubes and never get a brain freeze, but if I eat frozen yogurt, smoothies, or icecream fast, I get a brain freeze. Finished the speciation worksheet and turned it in around 10 pm. Then went to bed a few minutes later, maybe around 1015 pm.</t>
  </si>
  <si>
    <t>Woke up at 6 am, laid in bed until 630 am when alarm went off. A bunch of pet messes to clean, fed babies, then gave Growly his meds, haven't had the other vetmed pill bc out everywhere last talking to pharmacist. Then made my coffee. The residual side pain from headache and around back of head is gone mostly, but still there. Not as much pressure. Took measurements before a gardein patty on Dave's killer wheat bread with 2nd cup of coffee. Long day of clients today. I plan on making it through each servive fine. I will only have 2 cups of coffee for the am and the 3rd bw going to first 3 clients to the 4th client a couples not romantic step daughter MLD post op and her father, both return clients. He gets a 2 hour dt massage. Nice people everyone. I am tight on time bw the first two but can make it, might have to cut first client some. Her address is S Corona and the middle client is Chino and regular is Norco then back to the house to drop off laundry and then S Corona to end the day. A few clients might be trying to schedule in some time, I know one for sure needs MLD. She just had her drains taken out. But she also had those two hard spots on her sides that I told her to ask her surgeon about. She did that Saturday and haven't heard from her yet. By the mid-day saw that she booked for Thursday at 1245 pm. Last for the week until intentionally, bc I need to do well on this week and next week's assignments including 2 finals of a lab and unit material in biology. All the clients were great. Had a bit of a headache in all sessions went away about midday, late to 1st client 10 min, extended 5-10 min late 3rd client, the S Corona traffic took slightly more than the 25 minutes after packing up to leave the 9 am. She signed up is getting Lipo Monday and has 9 more remaining. Had a 3rd cup of coffee on way to 3 pm, by 630 pm had a lame poke bowl without sauce and the dude was stingy with the ginger and tasted an onion hidden in the cucumbers sliced. It is usually somewhat busy there, but the place looked closed. I was the only one other than another guy that came in later. I ate about half of that ahi tuna salmon, cucumber, ginger, brown rice, carrot bowl. Didn't add sesame seeds or sesame oil or wasabi. Then had 4th cup of coffee when getting fuel at the new Circle K I pulled into after the Starbucks drivethre for a grande or tall bc the price on almond milk cold brew, no honey of course. The dying bees from pesticides and windshields of vehicles driving through floral mtn passes, aren't evolving fast enough to survive our manmade products and the honey is not being stocked by the Starbucks anywhere I have been checking into. Had 2 apple sauce pouches throughout the day and last meal by the end of the day was 2 slices DKB with mozz toasted. Did the laundry for first clients and all SOAP notes, planned on the reviewing of the material due Wed tomorrow first, but the HA hit while finishing 4th cup of coffee. Had a half shot GG on ice water, then it went away slightly, but also read through the unit slides and the lab slides due today for the quiz material, will look at the lecture part to take notes after work and/or lunch break. Went to bed around 12`5 am exhausted. No BM all day.</t>
  </si>
  <si>
    <t>Daves Killer Bread, 1 slice</t>
  </si>
  <si>
    <t xml:space="preserve">gardein patty
(210.00	11.00	9.00	20.00	7.00	1.00	450.00)
4 slices daves killer bread DKB
(280.00	4.00	0.00	12.00	52.00	8.00	420.00)
1/2 cup mozz
(160.00	10.00	7.00	12.00	2.00	0.00	380.00)
2 applesauce unsweetened pouches
(90.00	0.00	0.00	0.00	22.00	2.00	0.00)
1/4 cup almond milk
(10.00	0.75	0.00	0.25	0.50	0.25	45.00)
poke bowl, 1/2 last style no sauce, ginger/brown rice/tuna/salmon/cucumbers/carrots
(496.00	31.00	9.95	12.85	42.45	3.40	287.00)
=210+280+160+90+10+496
=11+4+10+0+0.75+31
=9+0+7+0+0+9.95
=20+12+12+0+0.25+12.85
=7+52+2+22+0.5+42.45
=1+8+0+2+0.25+3.4
=450+420+380+0+45+287
</t>
  </si>
  <si>
    <t>Woke up at 530 am by alarm that sounded faint and went back to bed after peeing until 630 am when I got out of bed a couple minutes before the 630 am alarm went off. Finished the last half of laundry after giving Growly his meds hes coughing more, and feeding babies and drinking 2 cups of water, Updated nutrition from yesterday, then took measurements before breakfast. No headache in the morning to start. Felt a little more pressure making 3rd cup of coffee. No BM either but felt like I might have one. Have a client later on tonight at 7 pm. Very nice lady and her cat is a sweety. Had a reg BM after measurements and before breakfast. 2 slices DKB with pouch apple sauce and mozz cheese. At work had 2 slices DKB and 3 apple sauce pouches, and 4th cup my instant coffee and bought/reserved an Airbnb by beach. Then after work used the 2-3 hours to study before leaving for client's house. Cool lady, very nice and friendly, her, her cat, and her hubby and other cats. She is on vacation next week in LV. Her cat is so sweet. Very friendly, comes up and leaves up the stairs when bored. Then says bye. I had another applesauce pouch and 5th cup of coffee on the way there. No headache. Afterwards, got some veggies from Sprouts then went home studied a few more hours and got the quick quizzes on the lab 10 and microbes and fungi. It was whatever. I have a 2nd attempt with the microbes/fungi quiz, but will keep choices made. Seem right. Too much to really comprehend fully in 1-2 days possible. Did the lab assignments from ppt lab 10 slides and answered most questions, except the last ones, before worksheet. None of the worksheet not turned in, bc of the quiz. Probably quizzed on it somewhere. But the zoom meeting wasn't recorded today, so won't really know if there was information on that. I have 4 back to back clients tomorrow that just booked. I am glad they could squeeze in, but might not be able to, in fact, know I won't be able to make it to the 1015 appt in Jurupa Valley from Chino leaving by 1005 am quick style. So will text her tomorrow to let her know. But should get to the 4th one on time. in Eastvale from Jurupa Valley, then will finish studying and completing assignments due. I had a gardein burger after work with DKB bread, forgot about, with mozz cheese. Total of 5 apple sauce pouches, 6 slices DKB bread, 1/2 cup mozz, 1 gardein patty, oh, and while studying 3 chocolate hersheys toffee and almond candy pieces from a month ago still in my drawer under laptop. Went to bed around 1120 pm.</t>
  </si>
  <si>
    <t xml:space="preserve">5 apple sauce pouches
(225.00	0.00	0.00	0.00	55.00	5.00	0.00)
6 slices DKB 
(420.00	6.00	0.00	18.00	78.00	12.00	630.00)
1/2 cup mozz
(160.00	10.00	7.00	12.00	2.00	0.00	380.00)
1 gardein patty
(210.00	11.00	9.00	20.00	7.00	1.00	450.00)
3 chocolate hersheys toffee almond candies
(150.00	9.00	5.00	3.00	17.00	1.00	50.00)
=225+420+160+210+150
=0+6+10+11+9
=0+0+7+9+5
=0+18+12+20+3
=55+78+2+7+17
=5+12+0+1+1
=0+630+380+450+50
</t>
  </si>
  <si>
    <t>impossible meat hamburger patties, 2 per pkg, 1 patty:</t>
  </si>
  <si>
    <t>artesano hamburger buns, 6 buns per pkg, 1 bun:</t>
  </si>
  <si>
    <t>Starbucks brown sugar oat milk shaken espresso, https://www.starbucks.com/menu/product/2123431/iced?parent=%2Fdrinks%2Fcold-coffees%2Ficed-shaken-espresso</t>
  </si>
  <si>
    <t xml:space="preserve">3 impossible patties
(720.00	42.00	24.00	57.00	27.00	9.00	1110.00)
3 buns artesano
(570.00	6.00	1.50	18.00	108.00	3.00	1140.00)
pickles 5 slices approx
(30	0	0	0	8	1	150)
3/4 mozz
(240.00	15.00	10.50	18.00	3.00	0.00	570.00)
3/4 hersheys candy bar
(165.00	9.75	6.00	2.25	19.50	0.75	26.25)
2 applesauce pouches
(90.00	0.00	0.00	0.00	22.00	2.00	0.00)
brown sugar oat milk iced espresso Starbucks 4th and last coffee of day
(120.00	3.00	0.00	2.00	20.00	1.00	120.00)
=720+570+30+240+165+90+120
=42+6+0+15+9.75+0+3
=24+1.5+0+10.5+6+0+0
=57+18+0+18+2.25+0+2
=27+108+8+3+19.5+22+20
=9+3+1+0+0.75+2+1
=1110+1140+150+570+26.25+0+120
</t>
  </si>
  <si>
    <t>Woke up at 6 am but got out of bed at 615 am. Did the dishes, gave Growly his meds, made my coffee, texted client I could be 10 min late to start as Chino to Jurupa Valley not exactly close to travel, then texted nieces back on ability to go to Universal on vacation date and checked out tickets and pricing, non-refundable for exact date. They also want their names on the tickets. The park closes at 8 pm and opens at 9 am. Made a beyond patty in air fryer, both of the packaged patties. Had 3rd cup of coffee after BM. Then took measurements before showering to go to my 4 back-to-back clients this morning. Also folded laundry from yesterday before checking out Universal ticket pricing and texting anybody. Ankles haven't been too swollen last 3-4 days, but did feel knee pressure yesterday in R knee, headaches disappearing, thankfully. Had to pee when taking measurements, and retook measurements on waistline and 2" below BB line and saw they shrunk by 1" and 1/2" respectively due to bladder contents reduced. Ankles aren't that swollen, but not completely gone, and pressure in R knee was not a bother by 5 pm after being on feet all day and before starting assignments due tonight. For breakfast had an airfryed impossible burger, with 1/4 pickles and mozz cheese on artesano hamburger bun, and lunch the same thing after returning from my three clients' back to back Chino MLD, Jurupa Valley MLD and 1 hour reg massage, and Eastvale MLD. My phone apps stopped working completely and couldn't navigate to client's house. Only my phone and messaging worked after logging off the wifi of the last guest's house. Not sure what happened. But they are close to each other but I didn't remember how to get to her house even though I have been there 4 times before, too many turns. I had to call her to get directions. She wasn't upset, but understood. Been busy. Yay! Got my vacation plans still being planned as far as who to get universal studios tickets for. Thats a definite need to know as $124 each and not refundable and must be same day reserved. Had a drink of vodka after my oat milk brown sugar iced espresso from Starbucks bc they again didn't have honey almond cold brew or nitro cold brew either. The airfryed impossible burgers were good, and I have another set I can make in the freezer. They are soy based but thats ok. My apps started working once I got home. I won't be able to take new clients if my apps don't work, bc of the Square app, and Spotify app for music to play in background in session, the massages would be sub-par and I would have to know and need to know why my apps shut off. Had two apple sauce pouches, last of pkg while waiting for my 3rd impossible meat artesan bread mozz burger. Ate that, then finished homework with laundry in dryer. Done with homework by 1010 pm, but slightly before. My skin was itchy from irritation with hair growing in after shaving a few days ago, on Sunday before work I think it always seems like I have a longer morning since I leave at 720 am Sat and on Sun at 820 am. I also had 3/4 of a hersheys plain chocolate bar that was in the fridge since before July. I never ate it, got a 4th of July white chocolate candy bar and another plain chocolate one in fridge as needed. Could also be why skin itched, and saw kitty litter bits from dog paws in bed I had to shake out while sitting in bed to study. Not comfortable, felt like I was slouching and didn't have a big enough butt to sit on, even though I have just enough. Also, my leg got swollen on R felt stiff again, had to stand up. Probably the sodium increase with 3 impossible patties and the 3 artesan yeast bread with mozz. And the chocolate candybar 3/4 of it, and 2 apple sauce pouches that don't have any sodium. Drank a drink and folded laundry after homework to relax. Finished laundry by folding it and putting in a file box in plastic baggies lg sz for the sets without pillow case covers or set drawstring bags before 11 pm. Had that 2nd drink of vodka and made me feel tipsy. I feel more drunk drinking the vodka than the other hard alcohol products like tequila or whiskey and it takes longer to wear off. Same amount as the others. Have more assignments due tomorrow and some extra credit to do but have my schedule blocked for side biz work. I do love my clients, but got to do well in my course work. My skin stopped itching. Yay! Went to bed around 1130 pm. My ankles were back to swollen a lot but not that bad by bed time. Had a lot more sodium today than all week. But not highest amounts consumed in month.</t>
  </si>
  <si>
    <t xml:space="preserve">Woke up at 630 am by alarm, the roommate was getting in. I actually woke up at 530 by alarm but went to bed. I went to bed at 230 am last night after watching the last 2 episodes of season 4 of Handmaids Tale on Hulu. It ended up with June and the ex handsmaids beating to death the commander, Fred, the husband of serena to death after trading him for 22 handsmaids and where he was handed to June in the woods deceiving Serena into thinking he was getting them out to be free, but he was a trader to Gilead and they let June and the girls kill him and hang him on the wall. They then sent his ring and ring finger in an envelope to Serena (maybe bc they wanted to know he had his finger taken off like hers was, and/or to let her know he is dead and/or that she has no reason to be freed from prison and her son will have to be given to Gilead or someone in Canada when born), but she didn't open it because the guard in Canada dropped the envelope after checking the contents. I think that is the last season, not sure. But there was closure, and she didn't get back Hannah her older daughter, there also isn't that much variation to keep viewers like me watching with intent on seeing new content that isn't recycled somehow from some other plot. I gave Growly his meds and fed babies then tried to go back to sleep but just laid there, dehydrated, I drank some of the last bottle of water in the house. I had some in the van that I got after laying in bed until about 715 am and making my coffee and starting the roommates laundry. I plan on cleaning the house today. Where to start. I updated the nutrition from late last night. Small BM after 2nd cup of coffee and before 3rd cup and before breakfast. Took measurements and then planning to start with emptying kitty litter and dusting globs of dust on fans in kitchen and living room, then plan to sweep, mop. Maybe dust other things before sweeping. Good thing this is a small house. The roommate was bitching about being in pain again and to rub his back, but I told him he is going to ruin my energy to clean if I do that and to stop offsetting his negative energy onto me. He shut up because he wants me to clean the house too. I wanted to order some pet sofas they look cute but none that look like the babies won't pee on them, and I ordered sofa and recliner chair water resistant pad covers instead. The chair isn't a recliner but it was the only protective cover on Amazon. Those won't arrive until Wed 7/7/2021. Took a while, didn't eat breakfast but had my 4th cup of coffee around 1230 pm and fed babies after done around 330 pm and started cleaning at 830 am. Lots of dusting on the ceiling fans, the counter tops, the chairs, the sofa and chair that are a pleather the dogs made messes all over, and sweeped, then mopped. The roommate used all my pineSol floor cleaner for mopping floors, I know he put them in his make shift floor spray cleaner so just poured some of those bottles in the mop bin, Didn't get to the bathroom other than just sweeping and mopping and shaking out the dirt from the rugs. I also cleaned the stove top that was a mess, the knobs, the grill, didn't touch the inside of the oven, the stove top took a few hours just for that with 409 cleaner, thankfully we have that back in the stores to clean with. I didn't drink alcohol while cleaning, because I thought I might want to go to the store to get those items from Target like the shower curtain and magic erasers. When I get those I will clean the bathroom. We have cleaner for that. That was a work out. Made a serving of cheese pizza rolls. Just curious if I lost weight through metabolism those few hours. That was 7 hours of cleaning. I just weighed myself and 146 pounds with 4 cups coffee and before eating pizza rolls. I weighed 148.4 this morning. I did sweat some early on with the cleaning the sofa and chair with pleather on them and the mopping. Lost 2.4 pounds, I am retaining water though, my ankles are swellen and left thigh is swollen when I raise my leg. My right foot is fat and puffy too. Most of this weight if from all the high sodium airfryer foods I have been eating and shouldn't be. Went ahead and decided to stay home and popped open the bottle of tequila as I finished the whiskey last night, Jose Cuervo and Jameson respectively. Had one drink by 6 pm, started sipping it anyways. The Jose Cuervo tastes like Raid bug spray over ice. I never had Raid, but it tastes like toxic poison of some sort, or like sunscreen, that taste when you put it on your lips and it soaks into mouth. Had 9 cheese pizza rolls, a zuchini in the airfryer with parm and olive oil and 3 drinks total of tequila while watching Savage State. Interesting while drinking tequila. Also, had 4 fruit snacks, fireworks started around 8 pm in the neighborhood. The roommate went out to get some model figurines at the store around 630 pm, or earlier and wasn't home by the end of the movie at around 840 pm. I updated this database before bed and finished around 9:30 pm. Didn't eat many calories because my first meal was at 345 pm. But I also had a late meal last night and only about 3 hours of sleep because I stayed up late. I didn't feel tired while I was cleaning or afterwards at all. Good thing I wasn't at work like that. I plan on sleeping soon, groggy a bit from the 3 drinks in last few hours 2-3 hours, more like 3+ hours started drinking ago and stopped by 830 pm or earlier. There are fireworks going off all over the neighborhood, I might not be able to sleep, but maybe I will. Loud mortar ones from the area diagonal and back neighbors house towards 7th street, on 7th street and that little alley street. I think its the neighbor whose dog kept getting out. I haven't seen him around lately, hopefully its alive, when I drove by a few weeks ago I didn't see it either. I was seeing it for a few months just roaming the neighborhood, it would stick to the sidewalks and our block. </t>
  </si>
  <si>
    <t>poke double salmon, brown rice, 4x ginger, 4x cucumber, wasabi, masago, sesame seeds, no sesame oil</t>
  </si>
  <si>
    <t>Welch's grape jelly 1 tbs:</t>
  </si>
  <si>
    <t>Jiffy creamy peanut butter 2 tbs:</t>
  </si>
  <si>
    <t xml:space="preserve">2 almond joy snack sz candies
(159.33	9.00	6.00	2.00	20.00	2.00	40.00)
1 bun
(190.00	2.00	0.50	6.00	36.00	1.00	380.00)
1/4 cup mozz
(80.00	5.00	3.50	6.00	1.00	0.00	190.00)
1 impossible patty
(240.00	14.00	8.00	19.00	9.00	3.00	370.00)
1 tbs grape jelly
(50.00	0.00	0.00	0.00	13.00	0.00	10.00)
2 tbs peanut butter
(190.00	16.00	3.50	7.00	8.00	2.00	140.00)
4 slices DKB
(280.00	4.00	0.00	12.00	52.00	8.00	420.00)
1 double salmon poke bowl, brown rice, masago, wasabi, extra ginger 4x amt, extra cucumber 4X amt, sesame seeds, no sesame oil
(677.33	17.73	4.63	29.81	98.38	7.73	888.17)
4th cup coffee at lunch with poke bowl
brown sugar oat milk shaken iced espresso Starbucks grande
(120.00	3.00	0.00	2.00	20.00	1.00	120.00)
=159.33+190+80+240+50+190+280+677.33+120
=9+2+5+14+0+16+4+17.73+3
=6+0.5+3.5+8+0+3.5+0+4.63+0
=2+6+6+19+0+7+12+29.81+2
=20+36+1+9+13+8+52+98.38+20
=2+1+0+3+0+2+8+7.73+1
=40+380+190+370+10+140+420+888.17+120
</t>
  </si>
  <si>
    <t>Woke up by alarm at 530 am but got out of bed at 6 am and cleaned a bunch of pet messes, made my coffee, gave Growly his meds in his food when feeding babies, then looked at stuff online wanted to order new mattress covers/protectors and pillow cases, pillows, and linens for the airbnb to use instead of theirs, but target isn't storing items and empties carts. I have to go in person. A Costco card sounds great though. I had a reg lg BM after 2nd cup of coffee and before breakfast, the last impossible burger on DKB, no mozz. Didn't want to open a new bag, the roommate ate the rest of my other bag. Have to get them from under the vegetable drawer. Need to make the beyond meat with vegetables today, likely after work. Only an hour went by thats why it feels like I didn't do anything really. Have homework and a 6 pm zoom meeting in biology for questions and answers type session. Probably will leave it but don't want to disrespect the instructor, if nothing happens like the Q&amp;As in genetics zoom meetings. But they do ask questions, so thats good. Three cups coffee before showering and leaving for work. At work had a double salmon poke bowl from ichi poke with extra ginger, extra cucumber, sesame seeds, masago, wasabi, no sesame oil this time or spring salad and with a brown sugar, oat milk shaken espresso from Starbucks. After work, had a PB&amp;J after a shot of vodka on ice water around 5 pm, the sandwhich late into finishing assignments, and after listening to 1 1/2 hours of the review on plants and animal biodiversity live zoom extended session with instructor and only 2 other females. Finished up around 10 pm all the homework and had another vodka ice water and went to bed by 11 pm. I also had 2 almond joy snack size candies while listening to lecture.</t>
  </si>
  <si>
    <t>Woke up at 530 am by alarm, did dishes, made coffee, fed Growly his meds in the food I feed him with the babies, then made some vegan meat beyond defrosted from freezer with pears, red and green bell peppers, and a zucchini and cashews in the pot on the stove, too much for airfryer. Updated this data nutrition as it cooked or stewed. Alarm went off to get ready for work and was on 2nd cup coffee, didn't eat breakfast, and took measurements before having a BM or having breakfast. Had a BM before getting ready for work and eating breakfast at work or on the way to work, 2 slices DKB as sandwhich with beyond meat/pears/peppers/cashews meat. Brushed teeth and washed face, no time for shower. Put deodorant on, I don't sweat as AC on and haven't worked out in 6 months. Ordered more stuff on AMazon of tshirts and pair blue jean shorts, yesterday the mattress covers and clean linens queen size and 2 pillows. Made sure I would get the order soon unlike the waist trimmers I am still waiting on. Went to work ate the other 3/4 bowl of the beyond meat and veggies made this morning, and another after work. Had 2 slices DKB with lunch, and an artesan bun with dinner bowl and 1/4 mozz. Also 3 snack sized almond joys. Had 4th cup instant coffee for lunch. Had the last of vodka ice water after work around 3 pm, and a patron over ice around 430 pm and watched the 'midnight in the switchgrass' movie that was 90 min long. Actually, I worked out 25 minutes on hams/quads/triceps/chest at UFC gym 40 lbs on hamstring curl machine, quads extension leg machine 40 lbs, abductors 40 lbs outer thighs, back/latts pull down machine 60 lbs, adductors 50 lbs inner thighs machine, 20 lbs on tricep extension machine, 55 lbs on chest, and 65 on squats standing barbell, since I haven't been in months, but have been paying for 5 months without showing up. Then went home and had the last of the vodka and the 2nd bowl in the airfryer of veggie beyond mix made this morning. There is an extra credit due today no a scavenger hunt I will look at. But it will be too late to find any of the items on it. I can still do it later and get 50% credit on the extra credit. Need to study too. The unit 4 exam is due tomorrow, but she drops the lowest grade, I could at least make notes and study. Doing laundry. My right arm was cramping up at the end of work and at home. Like out of circulation but just a cramp, like maybe low on magnesium or phosphorus or minerals to pump blood. A throbbing pain that feels like its asleep almost. Went to bed around 10 pm.</t>
  </si>
  <si>
    <t>UFC gym McKinley
abducturs outer thighs 3 sets 12 reps 50 lbs	
adductors inner thighs 3 sets 12 reps 40 lbs	
squats 3 sets 12 reps barbell 45 lbs + 20 lbs added 10lb disks green Olympic
tricep extension cable 3 sets 12 reps 20 lbs
hamstrings curl machine 3 sets 12 reps 40 lbs
quads with leg extensions sitting 3 sets 12 reps 40 lbs
bench press 3 sets 6 reps barbell 85 lbs	
back latts pulldown machine 3 sets 12 reps 60 lbs</t>
  </si>
  <si>
    <t>1 vodka Grey Goose, 1 patron tequila</t>
  </si>
  <si>
    <t>pot of beyond meat, zucchini, 3 pears, red bell pepper, green bell pepper, 1/2 cup cashews, makes 3 bowls:</t>
  </si>
  <si>
    <t xml:space="preserve">3 bowls beyond meat zucchini red green bell peppers pears cashews
(1617.00 86.70	22.90	90.90	132.70	32.20	1420.40)
4 slices DKB
(280.00	4.00	0.00	12.00	52.00	8.00	420.00)
1 bun
(190.00	2.00	0.50	6.00	36.00	1.00	380.00)
1/4 mozz
(80.00	5.00	3.50	6.00	1.00	0.00	190.00)
3 snack size almond joy
(239	13.5	9	3	30	3	60)
1 reg hershey's candy bar
(220	13	8	3	26	1	35)
1 pear
(103.00	0.20	0.10	0.70	27.50	5.50	2.00)
=1617+280+190+80+239+220+103
=86.7+4+2+5+13.5+13+0.2
=22.9+0+0.5+3.5+9+8+0.1
=90.9+12+6+6+3+3+0.7
=132.7+52+36+1+30+26+27.5
=32.2+8+1+0+3+1+5.5
=1420.4+420+380+190+60+35+2
</t>
  </si>
  <si>
    <t>Woke up at 530 am by alarm, and got out of bed by 545 am, made the babies their food, no pet messes to clean, the roommate was here last night, and made my coffee. Folded my laundry and updated this database. Not sore from working out yesterday, because I went light. I didn't want to overdo it. Had a lg BM while finishing up 1st cup of coffee and before 2nd cup of coffee and breakfast. Measurements after BM and 1st cup of coffee and before breakfast. I have to make another pot of veggies and beyond meat. When making this pot of beyond meat veggies pears, I realized why my right forearm started cramping yesterday, it was from using arm turning power on forearm muscles I never use to stir the pot and mix in raw meat with veggies distributed evenly. That's a relief, thought I was getting carpal tunnel and got paranoid. But its just muscle fatigue, which is also bad, I shouldn't be getting that fatigues over 2 minutes of heavy stirring. But it will go away so thats ok. Not planning on working out today, and will study for the unit 4 exam, but slacking bc it could be the exam that is dropped or will push a different exam to get dropped. All this extra credit got me thinking I shouldn't really worry. I am on track, so that's a plus like always. I thank my abusive grandparents for that shit, since a little girl to study, study, study and do my homework, and be whatever I want to be, and don't rely on anybody else. They are considered abusive by today's standards with the corporal disciplines and the switches and belts. That ended by 1st to 2nd grade, but geeze to be 4-8 years old getting a switch or belt across the butt hurt both physically and emotionally. I still don't care for them but do love them. But know who they were and what type of society they were a part of. Didn't eat breakfast by 720 am but probably will at work. Had some pieces of the pears I put in the pot of same food made yesterday, but with 2 instead of 3 pears. They are delicious and sweet and juicy. When I go back to Sprouts to get them, they will probably be a new batch that isn't ripe, too hard to bite into or old and bruised. Those would have been better for stewing with the meat, as not that great to eat. I am impressed with those pears, danjou red green type. I am not certain what type. Showering before work. I ate the bowl of vegan meat and veggies for lunch then had a bowl at the frozen yogurt shop of the watermelon sorbet a true serving of 3/4 cups with toppings this time of strawberry, blueberries, mangos, and coconut flakes and my added honey in van with a 4th cup of instant coffee. Then after work had a 5th cup of coffee, no alcohol all day. Was going to steal some from the roommate like I did last night with the patron but he was sleeping and I was already in study mood with 5th cup of coffee when he got up. He did yard work and put rocks that were holding tent gym up out onto the drive areas. I finished the assignment and commented and voted for classmates' animal flyers of 2 pages we were to do that is due Mon by 1159 pm on lab 12 animal biodiversity. I took the exam by 1015 pm approximately after briefly studying for it. Noticed after the exam that the exam 3 isn't graded but I have an A- before hand, and that the other 2 exams are graded and downloaded by copy and paste the questions, my response, and correct responses to word to save to study for the final this Thursday. A lab final this wed, and we have to finish a lab assignment on the descriptions of each classmate's animal flyer to our lab manual worksheet and turn in. I need some things at Target for the vacation and for the house because I ran out of food. I ate the entire pot of vegan meat and veggies last night and later in the evening while studying and before exam 4 had the last of the eggs that have been in the fridge at least a month, as hard boiled, 4 of them with black pepper and paprika. I started getting sore from my workout at work to squat to use potty to pee, then started feeling the muscle aches catch up to me throughout the day in arms, glutes, hams, some in the quads as pressure around the knees, added pressure to the already feeling it knee on R side. and some in triceps. Went to bed around 1130 pm.</t>
  </si>
  <si>
    <t xml:space="preserve">pot of beyond meat/zucc./2 pears/1/2 cup cashews/red bell pepper/green bell pepper
(1514.00 86.50	22.80	90.20	105.20	26.70	1418.40)
4 eggs boiled
(280.00	20.00	6.00	24.00	0.00	0.00	280.00)
1 serving watermelon sorbet
(120.00	0.00	0.00	0.00	29.00	0.00	16.00)
1/8 cup strawberries
(6.25	0.00	0.00	0.00	1.50	0.25	0.00)
1/8 cup blueberries
(5.25	0.00	0.00	0.13	1.63	0.25	0.13)
2 tbs honey
(120.00	0.00	0.00	0.00	34.00	0.00	0.00)
1/8 cup mango
(13.38	0.00	0.00	0.13	3.50	0.38	0.38)
1 white choc hersheys candy bar full size while completing the animal flyer
(220.00	11.00	7.00	3.00	29.00	0.00	75.00)
=1514+280+120+6.25+5.25+120+13.38+220
=86.5+20+0+0+0+0+0+11
=22.8+6+0+0+0+0+0+7
=90.2+24+0+0+0.13+0+0.13+3
=105.2+0+29+1.5+1.63+34+3.5+29
=26.7+0+0+0.25+0.25+0+0.38+0
=1418.4+280+16+0+0.13+0+0.38+75
</t>
  </si>
  <si>
    <t>orowheat oatbread, 1 slice</t>
  </si>
  <si>
    <t>vanilla honey greek yogurt, 3/4 cup serving</t>
  </si>
  <si>
    <t>G&amp;G mozz/parm shred cheese, 1/4 cup serving</t>
  </si>
  <si>
    <t xml:space="preserve">2 eggs airfryed
(140	10	3	12	0	0	140)
2 slices orowheat oat bread
(220.00	4.00	0.00	8.00	38.00	4.00	270.00)
1/4 cup mozz/parm G&amp;G target brand
(100.00	6.00	4.00	8.00	2.00	0.00	280.00)
4 lg slices of bella mushrooms
(8.00	0.40	0.40	1.20	0.80	0.40	4.00)
1/2 cup vanilla honey greek yogurt
(120.00	4.00	2.00	9.33	12.67	0.00	33.33)
brown sugar oat milk shaken espresso Starbucks
(120.00	3.00	0.00	2.00	20.00	1.00	120.00)
6 slices bella mushrooms
(12.00	0.60	0.60	1.80	1.20	0.60	6.00)
1/4 cup cashews
(41.00	3.38	0.63	1.18	2.10	0.23	1.00)
2 beyond meat patties
(520	36	10	40	10	4	700)
4 slices oat bread
(440.00	8.00	0.00	16.00	76.00	8.00	540.00)
serving 3/4 cup vanilla honey greek yogurt
(180.00	6.00	3.00	14.00	19.00	0.00	50.00)
=140+220+100+8+120+120+12+41+520+440+180
=10+4+6+0.4+4+3+0.6+3.38+36+8+6
=3+0+4+0.4+2+0+0.6+0.63+10+0+3
=12+8+8+1.2+9.33+2+1.8+1.18+40+16+14
=0+38+2+0.8+12.67+20+1.2+2.1+10+76+19
=0+4+0+0.4+0+1+0.6+0.23+4+8+0
=140+270+280+4+33.33+120+6+1+7+540+50
</t>
  </si>
  <si>
    <t>1 shot Jameson Whiskey, 1 shot Patron Tequila</t>
  </si>
  <si>
    <t>Woke up before 630 am and got out of bed sore from working out the other day. Gave Growly his meds, he keeps coughing a lot now that we don't have the vetmedin pill and it is difficult to get. I stopped trying, and today gave him 2 of the water pills to see if it helps. He is supposed to have 1 pill every 12 hours. Hopefully, it helps but i probably should just give him 1 pill every 12 hours like the vet advised and described by labeling on the medication. Fed the babies and had 2 cups of coffee and a lg BM after emailing the TX dept of lic and reg for my massage license app and the CAMTC about the latest needs I communicated with both a few weeks ago around the 15th and 16th of this month. It is now the 26th of July Monday. My lecture for last week and finals week of biology is at 10 am. I want to go to Target and get items on my shopping list before it starts. Didn't eat breakfast and drank 3rd cup of coffee while taking measurements. The weather at 7:40 AM says it is going to rain today and humid in the high probs of 80-90%. We will see if that is true as the day progresses. Went to Target to get the vacation items and makeup, feeling the mist from the rain and humidity, spent more than normal and got food, but used cash and the rest on card. The workers looking at me with my trench coat trying to look like they aren't judging me into a thief with my dress, trenchcoat, girly pink headband, knee high socks, booties with heels and glasses on, but I know they think they're stealthily trying to see if I steal. Its unnerving but whatever, I already wrote off the Norco one for the same reasons of prejudice and harassment. I got the makeup, mascara, eyeshadow, lipsticks, nailpolish, a face cream, a couple tanning banana boat brand sunscreens that are aerosol spray ons, a bottle of coconut clorox wipes, a bottle of clorox 409 spray or 409 spray, some dryer sheets, some plastic throw away bowls for pups when I am gone a couple days, their pricier generic paper towels, toilet paper, some vegan meat, impossible grill patties, beyond grill patties, couple beyond meat pkgs, some bella lg sliced mushrooms, almond unsweet milk almond breeze brand, some beach towels, cheap green flip flops, bathroom hand towels/bath towels/hand rags for trip and cheap pillow for roommate jealous of the pillows I ordered yesterday on Amazon, and forgot water. Checked out an individual size keurig machine for $70 and skipped on buying it. Maybe next time indiv keurig with the box of 24 kcups for 48 bucks. Still debating that one. I also got fuel from the Circle K on the way turning Left on the unprotected green arrow at the light that was forever green in the straight direction, on the way to Target decided better and turned right onto foothill then made uturn to go straight to sidestreets to S Corona Target, made it back before lecutre about 20 min, but put groceries away and made breakfast while watching lecture. 2 eggs airfryed with 4-5 bella mushrooms and 2 slices of the oatbread just bought at Target and some mozz/parm airfryed cheese on the toast the Good &amp; Gather Target brand just bought. Got the eggs at Target, also had about 2/3 serving yogurt vanilla honey flavored greek yogurt. It was good. Got a pint of that and curbs my sweet tooth. Finished lecture and then saw my boss wanted me to call her. I forgot I had the day off Thursday and she asked me to work, I said yes, until she told me about the lady that is Michael's client that said when I massaged her 3-4 weeks ago how unprofessional I was for saying his pressure couldn't be that good due to his 'many' health conditions (I only know of 1-his kidney disease bc he tells everybody about it when chatting in the break room and he still drinks coffee and creamer from the keurig machine and fatty fried foods) and how I saw him sitting in the back a lot, when she wanted me to use more than my firm Swedish hands only bc she didn't want elbows. That it was unprofessional and upset (that bitchy karen client not her words) her, and it offended me to have to listen to it, but that we shouldn't have to talk about any of our coworkers and that she thought it was negative. I told her ok not a problem but due to my health conditions I cannot take the emotional stress of those types of clients I usually get when I pick up a shift and decided not to work that Thursday to make room for my Manual Lymphatic Drainage clients that expect that day to be open. So she took me off the schedule for those hours I just added before hearing the vile complaint. Some clients are just cunts and I knew she was when I talked to her, she twisted the words around. She can be right, but it does effect people. The older generations think everybody else is entitled when they are the ones walking around entitled and thinking they get more done by voicing their opinions. She could have told me right there she thought differently. I asked if we could end the session instead if the pressure or modality used isn't what client expects and my boss said no bc it should be up to the client to end session when that happens (and we will get talked to about it by her). She understood bc I told her I didn't want to get burnt out which is what it does working for clients who don't appreciate me and only want to get into a massage and need to criticize my work, except not the last part it goes without saying. This upset me. I went to Starbucks and got my 4th cup of coffee. Was going to take a nap before work but still upset and will do my homework and study for the lab exam and final exam this week. I only have one regular tomorrow at noon. She is super cool and going to be on vacation for 3 months in Alabama after this Tuesday's massage and our account will be even or squared up. I do still owe one couple a couples massage on their family membership monthly plan and 5 MLD massages each to 3 clients post op BBL. They do always get massages on Tue/Thur.  They book late, so I will be ready. I have it in a separate account. My last check wasnt as big, but my side work made up for it with my massage biz. I still have money on the credit card and a few hundred in the savings is my earned money to spend. Paid Target with ATM, $130 cash and $157 atm/debit card. Didn't wear a mask at Starbucks by my house but was able to distance from others not wearing masks, not as many people not wearing masks as I would think, but about 45% not wearing to 55% wearing between all people including workers in Starbucks. When I was waiting for my drink in the Starbucks lobby, I called the Vet my dog goes to to ask about his meds he has been unable to get and if they had it. The lady said the vet would be in tomorrow to approve or not making the larger mg vetmed for my pup who is having difficulty breathing, his lung cavity is rising higher and more frequently and he's coughing more when excited. I can call back tomorrow if they don't call me today to check on the order. She said that she was going to ask another doctor there to see what can be done earlier for my baby who is struggling to breath. An eventful day nonetheless. At work had a beyond meat burger patty on oat bread plain with a serving of the vanilla honey greek yogurt. Left early as the last client was a no-show. Updated my last blog to include why I will not massage anyone who feels the need to refer to a licensed massage therapist as a masseuse and the explanation. That lady who complained about my unprofessionalism about her LMT's health condition made me think about our session 3-4 weeks ago on the way to work, and I remembered her, she was one that used masseuse instead of massage therapist in dialogue with me on my experience as a 'masseuse' and I told her I am a licensed massage therapist, and she asked what the difference was, and I told her the bad connotation masseuse has with human trafficking or idiots and ignorant people who cannot do anything else in their life due to lack of education and experience and use massage to do illicit or illegal activities implying their prostitutes. And that as a licensed massage therapist I uphold a set of behaviours and standards, use my experience in addressing soft tissue aches and pains with my experience and education in a trained and accredited school of massage to address those issues and alleviate pain for a client and that I pass background checks on character and pay a biannual fee for licensure, have liability insurance, uphold standards, etc. and she still used masseuse but was defensive about it. She also told me how successful her children were and how some are in different professional graduate programs or the westpoint academy, and she works in finance for some city, but I forget which city, and that I asked is she has finance certifications like series 7 and why a city needs finance personnel, and she said she does their accounts receivable/payable as an accountant but its still finance because the city is a business that needs it. She upsells herself and shows disrespect for her massage therapist she wants to establish a power dynamic similar to the unspoken heirarchy of lighter and richer class of people have more power over the darker and poorer people in an argument when calling the cops for arrests or basically a Karen. She was obviously butt hurt about being corrected on disrespecting my profession and my skills to put myself in a lower heirarchy so that she could have some entitled right to talk down to me or talk disrespectfully and have me listen like an obedient and scared slave. Because that is what 'Karens' do even though she isn't white she is tapping into that power dynamic stream and source of fulfillment. She obviously has some regrets in life and needs to feel like when she pays for service she is treated like a slave owner or queen, but knows she's not British White so will take the lesser entitled role of slave owner. Whatever, I put that in my blog. As updating this database, I have had a Jameson whiskey over ice water and a tequila on ice. and reviewed discussion boards and material to prep for taking lab exam 2 and what to study, need to review the animals and complete that worksheet and the ecology ppt slides and familiarize self with all the images in ppt lab slides from 8-13 of the exercises or chapters. Didn't flip the actual text book to this course at all, as not needed, goes off the ppt lectures. When I was home after the drinks had the airfryed mushrooms ~5-6 and 1/4 cup cashews. Also, before starting the drinking had to clean up some messes, poor Mr. Growly was having his coughing attack and I patted his back and held him to calm him down, he peed on me, I had to disrobe and then put all linens and clothes in wash and clean up mess. He passed a couple turds and pee as he was almost unconsious but awake and alive thankfully. Poor little guy. I need that meds he needs vetmed and waiting on the pharmacy at his vet to provide it. I have to call them tomorrow for it. He is doing better now, 2 hours later. He really is a sweetheart. I know that his soul is valuable, and if he is put to sleep he will be somebody's great puppa baby or human baby for his great servitude in his role as pet dog to love and obey owner human, and he will be happy. He is hanging on to Princess and making her happy, always trying to lick her ears to help with her itch that she has from the yeast in it. She has had that forever. I would use the apple cyder vinegar but he always licks her ears, and don't want to make him sick. I have my client tomorrow at 12 pm. She is a nice lady. The airfryed mushrooms and cashews aren't bad while drinking. I did burn the cashews a little as they were in at 375 degrees for about 13 minutes. I forgot about them as updating this database while digesting 2 alcoholic drinks in last 1 1/2 hours. Went to bed around 12 am.</t>
  </si>
  <si>
    <t>wetzel pretzel bites in bag, but overfilled, probably not accurate, 1 bag is a serving but seemed like 1 1/2 servings, fatsecret.com</t>
  </si>
  <si>
    <t>white sharp cheddar happy farms aldi brand, serving is 1 oz, 8 per pkg, block cheese</t>
  </si>
  <si>
    <t>mozzarella block cheese happy farms aldi brand, serving is 1 oz, 16 per pkg</t>
  </si>
  <si>
    <t>colby jack 1/2" cubes happy farms aldi brand, serving is 7 cubes approx 1 oz, 8/pkg</t>
  </si>
  <si>
    <t xml:space="preserve">wetzel reg/lg bag of soft baked unsalted pretzels with added butter
(450.00	11.00	2.00	9.00	80.00	3.00	360.00)
snack cheese sauce for pretzels
(152.00	11.60	5.20	5.80	6.00	0.40	722.00)
serving vanilla honey greek yogurt
(180.00	6.00	3.00	14.00	19.00	0.00	50.00)
5 cubes colby jack cheese airfryed
(450.00	11.00	2.00	9.00	80.00	3.00	360.00)
1/4 cup mozz chunks airfryed
(80.00	6.00	3.00	7.00	2.00	0.00	190.00)
1/4 cup sharp white cheddar airfryed
(110.00	9.00	5.00	6.00	1.00	0.00	180.00)
5 lg bella mushrooms airfryed
(10.00	0.50	0.50	1.50	1.00	0.50	5.00)
brown sugar oat milk shaken espresso Starbucks 4th coffee after noon massage
(120.00	3.00	0.00	2.00	20.00	1.00	120.00)
gardein vegan patty
(210.00	11.00	9.00	20.00	7.00	1.00	450.00)
2 slices oat bread
(220.00	4.00	0.00	8.00	38.00	4.00	270.00)
1/4 cup mozz/parm G&amp;G brand
(100.00	6.00	4.00	8.00	2.00	0.00	280.00)
serving yogurt vanilla honey greek
(180.00	6.00	3.00	14.00	19.00	0.00	50.00)
=450+152+180+450+80+110+10+120+210+220+100+180
=11+11.6+6+11+6+9+0.5+3+11+4+6+6
=2+5.2+3+2+3+5+0.5+0+9+0+4+3
=9+5.8+14+9+7+6+1.5+2+20+8+8+14
=80+6+19+80+2+1+1+20+7+38+2+19
=3+0.4+0+3+0+0+0.5+1+1+4+0+0
=360+722+50+360+190+180+5+120+450+270+280+50
</t>
  </si>
  <si>
    <t>Woke up at 509 am and got out of bed around 530 am, cleaned pet messes, made coffee, had BM reg sz after 2nd cup. Had a 3rd cup while filling in the animals worksheet due today from the classmates' individual phylum or class. Didn't finish it. The roommate came home and Growly had a fainting coughing peeing self spell. We decided to put him down or see a vet for other options. Called around and didn't eat breakfast but finished 3rd cup coffee while the roommate held onto Growly while laying in bed waiting for the veterinarian we go to to open at 8 am. I called and they said appointment only, I called around and the same thing everywhere even emergency vets, that have opposite hours a clinic, from 7pm-8 am and could have taken him there first but by the time I called them an hour after the roommate went to lay in bed and hold Growly, they were getting ready to close. We took him to normal spot and got his vetmedin and $260 later the other 2 refills, an emergency visit and shot of lasix with a different vet's educated discussion on what is wrong with him, and he thinks he'll improve but can't give a time span on life left, bc the little guys often get those heart conditions but don't show symptoms and die in sleep from the heart murmer/ atrial valve malfunction. I got the roommate to pull over at wetzel's pretzels and got a bag of snack pretzels with cheese, high sodium, but not counting it now. Will have to cut back on other sodium the rest of the day. Thought I would be late or have to cancel for my regular's last massage until she goes to AL for 2-3 months, but made it back in time to do more laundry and shower and set hot packs to heat so they will be ready by the time the appointment starts. Measurements after shower and after getting dressed. Did studying when I got home from Starbucks 4th cup for then as brown sugar oat espresso and a 5th cup for later around 9 pm of plain cold brew. All Starbucks are out of honey and other ingredients for their cold brew specialties. Went to Aldis and got some bottled moscato and merlot and some block cheese to air fry. This old Armenian misogynist new to me customer I had at ME the other night told me about how to fry cheese, and I tried it and it didn't work, but still tasted good with mushrooms in airfryer. Did some studying and note taking of labs from 3 pm till about 10 pm when I went to bed. Did the laundry while studying but no time to fold so kept running dryer cycle. No alcohol all day/night. Had a gardein oat bread plain sandwhich for dinner and some yogurt. Ankles weren't that swollen from the high sodium wetzels ate earlier or the studying on my feet and sitting at desk but noticing when I have to pee and sitting my knee pressure is more intense on R knee. At the end of the night I noticed a tiny bit of fresh blood when urinating, and again later, but was gone by the morning. Just noting it here. I just ended my rag about 2 weeks ago, right? 16 days since.</t>
  </si>
  <si>
    <t>roommates ricecakes, 1 ricecake:</t>
  </si>
  <si>
    <t>patron both servings</t>
  </si>
  <si>
    <t>Woke up at 530 am by alarm, cleaned pet messes, made coffee, fed Growly his meds all of it 3x lasix now as a new change the water pill, and got the vetmedin finally 2x day and 1x the other pill. His cough is much less than before and he doesn't get too excited. Folded laundry I ran in dryer 3-4 times yesterday too busy to fold and didn't want wrinkles. Still haven't unpacked vacation stuff or washed it to get chemicals off, and there is about 2 loads of that to wash and dry before Sunday. Got a lab exam due before midnight tonight to study some more for and review a hopefully recorded lecture the last for the week that could help with the exam and the final. All assignments turned in. Checking my logins for SCUHS, Nebula, and TDLR TX massage licensing, and emailed nebula to find out after 3 months when my sequence would get here, by emailing an old email as a reply with question. Didn't login to the account for my kit but my kit number is in the email. Had a reg lg BM after 1st cup of coffee and finished 2 cups of coffee while updating this database. Then breakfast, and measurements. Took measurements after breakfast of the other gardein patty I airfryed yesterday reairfryed to warm up with a couple slices oat bread with mozz/parm airfryed on it, and 1/2 cup vanilla honey greek yogurt. I am losing some off inches along waistline and fat caliper measurements. It could be the greek yogurt and/or bella mushrooms airfryed. I will have to check that out, or else metabolism picking up after 3 days rest from workout. I need to go back to the gym to squeeze in some more weight training. No blood noticed today when peeing, and ankles aren't swollen, I will start out with marking the swollen ankles as not, since not noticeably swollen just a bit around outer malleola L ankle. Studied for the lab exam and took that by 10 pm. Aftewards had 2 patrons and watched a movie on Hulu with an actor whose name I forgot. Ate snacks while watching it. I didn't remember his name but Nicolas Cage as I looked up the movie. I think it was actually Amazon prime. It was like a B movie, he plays a guy with a crazy wife that hides people in the basement to have babies to expand their family bc she cannot have kids and wanted to have a big family since a little girl. I had an impossible patty with 1 slice oat bread airfryed no mozz/parm added, a mango airfryed with 4-5 sm mushrooms, 2 1/2 servings colby jack cheese altogether including lunch at work of a serving each of colby, mozz, white cheddar, 1/4 serving cashews, 1/2 cup yogurt vanilla honey greek yogurt, for breakfast had the gardein burger with 2 slices oat bread and 1/4 mozz/parm cheese airfryed. For lunch had 2 eggs scramble airfryed turned out fluffy with 2 slices oat bread mozz/parm airfryed too, 1 brown sugar oat milk espresso for 5th cup coffee, had instant as 4th cup at lunch, and 3 instant for bkfst, and a vanilla sweet cream cold brew both starbucks same time when arriving from work and while studying. Got tired studying while sitting in bed and might have dozed off sitting for 5-10 minutes and woke up feeling refreshed enough to continue studying. I also had about 1/4 cup of the yogurt with my gardein burger for breakfast at home and ate the 5 mushrooms I airfryed for lunch for breakfast once arriving at work. Ate the last of yogurt for lunch. I also had a few of the rice cakes no sodium of the roommates in airfryer with mozz/parm with 35 calories and 7 carbs and 0 on fat protein and sodium. Went to bed after the movie around 1230 am.</t>
  </si>
  <si>
    <t xml:space="preserve">5 slices oat bread
(550.00	10.00	0.00	20.00	95.00	10.00	675.00)
2.5 servings colby jack cheese
(275.00	22.50	12.50	17.50	0.00	0.00	425.00)
1 serving white cheddar
(110.00	9.00	5.00	6.00	1.00	0.00	180.00)
1 serving mozzarella
(80.00	6.00	3.00	7.00	2.00	0.00	190.00)
1/4 serving cashews
(41.00	3.38	0.63	1.18	2.10	0.23	1.00)
1 gardein patty
(210.00	11.00	9.00	20.00	7.00	1.00	450.00)
1 impossible patty
(240.00	14.00	8.00	19.00	9.00	3.00	370.00)
1 mango
(107	0	0	1	28	3	3)
10 mushrooms
(20.00	1.00	1.00	3.00	2.00	1.00	10.00)
2 eggs
(140	10	3	12	0	0	140)
1 serving vanilla honey yogurt
(180.00	6.00	3.00	14.00	19.00	0.00	50.00)
2 rice cakes no sodium
(70.00	0.00	0.00	0.00	14.00	0.00	0.00)
1/2 cup mozz/parm shredded cheese
(200.00	12.00	8.00	16.00	4.00	0.00	560.00)
brown sugar oat milk shaken espresso Starbucks grande
(120.00	3.00	0.00	2.00	20.00	1.00	120.00)
vanilla sweet cream cold brew grande Starbucks
(70.00	5.00	3.50	1.00	4.00	0.00	20.00)
=550+275+110+80+41+210+240+107+20+140+180+70+200+120+70
=10+22.5+9+6+3.38+11+14+0+1+10+6+0+12+3+5
=0+12.5+5+3+0.63+9+8+0+1+3+3+0+8+0+3.5
=20+17.5+6+7+1.18+20+19+1+3+12+14+0+16+2+1
=95+0+1+2+2.1+7+9+28+2+0+19+14+4+20+4
=10+0+0+0+0.23+1+3+3+1+0+0+0+0+1+0
=675+425+180+190+1+450+370+3+10+140+50+0+560+120+20
</t>
  </si>
  <si>
    <t>serving Copper Wood wine 1/2 coffee mug full</t>
  </si>
  <si>
    <t>Woke up at 620 am but got out of bed when alarm went off at 630 am, and didn't update this database but did the studying for the final by answering what I could on study sheet that hopefully is accurate as specific questions on certain topics that exclude many other topics. Did that for 3 hours until 930 am and had 3 cups coffee by the end of studying and one serving of colby jack cheese. Had a reg BM after 1st cup of coffee, did the normal routine with only a tiny pet mess to clean, the coffee, Growly's meds, and fed babies. I am dirty, have coffee stains and paprika stains and dirty makeup on face that I studied in and want to shower, and feel like the final exam won't take too much longer to study, but will be a lot of essay questions. So need to be ready and alert for that. Have to go over the apply your knowledge questions from worksheets too at 10 am haven't gotten to. Want to shower. I didn't shower yesterday on the way to work, and have had the same type days where too busy to shower, but my little halter top tshirt with stains all over it makes me feel the need to shower. Also was a little mensa spotty yesterday afternoon, and this morning the same. Might be starting my rag early. I will have to backtrack and mark those days this and yesterday as menstruation days if it continues. Studied and took a break to go to Starbucks and get a couple vanilla sweet cream cold brews around 1130 am, had one then and another around 1 pm. Then went to Stater Bros to get groceries, was going to go to Target but decided I have been going there too often this week alone, so I went to the Stater Bros by that Target. Got the necessities like water, yogurt, oat bread, cat food canned, and ice cream for the babies and for Growly to put his meds in. Also more disposable bowls for the babies. Gave them some ice cream at the house, finished studying by about 230 and took the exam around 3 pm and finished around 4 pm, but I don't think it took that long, maybe 35 minutes or so. Done with this course, and will need to order my official transcript to send to my school in a week when grades post as they need it before starting chiropractic school. Was going to work out, but I don't remember what the hell I did with my workout gloves. It is so weird that I don't know where they are. I will have to get some more. I think there are chemicals in the weights I use that make my palms itch or the bones and cartilage ache lately, around my fingers. Like arthritis but they don't look inflamed. I need to put gloves on when using those weights. Poured a glass of merlot but really wanted to pour patron over my mug of ice cubes but the roommate was sleeping and its from his stash. Didn't drink it until I felt like drinking the cheap Merlot. Copper something from Aldis. I also need a car wash, it got dirty since that last rain in the morning on Monday and haven't washed it since. It was nice out today, warm, blue skies, and in the distance clouds over the mountains. Felt great. Looked like a perfect beach or pool day. A little windy in some parts but not terribly windy. What a relief to have a month break. Get to relax. Yay! Maybe pick up that bioinformatics with python or genomic data primer to analysis with R books I ordered a few months ago when taking the genome sequencing kit. I should wash all those items I bought at Target for this trip this Sunday. I took myself off the schedule Sunday so that I could pick up Bailey and go there after work when I get out at 3 pm and check into the airbnb. Brooke might go on Monday night. I don't know that she has ever driven that far though, but I did get her a Universal Studios ticket. She also said she could meet us at Universal Studios instead. I have a client tomorrow after work and might work out, then Saturday I have a couples on my monthly plan and an MLD client not on a plan, but knows she can pay the difference in the package if she decides to get it. Went to bed around 1030 pm after watching a movie on fandangonow.com called Nobody with the guy from Better Call Saul on it. I had about 1/5 a whole pineapple and 1/2 a mango and 1/4 serving cashews in the air fryer and 4 boiled eggs and 4 more servings of wine, for the bottle of wine called Copper Wood merlot. I also put the laundry of new towels, rags, washcloths, beach towels and 2 queen linen sets in wash to take off new chemicals and clean the fibers that stay on towels that are new and stick to body.</t>
  </si>
  <si>
    <t xml:space="preserve">4 slices oat toast 
(440.00	8.00	0.00	16.00	76.00	8.00	540.00)
1/2 cup mozz/parm on toast 4 slices above
(200.00	12.00	8.00	16.00	4.00	0.00	560.00)
impossible patty for late breakfast early lunch
(240.00	14.00	8.00	19.00	9.00	3.00	370.00)
2 servings colby jack cheese
(220.00	18.00	10.00	14.00	0.00	0.00	340.00)
1 serving vanilla honey greek yogurt
(180.00	6.00	3.00	14.00	19.00	0.00	50.00)
2 vanilla sweet cream cold brews Starbucks for 4th and 5th cup of coffee
(140.00	10.00	7.00	2.00	8.00	0.00	40.00)
1 serving pineapple
(25	0	0	0	6	1	0)
1/2 mango
(53.50	0.00	0.00	0.50	14.00	1.50	1.50)
4 eggs boiled
(280.00	20.00	6.00	24.00	0.00	0.00	280.00)
1/4 serving cashews
(41.00	3.38	0.63	1.18	2.10	0.23	1.00)
1 serving sharp white cheddar cheese
(110.00	9.00	5.00	6.00	1.00	0.00	180.00)
=440+200+240+220+180+140+25+53.5+280+41+110
=8+12+14+18+6+10+0+0+20+3.38+9
=0+8+8+10+3+7+0+0+6+0.63+5
=16+16+19+14+14+2+0+0.5+24+1.18+6
=76+4+9+0+19+8+6+14+0+2.1+1
=8+0+3+0+0+0+1+1.5+0+0.23+0
=540+560+370+340+50+40+0+1.5+280+1+180
</t>
  </si>
  <si>
    <t xml:space="preserve">2 gardein vegan beef patties
(420.00	22.00	18.00	40.00	14.00	2.00	900.00)
6 slices oat bread
(440.00	6.00	0.00	12.00	80.00	4.00	760.00)
2 tbs parm
(20	1.5	1	2	0	0	100)
1 serving pineapple
(25	0	0	0	6	1	0)
1/2 mango
(53.50	0.00	0.00	0.50	14.00	1.50	1.50)
brown sugar oat milk cold brew instead of espresso same calories different price
(120.00	3.00	0.00	2.00	20.00	1.00	120.00)
1 serving vanilla honey greek yogurt
(180.00	6.00	3.00	14.00	19.00	0.00	50.00)
1 serving mozz
(80.00	6.00	3.00	7.00	2.00	0.00	190.00)
1 serving white cheddar
(110.00	9.00	5.00	6.00	1.00	0.00	180.00)
1/2 cup mozz/parm on the bread above
(100.00	6.00	4.00	8.00	2.00	0.00	280.00)
no salt rice cakes 2
(35.00	0.00	0.00	0.00	7.00	0.00	0.00)
1/4 cup mozz/parm
(100.00	6.00	4.00	8.00	2.00	0.00	280.00)
1/2 cup yogurt vanilla honey greek
(120.00	4.00	2.00	9.33	12.67	0.00	33.33)
1 serving pineapple
(25	0	0	0	6	1	0)
1 serving white cheddar
(110.00	9.00	5.00	6.00	1.00	0.00	180.00)
=420+440+20+25+53.5+120+180+80+110+100+35+100+120+25+110
=22+6+1.5+0+0+3+6+6+9+6+0+6+4+0+9
=18+0+1+0+0+0+3+3+5+4+0+4+2+0+5
=40+12+2+0+0.5+2+14+7+6+8+0+8+9.33+0+6
=14+80+0+6+14+20+19+2+1+2+7+2+12.67+6+1
=2+4+0+1+1.5+1+0+0+0+0+0+0+0+1+0
=900+760+100+0+1.5+120+50+190+180+280+0+280+33.33+0+180
</t>
  </si>
  <si>
    <t xml:space="preserve">Woke up at 530 am by alarm and got out of bed around 540 am and spun the wash and put in dryer, cleaned pet messes, gave Growly his meds with his food, he still coughs and gets excited, fed the babies, looked at the news and updated this database. Had a reg BM after 1st cup of coffee when roommate came in, with Growly still coughing when he gets excited. Drank 2nd cup of coffee after taking in catfood from the van and the toilet paper and paper towels and having the roommate take in the waters. I have one of my MLD clients later today at 545 pm I get back home on Fridays around 445-5 pm. She lives about 20 minutes away on side streets. I have been spotty last few days, and am going to back track and put the last two days as starting mensa, even though very light, spotty.Measurements taken after BM and 2nd cup coffee, but before breakfast. Went to bed after 1030 pm after watching Jolt and 2 servings Patron. Finished his bottle of Patron. Will need to replace it. </t>
  </si>
  <si>
    <t>patron tequila</t>
  </si>
  <si>
    <t>Stater Bros Rocky Road ice cream, 2/3 cup is one serving:</t>
  </si>
  <si>
    <t>teremana tequila</t>
  </si>
  <si>
    <t>pot of beyond meat, 1/2 bag broccoli, 1/2 3 bell peppers of yellow/red/green</t>
  </si>
  <si>
    <t>bowl of beyond/brocc/3 peppers---1/2 veggies, pot makes 3 bowls</t>
  </si>
  <si>
    <t xml:space="preserve">2.5 servings vanilla honey greek yogurt
(450.00	15.00	7.50	35.00	47.50	0.00	125.00)
1 serv white cheddar
(110.00	9.00	5.00	6.00	1.00	0.00	180.00)
1.5 servings of Rocky Road icecream
(330.00	18.00	9.00	6.00	37.50	1.50	90.00)
3 servings of mozz block cheese (2 in bread before clients, 1 after clients while drinking with pups)
(240.00	18.00	9.00	21.00	6.00	0.00	570.00)
2 oat bread
(220.00	4.00	0.00	8.00	38.00	4.00	270.00)
1/4 cup mozz/parm
(100.00	6.00	4.00	8.00	2.00	0.00	280.00)
2 oat bread
(220.00	4.00	0.00	8.00	38.00	4.00	270.00)
1/4 cup mozz/parm
(100.00	6.00	4.00	8.00	2.00	0.00	280.00)
1/3 bowl beyond, 1/2 red&amp;green&amp;yellow bells, 1/2 broccoli as sandwhich
(123.06	8.02	2.22	9.22	3.83	1.33	157.61)
=450+110+330+240+220+100+220+100+123
=15+9+18+18+4+6+4+6+8.02
=7.5+5+9+9+0+4+0+4+2.22
=35+6+6+21+8+8+8+8+9.22
=47.5+1+37.5+6+38+2+38+2+3.83
=0+0+1.5+0+4+0+4+0+1.33
=125+180+90+570+270+280+270+280+157.61
</t>
  </si>
  <si>
    <t>Woke up at 530 am by alarm. But got out of bed at 545 am groggy and tired, still just spotty on rag, and dehydrated, drank 1/2 bottle water made coffee and fed babies their food and Growly his meds. The roommate took in a kitten that was a bigger kitten around 8-9 months, not full grown but not a tiny kitten. It came up to him at night so he put it in the laundry room away from the babies. Saw it this morning and let it out and gave it food. But we can't keep it inside, our indoor cat doesn't get immunizations and this one might catch something or have something they could get and we don't have another kitty litter box for it. They like their own kitty litter boxes. My client yesterday cancelled, other plans. And the client tonight cancelled last night, probably the same. I do have a couples tonight that is part of the monthly membership and they haven't cancelled. Tomorrow after work is vacation. I folded all the towels and linens to take with us for the airbnb last night and put in a carrying bag made for laundry with my other supplies like cleaning supplies and beauty supplies. Need to take a shower today before work, bc no shower for 2 days now. There were also ants on the kitchen counter I wiped up with a clorox wipe that keep coming back in a trail but a thinned out trail. I usually don't kill things but, ants are ok and bugs. Thankfully we don't have any bugs. Its hot out and they are invading while looking or searching for food. The wet cat food I leave outside for the cat and now another kitten aren't enough for the ants, they want are other supplies. Had a 2nd cup of coffee late. Have to get to work by 750 am. Will eat yogurt on the way. Took measurements after 1st cup of coffee. Drinking 2nd cup. Waking up. Woke up and had 3 cups coffee and put away my personal laundry and did take a shower and washed hair and ate breakfast at work, the rest of the yogurt about 2.5-3 servings and a serving of the last of the white cheddar, then had a 4th cup of instant coffee with it for lunch and got a car wash for my van but took off the magnets and washed separate as one mystery magnet seems to always fall off and it changes location. Best to prevent that hassle as I had to intervene in the next person's wash last two times and it could be bad if I keep playing that game with odds, fortuately not. But people typically do not weirdos looking under their car while they are getting a wash. There was actually nobody waiting for the car wash today on my lunch which is great, not even afterwards. I went home before the couples' massage. Great couple, very nice, young, has a lot of things and well to do with kids and their own biz of water meters. They are younger than me. We are even, and calculated my money, they will buy August when they book their next couples for the monthly membership. I owe 3 MLD clients 5 massages each at $45 each and a new one I forgot about, that prepaid I owe her 9, she had her lipo the day it rained in the morning this Monday. She is a nice lady. They all are. On the way home I bought a patron to replace the one I emptied over the last month of the roommate's and a Rock's brand Teremana tequila. They taste similar, but the Teremana is 1/2 price of the patron. I haven't seen the cute kitten that my roommate brought home last night or let in because it approached him. Poor little guy, hope he is ok. He was a cute little tabby with white boots on his fur. Very sweet cat. Could be a girl or boy. I didn't look. Friendly cat. I didn't have a BM in the am, but might before bedtime. Feeling movement. Doing the linens in wash before packing the van to leave and get my niece after work tomorrow for the beach. So, in my savings $1170 is the clients' money $225 for 3 MLD clients prepaid 10 pkg for $450 instead of $600, and one MLD $405 owed on same package but for 9 MLD massages instead of 5. Also, included my client that canceled a few earlier in June and never rescheduled but has been busy traveling and had a health issue come up that she didn't discuss with me. That's $1522 in savings and minus $1170, leave $352, I will transfer $350 for fun on vacation. Also, my spotty thing that was happening last 4-5 days stopped and looks like old blood. Weird. I must be pre-menopausal at 39 years of age. Had a reg solid slightly constipated BM at around 8:09 pm after 1st tequila drink and some of 2nd drink. Listening to country music. Made the receipts and SOAP notes for the clients earlier. And emailed out to them. Ankles haven't been that swollen last week, and the menstruation is still marked for today, but this set of menstruation is only spotting since it was noticed about 5 days ago, very light spotting dark blood and today was color of old blood and almost clear but not.</t>
  </si>
  <si>
    <t>Woke up at 530 am by alarm. Vacation after work, getting ready. Making sure to bring my phone charger and necessities and the scale and tape measure and calipers for the daily measurements. Measurements taken before BM and before breakfast and after 1st cup of coffee while waiting for 2nd cup of coffee. Did regular routine this morning, still ants but on the dogs' food and water, I sprayed the trail, the trash is outside bc of ants, cleaned pet messes, fed Growly his meds and the babies their food. Had a BM before finishing 2nd cup of coffee then packed for the 2 day airbnb or 2 night 3 days, a short day checking in and out. Packed a lot of stuff and put hydrocollator in car. Got about 7 hours of sleep, went to bed around 10 pm and woke up at 530 am. Going to shower before work. But eat breakfast before that. Had 2 slices oat bread with 1/3 bowl beyond meat in a sandwhich with mozz/parm and ate the rest of the pot, about 2 bowls total for lunch, didn't eat all of it. Then after work had a brown sugar oat milk espresso, they ran out of the cold brew at Albertsons by my nieces' house. We left by 4 pm to go to Redondo, got there about 515 pm and checked in, met some neighbors with a miniature pincher Mandy. The place is nice, but found out later the bed in living room is in a room the blinds don't shut all the way. We walked the beach strand about 1/3-1/2 the length from Torrance Beach to Redondo Beach and saw a lot of pet dogs. I could have brought Growly maybe. The roommate is giving him his meds. We then ate at the Green Temple before closing, small food, still good food, but wait is crazy once sitted, one waitress and one cook and meal pred or waitress for outdoor patio. I had the white lasagna and the strawberry cheesecake and Bailey had the vegan burger plain. Then we walked the beach and the stairs, she is definitely more fit than me and made it up the steep stairs in half the time as me. We went to the movies and saw Black Widow around 915 pm but got there early. I had a cherry vanilla fountain soda and she had a fountain soda sprite and popcorn. It was good, but a little slower than expected. Similar to the other Marvel films. We got back around 12 am and went to bed around 1230 am. Planning to get up as normal by alarm. Then breakfast and the beach. She might have her friend Megan come by with her dad. Had 5 cups coffee altogether. My ankles weren't too swollen at all but the R knee was feeling pressure sitting and watching movie and previews while drinking soda and the low legs itchy with compression socks on. No more mensa. 4th cup coffee at work instant brand. I got my new waist trimmer the one I originally wanted last night and washed it with linens I washed and folded, put it on and its a small but feels tighter than the other 2 smalls. I think it is more a 30" waist trimmer.</t>
  </si>
  <si>
    <t>veggie alfredo sauce lasagna substituded nutrition for Green Temple, similar, https://recipes.sparkpeople.com/recipe-calories.asp?recipe=3048498, 1 serving, the restaurant is like 2 servings:</t>
  </si>
  <si>
    <t>no bake jello stawberry cheesecake, subbed for green temple vegetarian strawberry cheesecake, 1 slice serving, https://www.nutritionix.com/i/nutritionix/jello-no-bake-strawberry-cheesecake-1-piece-0.13-cake/591ca702b4b0c845436cbf0d</t>
  </si>
  <si>
    <t>cherry vanilla coca cola med size fountain drink, 16 fl oz, https://www.calorieking.com/us/en/foods/f/calories-in-sodas-soft-drinks-vanilla-cola-soda/gX7nsZX1TJGOL-kWteqHgw</t>
  </si>
  <si>
    <t xml:space="preserve">2 slices oatbread
(220.00	4.00	0.00	8.00	38.00	4.00	270.00)
1/4 cup mozz/parm
(100.00	6.00	4.00	8.00	2.00	0.00	280.00)
3 white corn tortillas Guerrero
(150.00	1.50	0.00	3.00	31.50	3.00	30.00)
2 bowls total of the beyond meat broccoli redgreenyellow peppers
(738.33	48.11	13.35	55.33	23.00	8.00	945.68)
used airfryer for above 2 items and some in the sandwhich for breakfast
white lasagna tofu sauce cabbage carrots sun dried tomatoes, spinach fettucini noodles,organic tofu, organic eggs, cheddar cheese, vegetarian pasta
no nutrition information but sauce tasted salty high sodium but ankles didn't swell up
(452.00	16.60	8.20	25.80	60.60	13.40	527.60)
strawberry cheesecake maple syrup stawberries cream cheese graham crust
(448.50	18.00	9.45	7.80	66.00	7.80	534.00)
brown sugar oat milk espresso
(120.00	3.00	0.00	2.00	20.00	1.00	120.00)
cherry vanilla coca cola fountain drink med sz
(199.00	0.00	0.00	0.00	55.90	0.00	50.00)
=220+100+150+738.3+452+448.5+120+199
=4+6+1.5+48.11+16.6+18+3+0
=0+4+0+13.35+8.2+9.45+0+0
=8+8+3+55.33+25.8+7.8+2+0
=38+2+31.5+23+60.60+66+20+55.9
=4+0+3+8+13.4+7.8+1+0
=270+280+30+945.68+527.6+534+120+50
</t>
  </si>
  <si>
    <t>8/2/21 Mon starbucks redondo coffee with almond milk 2.75</t>
  </si>
  <si>
    <t>8/2/21 Mon Sacks on the beach avocado toast and bagel egg sandwhich for bailey $19.95+0.20% tip = 23.74</t>
  </si>
  <si>
    <t>8/1/21 Sun AMC Rolling Hills Estates/redondo movie tickets 27.98 13.99 each</t>
  </si>
  <si>
    <t>8/1/21 Sun AMC Rolling Hills Estates/redondo movie snacks 2 reg fountain sodas and med popcorn 23.00</t>
  </si>
  <si>
    <t>8/1/21 Sun The Green Temple Redondo Beach 43.80 + 10.00 tip = 53.80</t>
  </si>
  <si>
    <t>7/30/21 Sat Circle K car wash 15.00</t>
  </si>
  <si>
    <t>7/31/21 Sun Circle K fuel fill up 61.45</t>
  </si>
  <si>
    <t>8/2/21 Mon San Pedro Fish Market and Restaurant shrimp and fries, side frence fries and cheeseburger plain and 2 med fountain sodas Pepsi and Sierra Mist</t>
  </si>
  <si>
    <t>8/2/21 Mon Smart &amp; Final snacks for airbnb</t>
  </si>
  <si>
    <t>snickers icecream serving 2/3 cup</t>
  </si>
  <si>
    <t>1/4 pound popcorn shrimp, calorieking.com</t>
  </si>
  <si>
    <t>small french fries low sodium</t>
  </si>
  <si>
    <t xml:space="preserve">2 slices wheat bread
(280	7	1	8	42	8	360)
1 avocado
(322	29	4	4	17	18	14)
2 eggs
(140.00	10.00	3.00	12.00	0.00	0.00	140.00)
1/4 cup almond milk
(10.00	0.75	0.00	0.25	0.50	0.25	45.00)
2 servings snickers icecream
(420.00	16.00	9.00	6.00	64.00	0.00	210.00)
9 fried/popcorn shrimp
(390.00	25.00	8.00	14.00	28.00	3.00	15.00)
small french fries there wasn't mush salt on the fries
(267.00	13.70	1.80	3.20	32.70	3.00	247.00)
=280+322+140+10+420+390+267
=7+29+10+0.75+16+25+13.7
=1+4+3+0+9+8+1.8
=8+4+12+0.25+6+14+3.2
=42+17+0+0.5+64+28+32.7
=8+18+0+0.25+0+3+3
=360+14+140+45+210+15+247
</t>
  </si>
  <si>
    <t xml:space="preserve">Woke up at 630 am, but didn't get out of bed until about 650 am, peed after not peeing all night but didn't drink water before bed, on vacation, babies at home. Slept intermittently last night without them cuddling and sleeping around me. Gave Bailey the other room. Took measurements after 1st cup of coffee, then made 2nd cup of coffee. We're going to go to a breakfast and other food place for breakfast called Good Stuff if its still there. Otherwise, google something local then off to the  beach. The weather in Corona at 742 am is 73 but the weather in redondo beach is 66 degrees. It was kind of chilly last night. Had a reg BM after 2nd cup of coffee. Thats good that I was able to go. Slightly dehydrated constipated, but movement, so must be relaxed. Got some places to visit for lunch and breakfast. Not Good stuff but another diner called Krust. Sounds good for avocado toast and strawberry waffles. Unless something else, and the San Pedro Fish market. Their ceviche, seafood soup, halibut, or seafood tacos like scallops and/or shrimp. Sun is out. Going to shower. Wait for Bailey to wake up. I showered and put makeup on and had a 3rd cup coffee half serving as usual, then put makeup on, and we went to some other restaraunt called Sacks nearby, we walked. I had the avocado toast that was slightly brown spotted or old avocado on top, with 2 eggs boiled and sliced on top. on wheat bread, bailey had some bagel egg sandwhich with side of fruit she didn't eat. We then walked the strand on the beach from the top to the pier and back and up the stairs. We walked those steep stairs yesterday too, and she is much faster than me. I was able to refund the client I never massaged with MLD post-op only pre-op that one, but added the $15 service cost ontop that she saved by buying in bulk. Square took out the fees I paid and let me refund her $390 on her end, but will take out the $390 from my checking account minus any fees paid, around $15 in fees. So now have the 3 MLD clients that are owed $225 each or 5 MLD each, but their $15 per massage gets tacked onto each massage if they cancel as well, so it is actually, 225 each plus $15*5=90, which is 225-90=135 refunded to each of them. Or full 225 if I cancel for whatever reason those MLD massages. Because the work can get tedious and it takes more than 30 minutes there and 30 minutes back plus the hour and driving and they don't tip, the one MLD client's bf always tips me for the most part. When he gets a massage too, but his monthly is squared up or even, and he needs to buy another month. Same with the couple I just massaged a few days ago. We were going to wait for coffee to go at the creme de la crepe restaurant in redondo on our walk back but they were busy and didn't have my coffee, so the dude said we could just go to Starbucks on the corner. So we went there, but he was rude about it. Some short little gay Mexican server. I guess he thinks their wait is not worth the food or me standing there when they're so busy is not worth his time as a server. Doubtful he owns the bar. They don't look French. Most looked hispanic. Thanks for the heads up on the food there. Bailey's friend hasn't decided if she wants to come to the beach and I would spend more money on her universal ticket and they would have to squeeze into the front seat. Already spent $210 approximately on fuel and dinner and movies so far. What's another $140 plus more food expenses. They are easy to shop for food at the fast food places. Bailey and I went to the beach closer to Palos Verdes side, tanned in the sun listening to country music. Then went to the San Pedro Fish Market and Restaraunt. Not worth the wait for what we ordered. It does serve up huge shrimp baskets, but it is way too much shrimp to eat with their bread. We saw all the stuff they served and we just had a cheeseburger plain with fries for her and fried shrimp and fries for me with Pepsi. I drank half of my fountain soda. We were there about an hour but a little more just waiting, then Waze took us down the wrong way and onto the huge Long Beach bridge that is nerve wrecking to use. But made it back, stopped off at the airbnb but had to go to grocery store to get snacks we both forgot and took a bunch of mini turns to back out of the tight spot in structure. We got some Snickers icecream, baked cheetos, nacho cheese sauce and tortilla rounds with water bottles 35 pack Smart &amp; Final brand. This Smart &amp; Final is where there used to be an Albertsons. Only had 4 cups up until now of coffee, 3 at home instant and the one from Starbucks that was reg house blend with almond milk. I would have gotten cold brew but the barista said something smart about the face coverings not being on like she has her own jokes. Started updating this around 645 pm. The roommate said Growly is good just tired. Bailey's friend Megan came over at 920 ish after her dad Dan or Matt, sounded like he said Nan dropped her off. Then I showered and dried hair. Got ready for bed. Brooke came over around 1030 or 11 pm. Couldn't fall asleep right away. Same as other night. He gave her money for her universal studios ticket. Megan's dad. </t>
  </si>
  <si>
    <t>8/3/21 Tue Universal Studios Hollywood, Harry Potter area butter beer $8 + Gilly water bottle $5</t>
  </si>
  <si>
    <t>8/3/21 Tue Universal Studios Hollywood, Cinnabon, cinnamon roll $6.79 classic, iced cold brew sm vanilla 3.99, bonbites (4ct) 6.49</t>
  </si>
  <si>
    <t>8/3/21 Tue Universal Studios Hollywood, parking</t>
  </si>
  <si>
    <t>vacation: debit card</t>
  </si>
  <si>
    <t>vacation: credit card</t>
  </si>
  <si>
    <t>8/3/21 Tue Universal Studios Hollywood Bailey's bff one of them, Meghan O'connor, entrance CA rate $124</t>
  </si>
  <si>
    <t>8/3/21 Tue Universal Studios Hollywood Menchies frozen yogurt treated Brooke, Bailey, Meghan, myself</t>
  </si>
  <si>
    <t>8/3/21 Tue Universal Studios Hollywood Starbucks in theme park, 4 bottled waters $20 and 1 salted carmel cream f? cold brew grande $5.49</t>
  </si>
  <si>
    <t>vacation: airbnb rental redondo beach Sun 8/1/21 5:15 pm: Tue 8/3/21 8:30 am</t>
  </si>
  <si>
    <t>vacationRedondo812021_832021</t>
  </si>
  <si>
    <t>total vacation cost:</t>
  </si>
  <si>
    <t>Woke up at 610 am and stayed in bed until 630 am. I probably went to sleep around 1230 am, so got about 6 hours of sleep. Woke up got my coffee. Brooke is sleeping on bottom half of day bed. She'll have to move her car before 8 am on the street and I am going to be packing all the stuff into the van around 715-730 am. I will wake her up officially at 745 am. Took my measurements first thing to get it over with before coffee or breakfast. Weather in Redondo Beach is 64 degrees around 645 am and in Corona is 73 degrees. No BM all day. Went to Universal Studios all of us ready and checked out by 830 am. Got there a little after 930 am. Bought Meghan's ticket, her pops only gave her money for grub which didn't go far. Only a butter beer and food for her and Bailey and Panda Express. I spent more money getting the girls some bottled waters and frozen yogurt. Was great except for the cunty Mexican mama in front of us on 2nd Harry Potter ride, she tried to stare me down for some odd reason. After I almost ran into her when turning and said oops but didn't touch her. We literally had a nonverbal confrontation with me outstaring her then turning around and sending her vibes of arrest and deportation for being a stupid bitch who wants to start a fight because her domestic relationship makes her want to look for battles with other females instead of handling her spouse I am assuming. She is a cunt. I thought about that stupid bitch and how close we were to actually fighting. She reminded me of the chick I got in trouble with in 2009 about 12 years ago, and I turned away from her, but she almost had me making the first verbal response. If I had it on video you would know, but you have to take my word for it. The girls didn't notice, but the other people, some behind me did and were in disbelief. Who comes to a theme park with kids to start a fight and look for bullying some stranger into 'respecting' you. Stupid fat mexican bitches. She literally was speaking Spanish to her dude and keeping a 6-8 foot distance from guests in front while not wearing her face mask. Like she wanted me to provoke her or 'start' a fight. Only bitches that got in confrontations and been in fights including dudes know what the 'mad dog' stare is. She really made me want to bash her head in with my fist and kick her in the head with my feet and knees and throw her on the ground. She is probably 30 pounds heavier than me around her midsection. I hate the 'mad dog' stare. I don't care who the fuck you are, if you try to intimidate me with it, your going to get it right back, just like that racist white dude in front of the South Corona client's house with his german shepard off a leash across the street. I saw Asian dudes giving me that look too when crossing. But not the actual fight mode look, just the one that says they don't give a fuck who I am, and are going to stare at me to get me to show them I am a bitch by staring back. I swear to god that happened. Not all the asian dudes, but a few, at least 3 random Asain dudes. Fucking ruined my mood and I spent a lot of money so far on this vacation to enjoy it with my nieces and her friend. Who the fuck gives them the right to stare down any person, for what, to test them. They were straight edged Asian dudes too, and the lady looks like the typical wife who gets disrespected by her spouse and is shown no respect at home so tries to bully or intimidate other strangers who are females and smaller than them into showing them some type of respect they don't get at home. I will show her the fighters respect if legal to do so to someone throwing the mad dog stare down. But its not so I won't. And have to avoid looking at their disrespectful, entitled asses. Anyways, traveled with Bailey home, and took almost 2 hours as we left around 530 pm and got to her place around 725 pm. We rode all the rides. and the dispicable me one is least favorite, the jurassic park, mummy, and harry potter rides are really good. And the transformers one was good and the tram to start that took us through movie lots. Saw the roommate when I got home and started his laundry he had piled up since Sunday night or Monday morning. Only 2 days. And many silverware and few tupperware in sink, as I left him disposable bowls. Thankfully he fed my babies I love so much. Meow meow didn't greet me and the new kitten looks pregnant according to the roommate and I saw him. Also, she seems to be staying in basement thats open but now there is a light on from her than I can see or it looked like it was on. She is about 8-9 months old as much larger than a kitten but not quite full grown. The roommate thinks she's pregnanat because her belly is big. I didn't notice. I don't even know if kittens that age can get pregnant. I poured a serving of the teremana tequila over ice while starting this database update. Finished it and did the dishes and the laundry. Upon leaving Universal Studios and riding all the rides including Simpsons and Transformers as well as the tram, Harry Potter indoors, Harry Potter outdoors (where cunty ass racist Mexican bully was who probably lies to cover up her own impulsive decisions to start fights with strangers), the Mummy ride, the  Jurassic Park ride, the Dispicable Me ride, and any others that skip my mind, we had frozen yogurt at the Menchies by our parking spot. Brooke and Meghan parked in the Trex jurassic park structure and me and Baily parked in the Curious George parking lot. I treated them all to frozen yogurt. Everybody made it to their house safely. Thankfully. I prayed for that. Being Christian you don't have to say any rosaries or father blessings, just Please God let them travel home safely, and also Universe cause they're good people. It always works. After laundry put in dryer of roommates and first of 3 possible loads of laundry for self, poured another teremana tequila over ice and drank. While updating this data base. Also, noticed while waiting in the simpson's ride and checking junk mail that a lot of mail has went to that my final exam was graded, 90/100, but not sure what final grade is and am assuming an A but could be B at worse. I think an A is fair given the work and effort I put in. But you never know sometimes. She seems like a fair professor. I also dropped my microbiology course I was still enrolled in for fall because I am going to be doing the doctor of chiropractic program for four years instead. I saw there was a waitlist, and didn't want to be some student that never showed or did work or paid that was somehow by fluke kept on record and had an F. So I dropped it. Made some other student of 4 on waitlist happy I'm sure to be added. The fall starts I think but don't remember exactly, in mid August. My chiropractic program starts early September after Bailey's birthday. My neices are so sweet. They almost got into a fight at the park bc of something Brooke does impulsively to pick on Bailey that becomes slightly bullying. But Meghan stood between them and told them to be good girls. Brooke and Bailey are both sweet hearts, but Brooke does have a mean streak that she can't help sometimes. It makes her do things like slap Bailey's face mask on her as Bailey told me. And Bailey slapped her hands away when she tried doing it again when waiting for I think the mummy ride. It might have been the transformer ride, but we were in a brick hallway. I think it was the transformer ride now that I remember. The one where there isn't any of the intermittent theatrics of the video playing of the reason for the ride and what it simulates. Vacation over with and I do feel relaxed given all accounted benefits and dumb stuff like the cunt at the 2nd Harry Potter ride at Universal Studios. Still spent less than $1000 at around $960 rounded up. Most on debit card but some on credit card. The airbnb was half the cost around $456. The rest was food and fuel and other tickets. Actually, I forgot to include the tickets for myself, Bailey and Brooke, so it was about $1352 with the other them park ticket costs of $392 total, for two erroneous tickets bought at higher rate of $134 each and the CA ticket holder cost of $124 for Brooke's ticket while the $124 cost for Meghan's ticket is included in the $960 cost. Not bad. Could have been less expensive, but they were experiences and conclusions drawn from new places to eat and making self and girls happy. I don't mind. It's easier to do that than save for a house at this high rising cost per year. I swear the houses go up $100,000 every two years and have been for last two years. Its retarded. Won't get fixed. Not in my lifetime. But not many people interested in having kids either due to this high cost of living that only nurses, cops, and teachers can afford it or military with spouses who want to retire from military living on base housing. Its retarded the housing market and other states increasing due to CA residents leaving and taking their high pay earnings in full pay retirment with them out of the state. The system is not perfect by a long shot and people like me who have a degree for whatever reason don't get hired in their degree, due to prejudices I am certain. But others even minorities from rich neighborhoods are ignorant to seeing the classism in upbringing or racism that involves races raised in low income neighborhoods or living in low income neighborhoods applying to their jobs. I still get recruiters contacting me, but expecting experienced Data scientists, and I don't want to waste my time on them any more as of a year ago. I know its all bullshit. They bring you in and keep job open if your able to get an interveiw, then find out its been closed because they don't want that position anymore. Its a waste of time and I absolutely hate people who waste my time, just like the people who take more than 4 minutes to get dressed after their massage hands on part of their blocked hour or similar is done. Or the client I had to tell couldn't book anymore because she sent me to the wrong address or didn't tell me about parking being an issue, or waits outside smoking and chatting the first time I massaged her and was done with her mom. So disrespectful. Like I am supposed to fill some servant role and make them feel like royalty but give them full time and not to expect any gratuity for being made to give my personal time to. I do not like those clients. I class them in the same class as male pervs who don't want to fill out a consent form and sound like creeps on the phone. Its another antisocial angle they play, just not the perv one but a demented one on power dynamics in the massage therapist relationship like I am some ignorant and foreign masseuse they can push around and make feel worthless. I had a BM after updating this database around 945 pm. And after finishing 2nd drink. Went to bed around 1030 pm.</t>
  </si>
  <si>
    <t>reg butter croissant, calorieking.com</t>
  </si>
  <si>
    <t>cinnabon classic cinnamon roll</t>
  </si>
  <si>
    <t>cinnabon cold brew iced coffee</t>
  </si>
  <si>
    <t>crunchy baked cheese chips 1 serving 0.9 oz calorieking.com</t>
  </si>
  <si>
    <t>baked potato chips 1 bag 1 serving</t>
  </si>
  <si>
    <t>mango sorbet calorieking.com, 1/2 cup serving</t>
  </si>
  <si>
    <t>watermelon sorbet calorieking.com, 8 oz approx 1/2- 3/4 cup 'love it' coldstone creamery brand</t>
  </si>
  <si>
    <t>watermelon sorbet + mango sorbet+3 blackberries+2 strawberries</t>
  </si>
  <si>
    <t xml:space="preserve">5 sm croissants about 2.5 reg sz croissants
(577.50	30.00	16.50	11.75	65.25	3.75	1060.00)
3/4 cinnabon roll, dry and tasted like eggs with little frosting
(660.00	27.75	12.75	9.75	95.25	1.50	855.00)
1 vanilla latte iced cold brew cinnabon
(180.00	3.50	2.00	3.00	34.00	0.00	100.00)
1 sm bag potato chips baked low sodium
(230.00	13.00	1.50	3.00	25.00	2.00	180.00)
2/3 watermelon sorbet, 2/3 mango sorbet, 3 blackberries, 2 sliced strawberries
(537.50	0.13	0.00	0.50	134.75	3.25	25.00)
3 servings baked cheetos
(360.00	13.50	3.00	6.00	51.00	3.00	600.00)
=577.5+660+180+230+537.5+360
=30+27.75+3.5+13+0.13+13.5
=16.5+12.75+2+1.5+0+3
=11.75+9.75+3+3+0.5+6
=65.25+95.25+34+25+134.75+51
=3.75+1.5+0+2+3.25+3
=1060+855+100+180+25+600
</t>
  </si>
  <si>
    <t>abducturs outer thighs 3 sets 10 reps 50 lbs	
adductors inner thighs 3 sets 10 reps '120' lbs (machine is off correct pully amount. This one had to be set to 120 to feel like 50 lbs, its the one machine that does both by turning pads 180)	
abs leg lifts on bench 3 sets 15-20 reps
squats 3 sets 20 reps 30 lbs dumbells 15 lbs each   
dead lifts 3 sets 12 reps dumbells 30 lbs	 
tricep extension bench standing 3 sets 10 reps 15 lbs each arm
shoulder lifts medial/posterior deltoids/latts 3 sets 15-20 reps 5 lbs	
calves 3 sets 10 reps 30 lbs total with dumbells	
upper trapezius shoulder shrugs 30 lbs dumbells 3 sets 12 reps	
tricep extension above head dumbell 15 lbs 3 sets 10 reps	
hamstrings leg flexion sitting 3 sets 10 reps 40 lbs    
quads with leg extensions sitting 3 sets 10 reps 40 lbs
deltoids shoulders 5 lbs each arm 3 sets 20 reps
biceps curls 30 lbs with 15 lb dumbells each arm 3 sets 10 reps dumbells
bench press 3 sets 10 reps dumbells 15 lb each arm</t>
  </si>
  <si>
    <t>garlic knots 12 oz calorieking.com</t>
  </si>
  <si>
    <t>garlic cheese bread 2 pieces from pizza hut menu calorieking.com</t>
  </si>
  <si>
    <t>margarita flat bread pizza 2 slices calorieking.com</t>
  </si>
  <si>
    <t>veggie pizza 1/4 small hand tossed dough pizza calorieking.com</t>
  </si>
  <si>
    <t>poki bowl double salmon, ahi tuna, brown rice, sesame seeds, sesame oil, gingerX4,cucumbers, carrots,whole avocado</t>
  </si>
  <si>
    <t xml:space="preserve">order of garlic knots about 12 pieces of knot shaped garlic butter pizza bread
(1039.00 42.50	9.50	18.90	132.30	0.00	2457.00)
1/4 cup pasta sauce
(35.00	0.75	0.00	1.50	5.00	0.50	180.00)
1/4 veggie pizza with red onions, mushrooms, olives, tomatoes
(306.00	13.10	6.10	12.30	34.20	1.80	648.00)
1/4 margherite med pizza
(1160.00 44.00	24.00	48.00	144.00	16.00	2200.00)
2 servings baked cheese flavored chips like cheetos
(240.00	9.00	2.00	4.00	34.00	2.00	400.00)
2 slices cheesy garlic bread
(420.00	26.00	10.00	14.00	32.00	1.00	780.00)
2 cans coca cola
(360.00	0.00	0.00	0.00	100.00	0.00	120.00)
poki bowl double salmon, ahi tuna, brown rice, extra extra ginger, cucumbers, carrots, sesame seeds, sesame oil, whole avocado
(1095.00 57.33	9.23	33.28	116.75	25.13	601.50)
=1039+35+306+1160+240+420+360+1095
=42.5+0.75+13.10+44+9+26+0+57.33
=9.5+0+6.1+24+2+10+0+9.23
=18.9+1.5+12.3+48+4+14+0+33.28
=132.3+5+34.2+144+34+32+100+116.75
=0+0.5+1.8+16+2+1+0+25.13
=2457+180+648+2200+400+780+120+601.5
</t>
  </si>
  <si>
    <t>Woke up at 530 by alarm, went back to bed and got out of bed for the 630 am alarm.Got about 7.5 hours of sleep. The blink kept going off in middle of night because of a moth flying by it. Gave Growly his meds, fed babies with icecream, had my coffee and snacked on the last of baked cheetos with 2nd cup, The roommate got home around 730 am, we found out the charges on his account are from Amazon items ordered in May. I texted Dad to let him know I can do his taxes today and looked into my SCUHS account and approved the $33000 student loans for the fall and spring terms 2/12 the program of which $6600 is for their healthcare each term. And 20500 for the two terms. Didn't see the program listed on courses, but could be too early. Also didn't see the university health care contact information to schedule the physician clearance and TB test. I want to do that today on my day off. Had a sm reg BM after 2nd cup of coffee. I put more instant coffee in 2nd cup and avoided 3rd cup instant coffee, picked up Dad's tax docs and worked out with weights and machines at UFC. Slightly sun burned, can feel it, not noticeable to view except areas on upper thigh not viewable by public, can feel it when clothes brush against it. No shower today or compression garments. Ankles swollen again. For breakfast had those 2 servings of cheetos, then for lunch after doing Dad's tax return and paying for it after he put a very generous $1200 in my account. He does that to help out and show he's thankful for his hard work. Very awesome guy. Our whole family is though most of us are not even close to exactly like any other family member. Then when emailing his copy his work firewall blocked it so I printed at Staples, then stopped by to give him it and his docs and then mailed them in after he told me he only gets it if he mails it in not efile due to the Identity Protection Pin he has that changes and he doesn't know. He wants to get his dog Cody a bath but none of the groomers will do it. He doesn't want to schedule it in. I had a poki bowl from the Main St. Poki cat the normal way with 1 added avocado, I like now that I boycott high sodium sauces. Their sesame oil was a bit dark like the normal ponzu sauce and could be why my ankles are swollen as if I did have the ponzu sauce. But it was double salmon, ahi tuna, brown rice, extra extra ginger, he went to the back to get more so I was happy, as I took the last serving and a half from available up front, and line formed, with sliced cucumbers with seed center removed look like sliced onions in 1/8th bits, and carrots with sesame seeds and the sesame oil. The brown rice with sesame seeds and ginger and cucumbers is actually good enough on its own to order. Might do that one time. Because I only get the fish because its a poki place. Next to a vegan shop that had more customers. Then I tried to schedule in an appointment, ordered transcript. Mrs. Melissa is dope she gave me an A in biology. Woo-woo! Yay! I texted my SCUHS advisor that I ordered the transcript and sent to admissions@scuhs.edu and he said good job! and gave me a place in whittier that does the physical, but unfortunately it doesn't have a doctor on staff to complete the requirements of the physical. I didn't let Garfield know that. So after printing out my SCUHS forms for the lab and physical at Staples with a mishap on the print from email first send that I had to hold my card twice for $5, because the pdf only printed the link and not the pdf files. I sent before arriving bc the 250 hard drive doesn't recognize as a USB drive and had to email it first visit to print Dad's return at staples@printme.com. It then replies with an automated email with the code to print file at machine. Anyhow it was completed. Then was about to leave parking spot but decided while drinking my 2nd cold brew brown sugar almond milk added I bought earlier as a set of 2 when leaving Staples first time to go to Dad's work 2nd time after printing his return. I drank that 4th cup, bc counting larger dosed 2 cups instant as 3 cups, and this was last cup of day for coffee as the 5th cup, but didn't finish it on way back, but anyhow, didn't leave lot after 2nd time printing at Staples my SCUHS health forms and called from google search of physicians near me and got a doctor that sent me to their scheduling company that had me on hold 5 minutes and then the lady hung up on me 1st time bc I pressed 1 for schedule an appointment and didn't have insurance but wanted to pay cash and walk in. She literally told me to hold a moment with me on the line and hung up on me. Then I called back and while on hold left a bad review of their scheduling company, and when I spoke to the next operator or scheduler she told me they were a scheduling company and doesn't know who I spoke to, and was able to take my information and schedule me in on the 17th of this month August at 1020 am with a Dr. VAladez? not sure the spelling with Citrus Medical group, and couldn't confirm any price but that it is at least $90, and neither confirmation on my ability to get the physician's stamp of his medical seal. No top range either, but would be getting a TB test as well. BTW 8/17/2009 is the date I first met that bitch and her lying foreign family that tried to run me over and she attacked me first in a school parking lot after I got too close to her car in the kid drop off and tapped her mirror and she called me a bitch and I called her a whore and it then escalated into a fight at around 730 am, and it turned out we were neighbors where I lived up the street from her and she has the same exact birthday as me but 10 years older than me. BLah blah blah, but that bitch yesterday reminded me of her. I think this is the Universe conversing with me on TX massage licensing still examining my credibility as a person who no lo contende to a felony wobbler vandalism when I plead to the count to stop the court trials as it was keeping me from getting my CA license in Massage and the prosecutor said he wanted to make room for more serious crimes and my public defender told me it turns into a wobbler after so long, but didn't tell me if it is expunged before the time, that it stays a felony. And they don't reopen the case to turn it into a misdemeanor. I now have a new understanding of why the lady attacked me, it is bc she wasn't being respected in her household by her husband and/or kids and needed some respect and looked for 'street respect' by picking a fight with me not knowing I was a fighter. She just saw me as a bitch as she called me that was smaller than her but disrespected her as she also claimed. Thanks Universe. Totally understand now. Lets see what TX dept of lic and reg thinks on my massage license. I got my CA massage license right after taking the plea bc it dropped the other counts that were far fetched and not able to withstand a jury with them witnessing the truth of their being witnesses misogyny and criminal actions. Whatever. On that. So, to the point now. I am actually in the middle of finishing a teremana tequila on ice around 4 pm, been taking my time with it as my back is somewhat achey from the roller coasters, mostly the virtual ones that jar you around and push your body around like the Simpsons and Discpicable Me ones. The landlord was next door doing some work with another vehicle later on. Hopefully Pops gets his tax returns without any problems, if he actually knew how much he paid in medical expenses last year for Sherrie I could have gotten him possibly a larger refund. But he still gets a large amount. Tomorrow I have a 9 am and a 7 pm with regulars. They are cool chicks. The 9am is a prepaid MLD I owe 5 to, and the 7 pm is coming back from a toxic friend's birthday in Las Vegas. Super nice and always keep appointments on time or cancel hours before hand. I simply request they cancel at least 2 hours before the appointment, and have my scheduler only book appointments 2 hours before it. Miss Bailey is a sweetheart. I enjoyed my vacation with her. She is going through some stuff due to her driving. But it affects her relationship with her mom. And it is depressing her a bit, but at least her step dad is being nice to her. Love those girls. Love all my family. Even my detached little sisters that I can never really get a hold of. I have to use social media and one has so much anxiety she never follows through on meeting up to hang out with our shared parent and sister and nieces. Had a reg BM after finishing my 1st serving of tequila. Then had a 2nd serving I took my time drinking as well and had the SCUHS healthcare center call me to schedule in the TB test and the physical that would be signed and stamped by a medical physician with a medical seal as a stamp. The roommate and me just got into it again about him and his stupid antics of having to tell me about not seeing a piss spot that dried up by the babies. He is a complete asshole, I didn't see it, and I always tell him if he sees it to shut his mouth and clean it. But for whatever reason he always has to point it out and say I am the one not paying attention. I honestly didn't see it, and it could actually just be dried up floor cleaner from a mess I cleaned up earlier. But he has to always bitch about something and not just clean it up and leave it there. He is such a retard in that way that his own mama doesn't even want him over for bitching at all his family members.He didn't even wash his own dishes while I was gone because he has to have me do it. And I was gone from Sunday night until Tuesday night. He had a bunch of silverware in the sink and only a few plastic containers due to the disposable bowls I left him. Anyhow got my next week appointments scheduled in for days I don't work early in am around 1030 am. Will bring my printed forms into building before appointments start. I need to block off those times on my scheduling app. Just emailed a new potential client who wants massages those days. Must do it before she books an appointment on those times. Murphey's Law says she will. I tried to cancel the other appointment but it was an emergency call service after 5 pm and they said to call back during regular hours to cancel. So I will as a note to self. Got it on a notecard up front. I texted Miss Bailey to ask how she is doing. She is upset because her mom is mad at her. Brooke rubs it in by saying how much she loves her mom. Did some laundry and ordered Fuze pizza delivery after a couple servings tequila, then drank 2 canned coca colas with the whole box of garlic knots, 1/4 the cheesy bread, 1/4 the small veggie pizza, and 1/4 the margherite pizza med sized with 1/4 marinara sauce with garlic knots while watching first half of The US vs Billie Holiday on Hulu. Good movie, watched it all and it brought awareness to the lynchings in the South and how the Senate has still not approved a ban on lynch mobs by southerners on people who are typically black but other outsiders from the white community accused of a crime or offense against a white member based on accusation alone. Had three servings tequila by 815 pm. Between the baked cheetos this morning, the poke bowl at lunch time and the pizza and sides of pasta my ankles are super swollen but not feet. Went to bed around 12 am after turning up AC and finishing a bottle of water and putting last load of laundry in the dryer. Woke up around 1250 am because the AC wasn't on and the heat of my body woke me. All the power was off and I had to make sure it was a blackout because the power bill for SCE is due on the 8th and I still have 4 more days, actually its due on the 9th. It stayed off. But I have 2 cell phones to use flash on and this laptop. I went outside with babies and Princess stayed outside I thought to bark at kitten on neighbors wood fence but when I went to the side of the house it was actually a possum, a baby possum on the wood fence. I had to correct myself instead of saying oh hey kitty had to say oh he possum. I didn't know they were climbers. It was odd. I looked across the street and all houses on my block are out, but the block across street has some lights on, and all the street lights are on along Grand Blvd but not in the alley. I reported it online to SCE for the zipcode and my address. Went to bed around 215 after looking at my laptop with power off and then having the power come back on while viewing stories to comment on facebook.</t>
  </si>
  <si>
    <t>If I took vitamins today or not</t>
  </si>
  <si>
    <t xml:space="preserve">2 slices cheesy garlic bread
(420.00	26.00	10.00	14.00	32.00	1.00	780.00)
3/4 veggie pizza
(918.00	39.30	18.30	36.90	102.60	5.40	1944.00)
1/4 margarita pizza
(1160.00 44.00	24.00	48.00	144.00	16.00	2200.00)
nitro cold brew with pump butter pecan and 1/4 cup almond milk, Dunkin Donuts
(70.00	5.00	3.50	1.00	4.00	0.00	15.00)
1/2 cup vanilla honey greek yogurt
(120.00	4.00	2.00	9.33	12.67	0.00	33.33)
2 pieces cheese bread
(420.00	26.00	10.00	14.00	32.00	1.00	780.00)
1/4 margarita pizza
(1160.00 44.00	24.00	48.00	144.00	16.00	2200.00)
=420+918+1160+70+120+420+1160
=26+39.3+44+5+4+26+44
=10+18.3+24+3.5+2+10+24
=14+36.9+48+1+9.33+14+48
=32+102.6+144+4+12.67+32+144
=1+5.4+16+0+0+1+16
=780+1944+2200+15+33.33+780+2200
</t>
  </si>
  <si>
    <t xml:space="preserve">Woke up at 6 am and turned off alarm at 630 am and set one for 730 am or turned the one I had for 730 am on, and got out of bed at 7 am. Got about an hour between initially going to bed and waking up hot when AC was off as well as all electricity in house and then about 4 hours of sleep afterwards for about 5 hours of sleep. I have a client today at 9 am and another at 7 pm. Could possibly have a few others schedule one in between that time. I had my morning coffee but went ahead and had breakfast with it, 2 pieces of the cheese garlic bread no sauce to dip in, it was there but I chose not to use it. Took measurements after breakfast and first cup of coffee. Had a sm BM before shower, washed hair and had time to put on makeup before leaving for 9 am client. Did a Target Run later in afternoon, to get cat food one case water vegan meat instant coffee, paper towels toilet paper foil baggies paper bowls laundry detergent 409 cleaning spray grapefruit scented clorox wipes eggs cheese and some workout attire that included leggings green print gray seamless sports bra package undies seamless tummy control 4 pack or the bikini 4pk non tummy control and some very low socks to wear that hopefully won't make my legs itch like my knee high compression socks tend to do. The kitten was safely awaiting under the house this morning but didn't see the black cat. Keep wasting cat food when I put it out there and they aren't to be found, the flys and ants get to it first and they won't eat it. I had a nap before Target around 11 am until 12 pm for an hour, and for a snack before napping had 4 slices the small vegetarian pizza from yesterday and a 3.5-4th cup instant coffee, and a 5th cup coffee from Dunkin Donuts on way to Target a butter pecan added with almond milk to nitro cold brew that looks just like old melted coffee slightly cold. It made two mugs filled. Then got home and made earlier client's SOAP notes and updated this database. I emailed my school earlier that I will be tending for the DC program about what the $6,250 healthcare loan is each term, bc I could get health insurance much cheaper and would not want to take out that loan for 3 terms a year at that rate. That's ridiculous. Maybe its a buffer to keep from working as much to be able to study more to do well. Still waiting a reply. Because I was told it $12,500-$13,000 per term for 12 terms on my program. That works out to be $10,250 a term in academic loans on the student login plus that $6,250 for healthcare which is much more expensive than the stated amount. I haven't heard from the TX massage board in any form, but also haven't called them. Still waiting for my genomic data to come in too. And found out my check is good. I spent another large amount at Target on the added personal attire garments to normal shopping. About $250 again, on credit card. But will be able to put a large chunk on my credit card because of the money my dad gave me and also the check after paying SCE $160 and my van payment of $600. There was an email that one online vetmedin provider has the normal amounts now and that I can buy as much as I want while they still have it. I think I will. Its not the one that delivered the package but the mail lady didn't actually deliver it. They did give me a refund after I sent them the police report number they requested I complete. I also got the same vanilla honey greek yogurt in 2 pints and a bottle of multivitamin gummies (vitafusion womens multi daily vitamin gummy berry flavored) from Target and took 2 as a serving when I unpacked the groceries but actually immediately after unpacking groceries and put the new attire in laundry to wash with 1st client's linens, waiting for 2nd client's linens later tonight. The other clients didn't schedule anything today between my clients. Normally they do, but one just started work and is either there or exhausted and the other one goes on a lot of vacations and also gets clients at random due to her job as a lash expert and esthetician. When I got up from my nap before leaving for Target I also had another 1/4 the margarita pizza in air fryer, the same with the other pizza cooked in airfryer. I brought in from the van earlier today instead of yesterday when about to leave to go to my 9 am appointment. But before showering. After Target I had the last of the veggie pizza, 1/4 of it or 2 slices, so I ate 3/4 the veggie pizza today and 1/4 the margarita pizza today and 2 pieces cheese bread no sauce. I put the roasted packaged peppers on first veggie slices in airfryer and it was really spicy, felt like my tongue was on fire 20 minutes after eating it already, and a little stomach acid later in day. Took another nap for 30-45 minutes around 5 pm and woke up at about 545 pm. Then had about 1/2 serving or 1/2 cup greek yogurt before leaving to client's house at 630 pm. Then when I got back, did laundry and ate the last 2 pieces of cheese bread no sauce and had 2 shots over ice of teremana tequila (2nd BM reg sz after 1st drink) and later 3 slices of the margarita pizza all heated in air fryer 3-4 minutes. Sent refunded client her receipt for refund started few days ago. Some of my good emails go into junk email due to the facebook notifications being sent as junk email my other emails get sent there too. Lately a bunch of muslim country people friending me on facebook and I accept. But have no affiliation whatsoever with them. Maybe its Texas DLR in provoking or insinuating some relationship with foreign nationalities they consider a threat to patriotism, I do not know or have a clue why all of a sudden many muslim or Arabic people are trying to be my friend on facebook when I have had less than 5 friends for a year or more on face book. Not until I added my few male clients who served in airforce, now weeks later all these muslim type people are friending me. Weird.  These 3 slices of the margarita pizza is actually if you picture a medium pizza cut into not only quarter sections but each quarter section cut into 3rds so that the medium pizza has 12 slices. Just to be clear. These 3 slices are actually 1/4 the pizza as a whole. </t>
  </si>
  <si>
    <t>womensMultiVitamin</t>
  </si>
  <si>
    <t>Woke up by alarm at 530 am but got out of bed at 605 am and restarted dryer, cleaned a pet mess, made coffee, gave Growly his meds, fed babies with icecream except meow meow, fed kitten outdoor. Had 1st cup of coffee while completing the email to send last night's client her SOAP notes and receipt and then had a sm BM and 2nd cup coffee while putting away laundry after folding it, then had the last of the 1/4 margarita pizza in airfryer when the roommate came home. Took measurements while pizza in air fryer and got ready for work. My ankles were really swollen by the end of the day. It has been 14+11 days since my last full cycle menstruation started so I should be starting my menstruation soon unless the last partial one made it reset. I am also heavier, so retaining water, my calves are a lot more swollen than normal, I could barely put on my leggings I just bought from Target and washed before wearing. For lunch had the beleaf burger at 99 cravings across the street in their food plaza, like a generic vegan in n out burger with their french fries and their generic version of coca cola.With added vegan bacon. They put tomatoes, beyond patty, lettuce, white buns, thousand islands sauce 1 tbs at most, the vegan bacon added probably morning star brand, and grilled onions. For my 4th cup of coffee at work when a no-show at 1030 am, had 3 carmel creamers with the work keurig Donut House coffee. And my 5th coffee was a brown sugar oat milk shaken espresso grande size from Starbucks. My legs itch. Client didn't confirm for later at 7 pm, but checking to see if she confirmed for the other massages. She confirmed the other two and she scheduled this one more than a week in advance with the lipocavitation machine. I will call before going over there and see if she answers because my legs itch. I don't want to waste a trip but I could use the workout but feeling really bloated and retaining water with my legs itching. Tried the below the ankle socks but my ankles swelled up, my calves didn't itch at that time though. I did a little dry brushing then measured my Left calf at 15 5/16" and my Right calf as 14.5" and am definitely retaining water. Just texted client to see if she could confirm by 645 pm and I will get my scrubs on real fast and head over there if so, otherwise stay home. That cat outside, the black one, is so cute, it used to do a cute little hiss to greet me in the morning when I feed her but since she noticed the kitten meows and gets food, she now does a little meow. Its so adorable. I just had to note that. I saw her this morning. I love my pets. I got a reply this morning from the financial advisor that the healthcare financial aid approval is not for health insurance but for getting more federal aid to help pay for school in a qualified healthcare field and that it could help with additional money to pay for necessities while in school. That is great news. Client confirmed after I cancelled her appointment through square app. She confirmed via text. I was able to get there on time. Good thing too, because I almost had my first serving of tequila. Got back around 830 pm, did laundry and had a serving tequila and made 4 boiled eggs I ate then a 2nd serving tequila by 930 pm. Getting ready for bed. by just unwinding looking at anything interesting online.</t>
  </si>
  <si>
    <t>vegan cheese spread similar to vegan cheese slice 1 serving, calorieking.com</t>
  </si>
  <si>
    <t>thousand island salad dressing, calorieking.com</t>
  </si>
  <si>
    <t>1/4" sliced tomato, calorieking.com</t>
  </si>
  <si>
    <t>lettuce 3/4 cup, caloriking.com</t>
  </si>
  <si>
    <t xml:space="preserve">1/4 margarita pizza
(1160.00	44.00	24.00	48.00	144.00	16.00	2200.00)
brown sugar oat milk shaken espresso Starbucks
(120.00	3.00	0.00	2.00	20.00	1.00	120.00)
3 carmel creamers international delight work coffee
(105.00	4.50	0.00	0.00	15.00	0.00	45.00)
beyond meat patty
(260.00	18.00	5.00	20.00	5.00	2.00	350.00)
white bun for vegan burger
(190.00	2.00	0.50	6.00	36.00	1.00	380.00)
vegan cashew cheese slice
(100.00	9.00	4.50	2.00	4.00	0.00	115.00)
lettuce
(17.00	0.10	0.10	1.30	3.30	0.00	27.00)
tomato
(4.00	0.10	0.10	0.20	0.80	0.20	1.00)
thousand island 3/4 tbsp
(59.00	5.60	0.80	0.20	2.60	0.10	138.00)
french fries 1 1/2 servings
(480	23	4	7	63	6	370)
coca cola generic fountain soda
(180.00	0.00	0.00	0.00	50.00	0.00	60.00)
4 eggs boiled after client and 1 serving tequila
(280.00	20.00	6.00	24.00	0.00	0.00	280.00)
=1160+120+105+260+190+100+17+4+59+480+180+280
=44+3+4.5+18+2+9+0.1+0.1+5.6+23+0+20
=24+0+0+5+0.5+4.5+0.1+0.1+0.8+4+0+6
=48+0+20+6+2+1.3+0.2+0.2+7+0+24
=144+20+15+5+36+4+3.3+0.8+2.6+63+50+0
=16+1+0+2+1+0+0+0.2+0.1+6+0+0
=2200+120+45+350+380+115+27+1+138+370+60+280
</t>
  </si>
  <si>
    <t xml:space="preserve">Woke up by alarm at 530 am, went to bed last night around 1030 pm, so got about 7 hours of sleep. Cleaned a pet mess, made coffee, made Growly his meds in food and fed babies with icecream except meow meow. Made a couple gardein burger patties, a bag broccoli rice, and 4 slices oat bread with mozz/parm G&amp;G brand in airfryer. The broccoli microwaved first then airfryed, ate 1/2 sandwhich and gave other half to babies and brought other to work, folded laundry, had 2 cups of coffee lg spoons, and took measurements after alarm to get ready for work at 630 went off. Didn't feed cats outside because they weren't there and I don't like feeding the ants and flies, they won't eat it if the ants and flys are all over the wet cat food. Had a sm BM after breakfast and after measurements. A little bit of spotty blood noticed, so most likely will have my regular menstruation cycle as it has now been 26 days since the last complete cycle that includes this last partial spotty cycle that lasted a few days and never got light, med, or heavy. Calves: Left calf swollen but not as much as yesterday at 3:05 pm 14 11/16, and Right calf is 14 1/16" and I will measure them again later around widest point where gastrocnemius and soleus bulge while not flexing and relaxed. This morning was a fiasco, waze didn't say 71 N closed, both on ramps, had to take side streets was late 15 min but called it in 20 minutes before 8 am. The workers never notified me or other drivers it would be shut down like they normally do by leaving readable construction signs that are digital that say to prepare for a planned road closure. They didn't and nobody reported it. Then of course I have 4 back to back and each one gets pushed back more, and they are upset I am late and they had to wait not just 15 min but 20-25 minutes. I can't do anything but apologize, luckily they pushed back the 3rd one 30 minutes for me and changed my last 90 minute to a different person for 60 minutes so I still got my hour break. For lunch had a couple of the airfryed mozz/parm oat bread and the gardein vegan patty, and about 1/2 cup or 1/3 cup the broccoli rice. The roommate wasn't back by the time I left in the morning and when I got back I spun his laundry but it never ran through the wash cycle. Also, Growly passed out again and peed himself while on the bed. I thought he was a gonner this time. He was doing his normal coughing from excitement then he conked out with his left arm out awkwardly and prone. He woke up about 1 minute-2 minutes later with me patting his back and petting him and peeing himself. I threw those in with the roommate's laundry items and poured a couple scoops of my Gain laundry detergent in with it. He has had to work weekends now because they fired a guy for sleeping on the job. I now have 4 mattress pads and fitted queen sheets, so not a big deal to wash the bedding, but need to do the blankets next.Then I will get to my clothes. I have a family massage tomorrow after work. Had a couple slices of oat bread with mozz/parm in airfryer with 1 cup approx. of vanilla honey greek yogurt, then later finished the last 1 3/4 servings of the teremana tequila over ice. And later had 4 boiled eggs while setting up a virtual machine with Virtual Box and ubuntu and setting up anaconda 3 inside the linux VM of ubuntu. Got almost all the packages the biopython cookbook requires. I initially tried setting up ubuntu on my desktop but it wasn't having it. And not doing the docker portion of this book. Since my VM is working I will stick with it. There seemed to have been bugs before and that was with older outdated VM on my other laptops that wouldn't allow some functionality as they all moved to updating this newer version. Didn't get too far by 744 pm but my skin felt really itchy before drinking the alcohol, and I had a 20 minute nap before starting around 5 pm. Had the drinks around 530 pm. My foot is swollen on Left leg and the leg. I also had another sm BM while finishing the last 3/4 serving of the tequila. Later had about 1 cup of the cookies and cream icecream from Target. </t>
  </si>
  <si>
    <t>favorite day, Target brand, cookies and cream, icecrea, serving is 2/3 cup</t>
  </si>
  <si>
    <t xml:space="preserve">1 1/2 Gardein vegan beef patties
(315.00	16.50	13.50	30.00	10.50	1.50	675.00)
5 slices oat bread
(550.00	10.00	0.00	20.00	95.00	10.00	675.00)
3/4 cup mozz/parm
(300.00	18.00	12.00	24.00	6.00	0.00	840.00)
1/2 cup broccoli rice
(13.33	0.00	0.00	1.33	2.67	2.00	13.33)
1 cup vanilla honey greek yogurt
(240.00	8.00	4.00	18.67	25.33	0.00	66.67)
1 cup cookies and cream ice cream
(285	13.5	9	4.5	37.5	0	120)
4 eggs
(280.00	20.00	6.00	24.00	0.00	0.00	280.00)
=315+550+300+13.3+240+285+280
=16.5+10+18+0+8+13.5+20
=13.5+0+12+0+4+9+6
=30+20+24+1.3+18.67+4.5+24
=10.5+95+6+2.67+25.3+37.5+0
=1.5+10+0+2+0+0+0
=675+675+840+13.3+66.67+120+280
</t>
  </si>
  <si>
    <t>7 Leaves Vietnamese coffee, https://7leavescafe.com/vietnamese-coffee</t>
  </si>
  <si>
    <t>7 Leaves honey boba, https://7leavescafe.com</t>
  </si>
  <si>
    <t xml:space="preserve">1 1/2 Gardein vegan beef patties
(315.00	16.50	13.50	30.00	10.50	1.50	675.00)
3 slices oat bread
(330.00	6.00	0.00	12.00	57.00	6.00	405.00)
3/4 cup mozz/parm
(300.00	18.00	12.00	24.00	6.00	0.00	840.00)
1 cup vanilla honey greek yogurt
(240.00	8.00	4.00	18.67	25.33	0.00	66.67)
4 eggs
(280.00	20.00	6.00	24.00	0.00	0.00	280.00)
6 international delight coffee creamers 4th cup coffee at work instant with work hot water
(210.00	9.00	0.00	0.00	30.00	0.00	90.00)
vietnamese coffee 7 Leaves with tbs honey boba
(350.00	9.00	9.00	2.00	65.00	10.00	71.00)
=315+330+300+240+280+210+350
=16.5+6+18+8+20+9+9
=13.5+0+12+4+6+0+9
=30+12+24+18.67+24+0+2
=10.5+57+6+25.33+0+30+65
=1.5+6+0+0+0+0+10
=675+405+840+66.67+280+90+71
</t>
  </si>
  <si>
    <t xml:space="preserve">Woke up by alarm at 530 am went to bed some more until 6 am got out of bed, the roommate was home last night, no pet messes to clean, made my coffe fed Growly his meds and the babies their food with icecream except meowmeow. Updated this nutrition data base and restarted dryer of my laundry. My menstruation is still just dry very few spotty blood, not even light yet. Ankles weren't as swollen. I went to bed around 1020 pm last night, so got about 7 1/2 hours sleep. I have a family massage tonight for four hours in Chino, but want to go home first to give Growly his meds and eat. Also, have to leave earlier just in case the 71 is shut down today. It could be shut down other direction tomorrow or today. Measurements taken before a BM and before breakfast, same as yesterday for breakfast 1/2 gardein patty and 1 slice oat bread and 1/2 sandwhich, other half shared with babies. 1 cup yogurt too. Put away laundry and made some boiled eggs for after work. Had a small BM before my shower. Left for work at 810 am about 15-20 minutes earlier than normal, had to take side streets to work, had a 4th cup coffee at work with 6 creamers, and a 5th at 7 leaves the med vietnamese coffee with honey boba off Soquel cnyn on the way home, the 71 N is still closed but 71 S is open. Will need to take the side streets to clients' by 415 pm to get there about 450 pm. Famil ymassage 5-9 pm. Had the yogurt at my noshow at 10 am and the sandwhich of oat bread with airfryed gardein vegan beef patty and mozz/parm on top of bread for lunch and went to Dollar Tree to get oils and bottles, they ran out or no longer carry my coconut fracted oil. Had to get regular cooking solidified coconut cooking oil. I went to the family massage and made it on time taking side streets. Met my client's little sister and her boyfriend. I see this client usually for an hour and a half couples massage each for her and her now husband. Very nice couple. She was really generous tonight. She tipped me a lot on top of the great promotion I offer to families for four hours of massage. Super nice. Tired at home, waiting for laundry. Was going to have a glass of that moscato I still haven't opened but didn't. Just updated this. Will do some of the family massage client's SOAP notes and receipts or all before bed. My ankles and knees and calves swollen, but not too bad, just pressure in knees from wearing compression socks and waist trimmer all day. </t>
  </si>
  <si>
    <t xml:space="preserve">Woke up by alarm at 630 am but stayed in bed until 7 am and got out, did the normal routine, the roommate left some paper towels on ground that had pee on it where he didn't clean it up and meow meow was laying on it like a blanket. Poor kitty. She is starting to lay in the bed more until the pups pick on her then she gets off the bed. Made my coffee and fed Growly his meds and the babies their food and cleaned up that pee mess. I sent out the clients' SOAP notes and receipt to main client with email she shares with her new hubby, but they dated for 10 years, and none to her guests or family members, they get their SOAP notes emailed when I fill it out. And main client paid for all. Then folded laundry from last night after it was done in another cycle of the dryer. I noticed a guy came by yesterday around 1045 am in a 4 door white sedan with black windows and moon roof, can't tell if it is a Honda, Toyota, or scion, and can't make out plates. He went up to the porch according to blink, it only got 5 seconds of him entering porch then the last minute's 5 seconds of him leaving porch. Those cameras are sort of crap. They only get bits and pieces of information. I told Dave about it and found out through my live wire cameras on the alley that he pulled in from back alley and pulled out when leaving instead of going to street in front. The landlord thought he was trying to steal his tools and I thought he stole my mail, bc the mail lady a new one with braids was seen the day before around 1130 am pulling mail out, but that was it on blink, nothing of her dropping mail off or leaving, and the landlord was here too bc he has clips of him, but was probably inside doing work bc he didn't speak to her, but he did see the cat we haven't seen since Friday. He also thinks she has babies somewhere and is friendly. I think she looks like a small cat/kitten but older. I didn't notice her belly being big like the roommate did or her being a mom like the landlord did. I took those video clips last night and then showed them to the roommate this morning. He got on offensive and is on lookout. Had 3 cups of coffee by 9 am but no BM, felt like I might have one. I have to print out and fill out some documents for my TB test and my physical in Whittier tomorrow at 10 am. I work tonight until 10 pm. Feeling tired but I went to bed late. Around 12 am after texting landlord videos of strange guy approaching porch. Had about 6.5-7 hours sleep. Still only spotty on rag, not light flow yet, and my Left ankle/foot/shin feel swollen and pressure in low leg the right leg and knee and ankle doesn't feel as bad but the ankle is swollen. Had the last of one pint of the yogurt about 3/4 - 1 cup and 2 slices oat bread with mozz/parm in airfryer. Feeling tired. Need an oil change, get some more groceries, and print those forms. Might take a nap before showering for work tonight. I don't trust taking my van to an oil change place but don't really have time or motivation to do it myself. Workers always snoop around, especially guys in a girl's vehicle. And all my work supplies are in there. I would feel better if I emptied it out but thats a lot of work and no where to really put all of it. The small room is packed off to the side with mine and the roommate's things. Measurements taken after breakfast and a reg BM. around 940 am. Took a 20 minute nap around 10 am, got up, had 4th cup of coffee instant, then showered, then went to autozone to get oil change supplies 5W-20 fully synthetic platinum pennzoil 6 qts and a filter for the Ford Transit Connect XL 2.0 L.  Had lunch at Fatburger, their impossible burger patty vegan. And Then paid for my city of Corona Business license 114+card payment fees of $3. approx $117.31. Fed Growly his meds early in afternoon by 130 pm and the babies their lunch. Left for work at 210 pm and saw that there was no need to take side streets bc the 71 was open both directions. I stopped at 7 Leaves coffee and got a larger vietnamese coffee with boba then got to work early and filled out physician form and the TB test form and uploaded to adobe scan to email to the medical office on campus for my doctor appointment tomorrow morning. I did that on my lunch where I ate a poki bowl but it was more vegan with only masago or fish eggs. It had brown rice 3x cucumbers 3x ginger 2xsesame seeds and no sauce. Opting out bc of my swollen ankles and had enough sodium on however much they put on the Fatburger Impossible burger for lunch before work. The poki bowl was really more like dinner. Didn't wear my face mask at all or glasses today at work. My throat got a bit sore and flemmy but no runny nose or coughs. No alcohol before bed bc I am getting up to go to my physical and TB test in Whittier in the morning. It is at 1030 am. I will leave around 8 or 830 am. It shouldn't take longer than 2 hours to get to Whittier even if side streets. Some people said you can take Grand blvd all the way up and it leads to Diamond Bar and Whittier area. I fed the cute black cat I always feed and haven't seen the other mixed tabby kitten around since Friday. Hope its alright. </t>
  </si>
  <si>
    <t>fatburger impossible burger lettuce tomato pickle on hamburger bun no sauce, doesn't include their seasoning they add to patty on grill</t>
  </si>
  <si>
    <t>poki bowl brown rice masago cucumbers ginger sesame seeds extra extra veggies</t>
  </si>
  <si>
    <t>hamburger seasoning, spice hunter generic dry rub seasoning 1 teaspoon, calorieking.com</t>
  </si>
  <si>
    <t xml:space="preserve">1 cup vanilla honey greek yogurt
(240.00	8.00	4.00	18.67	25.33	0.00	66.67)
2 slices oat bread
(220.00	4.00	0.00	8.00	38.00	4.00	270.00)
1/4 cup mozz/parm
(100.00	6.00	4.00	8.00	2.00	0.00	280.00)
fatburger impossible vegan beef hamburger with lettuce tomato pickle hamburger bun not including their hamburger seasoning
(481.00	16.20	8.70	26.50	57.10	5.20	928.00)
poki bowl no fish other than masago, brown rice 3x cucumber,2x sesame seeds,3x ginger, no sauce
(589	21	4.1	18.2	85.2	11.95	381)
large vietnamese coffee with honey boba from 7 leaves
(402.50	11.25	11.25	2.50	72.75	10.00	83.50)
hamburger seasoning
(0	0	0.00	0.00	0.00	0.00	440.00)
=240+220+100+481+589+402.5+0
=8+4+6+16.2+21+11.25+0
=4+0+4+8.7+4.1+11.25+0
=18.67+8+8+26.5+18.2+2.5+0
=25.33+38+2+57.1+85.2+72.75+0
=0+4+0+5.2+11.95+10+0
=66.67+270+280+928+381+83.5+440
</t>
  </si>
  <si>
    <t>carmel machiato grande https://www.starbucks.com/menu/product/413/hot?parent=%2Fdrinks%2Fhot-coffees%2Fmacchiatos</t>
  </si>
  <si>
    <t>green apple or granny smith apple calorieking.com</t>
  </si>
  <si>
    <t>Woke up at 630 am by alarm, have to get ready for doctor physical and TB test in Whittier, plan to leave by 8 to 830. Did normal routine and updated this database, cleaned a bunch of pee messes by pups, went to bed last night around 12 am, just before that time, got about 6.5 hours sleep. Didn't sleep the best last night, had to turn AC on fully and heard cats screaming in middle of night, saw alley cat was ok by pickup truck. Used last of vanilla icecream for babies and Growly's meds with their food for breakfast. My rag started becoming more spotty yesterday evening and was light by the time I went to bed, and was light flow by the time I woke up. My ankles weren't too swollen when I woke up but got back to swollen after an hour standing and updating this database. Measurements taken while drinking 2nd cup of coffee, before BM, and before breakfast of cup yogurtt. I have to see if my new client at 415 will start around 330 pm instead bc I won't make it to south corona by 6 pm otherwise or if I can start the Anguinos early. Had a lg BM after 2nd cup of coffee and then texted my clients of conflicts to move around schedule and waiting for them to reply through RingCentral App. I took my ab measurements after 2nd cup coffee and lg BM and they were almost the same, BB is 31.5" and 2" below BB is 32.75". Have to shower now. Looking like 830 am is the leave by time for the health office of my campus in Whittier. Did the physical after TB test, a young female happa like me Filipina White doctor of chiropractic resident, I have everything good, but the reflex on the R foot/ankle. She called it something, not sure what. Probably bc of the weak knee I have been having since Jan when twisting it slightly lifting too much on barbell to squat olympic style. She was nice, took about 30 minutes. A lot of physical agility tests, I didn't know I would really be doing any of that sort of testing. Looked like the same sort or similar tests when applying to Navy, with duck walks and jumps and squats and walking on heels and then on balls of feet, testing the ankle by moving foot and the stretch and resistance of neck and muscles. It was neat that I passed all of those. I fell when Jumping up bc I don't ever do those, the same type of jumps for box squats but she was just checking for aches when landing or jumping. Then the normal physical stuff like oxygen, blood pressure, weight, height, lungs when breathing in stethoscope. I go back Thursday to have my TB test read. Reviewed all my SCUHS student portal items to get ready then spoke to my admissions advisor who will check back with me in 2 weeks, 1 week before school starts, the 2nd week school starts the financial aid gets disbursed. Probably a check but could be direct deposit, but there is a delay. And first term is more expensive due to medical equipment buying for labs that is about 1k more than other terms. Very helpful guy. I then left for my 330 pm in Chino and 6 pm in South Corona, all of those were great, got another month out of the south corona return clients, and then the chino client sounds like she could be booking more as she aches from her car wreck and has had a rib out of place by her PTs diagnosis and I told her it was common and she should check out a chiropractor. When I got back from the physical around 11:55 am, I was going to change my oil, but didn't have enough time, though I bought the supplies at autozone norco yesterday. Fully synthetic 5w-20 6 qt and oil filter. I stopped at local Main st Starbucks and got a carmel machiato iced and a brown sugar oat milk espresso both grande. I drank 2 big coffees for breakfast instant about 3 cups, those were my 4th and 5th cups. Had the carmel machiato then did all the school review, and before leaving for clients a few hours later had the espresso drink. I also made some tacos, 3 guerrero with sliced mozz 3 slices and 3 corn tortillas taco ish style with some cut diced peppers I had in fridge and mozz parm in air fryer. Then made the last beyond meat with the last of the diced peppers and the broccoli rice I made a few days ago I didn't eat all of, didn't eat any of it but its in the fridge. Then after the first client stopped at the vons or albertsons by south corona clients and got some mangos and peppers and a fruit and colby cheese prepared fruit box, with 1 green apple, 1 tangerine type cutie orange, and about 4 sliced strawberries, with about 2.5 servings of cubed colby jack cheese. After the clients, stopped at Target and got some items for house, catfood, more paper bowls, some plastic tupperware containers, eggs, water, beyond meat was not there, a new substitute that isn't frozen but looks odd and is soy&amp;gluten free with same protein 19g as beyond pea protein. I will try it out. I also got the frozen 6 patty impossible for $14, the other ones they had before were 2 patties for $3.50 each on sale, but gone. They had an original price of 4.99 for 2 patties of impossible. These are made for grill. I will try them out in the air fryer. Also some more oat bread. I also got a 1 gallon neopolitan icecream. Menstruation stayed light but got a little heavier by the end of the day. Didn't do SOAP notes or receipts by 1030 pm. But will, debating or contemplating a drink before bed. But my skin isn't itchy and I had a TB test and I will be dehydrated from my menstruation when it gets heavy. So probably not tonight. I emailed my client this morning before leaving for the physical and she sent me a photo of the rain on her porch in AL. Looks nice. She is a nice lady. Very friendly. I decided to have a couple drinks of Jameson while preparing the receipts and SOAP notes for clients and uploading this database saying I didn't drink and went to bed around 11 pm, but didn't. I had a Jameson and felt fine then another over ice water while making the clients' receipts and SOAP notes, very repetitive stuff not rocket science, but sometimes when I drink I forget to put the correct item or the receipt number but always correct it. So I was careful while drinking to not make that mistake. Also, had some of that beyond meat with the mix of peppers and broccoli rice and 2 guerrero corn tortillas and mozz parm in airfryer. It was good, made the babies their own to split. Then went to bed around 12 am.</t>
  </si>
  <si>
    <t xml:space="preserve">1 cup vanilla honey greek yogurt
(240.00	8.00	4.00	18.67	25.33	0.00	66.67)
3 corn tortillas guerrero
(150	1.5	0	3	31.5	3	30)
3 slices mozz
(180	12	7.5	15	3	0	420)
1/2 cup mozz/parm
(200	12	8	16	4	0	560)
1/2 cup red/yellow/green bell peppers diced
(17.33	0.00	0.00	0.50	3.83	1.00	1.17)
carmel machiato grande starbucks
(250	7	4.50	10.00	35.00	0.00	150.00)
brown sugar oat milk espresso starbucks
(120.00	3.00	0.00	2.00	20.00	1.00	120.00)
2.5 servings cubed colby jack cheese
(275.00	22.50	12.50	17.50	0.00	0.00	425.00)
1 cutie orange or tangerine
(40.50	0.00	0.00	1.00	10.50	2.00	1.00)
4 strawberries
(25	0	0	0	6	1	0)
1 green apple
(102.00	0.30	0.00	0.80	24.00	5.00	2.00)
1/4 the beyond meat, broccoli rice, peppers
()
2 guerrero tacos
()
1/4 mozz parm
()
=240+150+180+200+17.33+250+120+275+40.5+25+102
=8+1.5+12+12+0+7+3+22.5+0+0+0.3
=4+0+7.5+8+0+4.5+0+12.5+0+0+0
=18.67+3+15+16+0.5+10+2+17.5+1+0+0.8
=25.33+31.5+3+4+3.83+35+20+0+10.5+6+24
=0+3+0+0+1+0+1+0+2+1+5
=66.67+30+420+560+1.17+150+120+425+1+0+2
</t>
  </si>
  <si>
    <t>jameson whiskey</t>
  </si>
  <si>
    <t>pot beyond meat with broccoli rice and 1 cup of diced red/green/orange bell peppers, makes 3 bowls</t>
  </si>
  <si>
    <t>7 Leaves Sea Cream black coffee 20 oz</t>
  </si>
  <si>
    <t>7 Leaves grass jelly</t>
  </si>
  <si>
    <t xml:space="preserve">5 corn tortillas Guerrero
(250	2.5	0	5	52.5	5	50)
3/4 cup mozz parm
(300	18	12	24	6	0	840)
1 1/2 bowls beyond/broccoli/peppers
(614.5	36	10	44.75	30.25	12.5	734.25)
sweet cream black coffee with grass jelly lg 7 Leaves iced drink
(210	11	7	1	57	0	370)
1 cup neopolitan 'good day' brand icecream
(170	8	5.00	3.00	22.00	0.00	65.00)
1 serving corn tortilla rounds chips
(140	7	1	2	18	2	90)
=250+300+614.5+210+170+140
=2.5+18+36+11+8+7
=0+12+10+7+5+1
=5+24+44.75+1+3+2
=52.5+6+30.25+57+22+18
=5+0+12.5+0+0+2
=50+840+734.25+370+65+90
</t>
  </si>
  <si>
    <t xml:space="preserve">Woke up at 530 am by alarm but went back to bed until about 620 am before the 630 alarm went off then got out of bed when the 630 alarm went off, cleaned some pet messes, gave the babies their food and Growly his meds, had my coffee and folden laundry from yesterday and put away of linens and work clothes and by 2nd cup of coffee by the time done had a lg BM, measurements taken after lg BM. My ankles are still swollen and feet, I wore tighter compression socks yesterday and they seemed to help some. I am now still light but a bit heavier on mensa flow, probably going to be about medium flow to heavy flow later in the day. Didn't have breakfast by the time the 730 alarm went off to get ready for work, was updating this data. For breakfast had the beyond beef in two corn tortillas microwaved, packed the airfryer and 3 tacos the same for later. All had the added mozz parm. My legs felt really swollen around inner thigh and knees and LB Right side at work. I checked out my genetic reports on nebula.org and found out I had a very high percentile of 86-91 percentile for autism spectral disorder (ASD), hemorrhoids, heart disease issues in the brain, and other reports I want to check out. Shared it to instagram because I don't care. I had my 4th cup the instant coffee bc the 1st and 2nd cup was really enough for 3 cups coffee. After work had the 5th cup of coffee the sweet cream black coffee with grass jelly from 7 leaves iced like all their drinks. The grass jelly tastes similar to boba. After work explored my reports on associated diseases my DNA is linked to and some of the online orientation. Then on the way to my 7 pm client stopped at WSS to get some open ankle shoes due to my ankles swelling the tennis shoes are a hassle to put on. Found a pair around $45 for some sketchers clog type shoes size 6 but feel like I need a smaller size. I usually wear a 6.5 too. Getting used to them. Client and her cute cat are doing great. No changes since last time. After work got home and had a couple Jameson of the roommate's over ice water and finished the download I started before leaving for the client's house. One was cancelled on the DNA download of approx 50 GB each, but the other downloaded fine for the FASTQ files. Need part 1 of the 2 parts to their FASTQ version of my genome and some other smaller data files on my genome I downloaded. They say I have a high genetic link to lupus, lymphoma, breast cancer, I think glaucoma, schitzophrenia, autism spectral disorder, and others like type II diabetes I don't have a strong link to. Their reports only cover so much detail. They have a software online for analysis that is similar to rummaging through the UCSB and genecards or NCBI data portals but not that great. I am paying $19.99 a month for. AFter the two drinks made the last of the beyond meat with a serving of the corn tortilla rounds chips from vacation at smart &amp; final in fridge. I know high sodium but at this point sodium isn't the problem something else is making my ankles and legs swell. I have to get up early for the reading of my TB test in Whittier but not too worried about it. It never bubbled up like she said or itched. Odd but maybe just means I don't have it. I put the linens in laundry by 1030 pm and started to update this data. Didn't even get to the client's receipt or SOAP notes. Might go to bed. Tired. I also had some of that neopolitan icecream about a serving to 1 cup of it before leaving for my 7 pm client after work. Started my menstruation cramps around the time I left for client's house, its about lt-med flow but could get heavy real soon. Had a small BM after 10 pm some time while drinking a couple of the Jameson of the roommate's drinks. Was still downloading the part 1 FASTQ genome data by 1105 pm but updated this database with nutrition filled out and calculated and sent out client's SOAP notes and receipt before that around 1040 pm approximately. </t>
  </si>
  <si>
    <t>Full Circle organic cane sugar, serving 1 tsp</t>
  </si>
  <si>
    <t>Everything Legendary plant based meat substitute no soy/no gluten, 3 servings per pkg, 1 serving 4 oz:</t>
  </si>
  <si>
    <t>Pot of Everything Legendary plant based meat with green and orange bell peppers and 1 mango, makes 3 bowls:</t>
  </si>
  <si>
    <t>bowl of Everything legendary PB meat peppers mango</t>
  </si>
  <si>
    <t>vanilla sweet cream cold brew Starbucks</t>
  </si>
  <si>
    <t xml:space="preserve">1 cup vanilla honey greek yogurt
(240.00	8.00	4.00	18.67	25.33	0.00	66.67)
8 tsp organic cane sugar in 5th cup coffee
(120	0	0	0	32	0	0)
1/4 cup almond milk unsweetened Almond Breeze good until mid October, but 10 days after opening, opened today
bought about 3-4 weeks ago
(7.5	0.625	0	0.25	0.25	0.25	42.5)
vanilla sweet cream cold brew 4th cup coffee Starbucks Target
(110	6	3.5	1	14	0	25)
serving of the beyond meat peppers mango substituted with Everything Legendary brand PB meat
(261.33	9.00	4.00	22.00	21.00	3.67	452.67)
serving of the beyond meat peppers mango substituted with Everything Legendary brand PB meat
(261.33	9.00	4.00	22.00	21.00	3.67	452.67)
2 servings tortilla rounds chips
(210	10.5	0.75	3	24	1.5	120)
1/2 cup mozz/parm
(200	12	8	16	4	0	560)
=240+120+7.5+110+261.33+261.3+210+200
=8+0+0.625+6+9+9+10.5+12
=4+0+0+3.5+4+4+0.75+8
=18.67+0+0.25+1+22+22+3+16
=25.33+32+0.25+14+21+21+24+4
=0+0+0.25+0+3.67+3.67+1.5+0
=66.67+0+42.5+25+452.67+452.67+120+560
</t>
  </si>
  <si>
    <t xml:space="preserve">Woke up at 630 am by alarm. I have to get ready to go to Whittier for the 2nd part of my TB test to check results. Same time as the other day 1030 am. Want to leave by at least 830 am. I did get there 45 minutes early last time but was able to pee before the appointment and walk around the campus some. I cleaned up some pet messes, made my coffee, then fed Growly his meds and the babies their food, and saw the download from last night finished successfully with about 4 GB left when I went to bed around 12 am. Tired and got about 6.5 hours sleep. Want to also change the oil but the roommate has these rocks down on the dirt I used to change the oil on and it might not work with putting the van ramps on top and trying to drive the van on top. I will see. Might need to go to my dad's house while he's at work to change the oil there with his permission of course. He lives up the street from me on the other side of Grand Blvd. I have one client scheduled so far at 7 pm. Nice lady. Doing the lipocavitation. It is starting to get dark outside now and she lives in apartments but right by my gym too. I need some tennis shoes too maybe with ankle support or wide for working out but easy to put on or covers my swollen ankles for those days. I am not a runner so doesn't matter if they are high tops. Had a regular BM while finishing 2nd cup of coffee, it is like the 3rd as I have been putting more instant coffee in the mixing spoon. Then took measurements before breakfast. Planning for 1 cup yogurt, the vanilla honey greek yogurt. Ankles and inner thighs still swollen and feels like pressure on inner thighs, feeling the pressure in Left foot too. The menstruation is still light medium and only changed the pad one time during the night about 45 minutes before waking up. Went to the campus and had the front desk take a photo before my appointment time and tell me it should take a day or two to get my email from doctor but that it looks good, then I can upload it into EXXAT. I stopped off at Target and bought 5 t-shirts that are cute. Needed something to hide my belly bulge and upper chest veins. Put the cats t-shirt on, and had a vanilla sweet cream cold brew from the Target Starbucks. That was my 4th cup of coffee. When I got home I changed the oil and was done by 1230 pm but after cleaning the supplies it was 1 pm. I then made the new vegan meat similar to beyond meat but different flavor and cooks faster and is refrigerated and doesn't say to freeze it. Made that with one mango and the green and orange bell peppers I bought from the S Corona Vons a few days ago. I also ate one of the mangos. It was good. I had my 5th cup of coffee at that time with 2 tbs raw sugar from the Full Circle brand and 1/4 cup almond milk instant coffee. Had about 1/2 bowl of the pot of vegan meat mix that makes about 3 bowls, with 3 guererro tacos and light mozz/parm approx 1/4 cup. Then I finished reviewing all the orientation documents and files and some videos to take the orientation quiz and got 5/5 on that. Simple enough. I also got some new tennis shoes before changing the oil, from same shoe store WSS, I bought some white Nikes with black swoosh and airmax logo in gray, similar shape to my work van in security footage and colors. And a pair of wide ankle sketchers to tie up that are easier to slip on than the other black nikes I have that the store is still selling. I bought those I think about 6 months ago. Maybe longer. The sketchers are solid black just like my Nikes. Took a nap at 430 pm for about 20-25 minutes and got out of bed at 5 pm. Instagram's autotext infuriated me when I made a post on lymphatic drainage. Some people post stuff under that hashtag like they know what they are talking about and try to knock down another pro's experience or quality of service. Its the same shit for the same stuff, but mine is better, and I am not ignorant like those people into selling stuff that isn't possible to people with wrong service. These people are retarded. One lady posted to #lymphaticmassage and I follow that hashtag, on a whiteboard she wrote some things about top pros booked weeks out, don't expect fibrosis gone in 2 visits if you had 8 and need 10 but had 8 elsewhere. That is retarded right there, bc she should back up every claim she is saying with proof. I haven't seen any of these people improve hard spots called fibrosis, that I think they get from the hot needle of surgeon getting too close to skin and causing scar tissue in epidermal tissue instead of adipose tissue, or the fajas being too tight while healing post op and wearing for 23+ hours that causes pooling of inflammatory agent filled fluid that hardens and causes those hard spots or fibrosis so the patients can keep their contoured shape. They have to wear the fajas to keep the contoured hour glass shape. These competitors of mine in this niche also charge a lot more than me and some do a vigorous or rough 'lymphatic' massage that is NOT lymphatic drainage massage while posting instagram promos knocking other competitors' work out of their way with no proof to back their magical voodoo techniques bc their full of shit and just want that cash and pay a shit load of money on their rent space to lie and connive these patients into their office. Bc first off they are already insecure and believe anything, they paid tens of thousands of dollars they don't have but came upon on plastic surgery for starters and know the dreams and such can be filled and implanted into their minds by the next best thing, and they are always looking for it. Had a double shot jameson, didn't do much after 630 pm client, so had another. Then some nachos with 1 bowl the imitation beyond meat mango peppers made earlier, 1/4 cup mozz/parm and about 2 servings tortilla rounds. Looked at the nebula results and was going to make a blog, but got halfway through reports and didn't feel like it, some of those percentiles aren't significant for the genotypes I have with my mom and dad's contributions, it is a score of 5000 people who I was compared to as a sample of population that I am in a percentile of those 5k people for lower than or higher than by a numeric value of having or not having some disease or condition of genome wide association study GWAS genes. They have some that are adding to likelihood and some that take from likelihood, we all have a combination. The significance is to at least power of -8 or lower like -5, some are exactly at -8 and others I have a higher likelihood of having associated risks have me at more than -8 power as not significant. But some things like the dry eyes and lips genes are correct. But not believing the cancer likelihoods for breast cancers and the mental disorders like schitzophrenia and autism. Still haven't made client's receipt or SOAP notes, not difficult or time consuming bc SAL same as last time. Been lt-med flow all day but had some cramps and felt like I had to go while waist trimmer on, belly feels bloated might be the fibroid growing, made me feel like I was constipated when I went to pee felt like I had to go #2 but couldn't and didn't try. The waist trimmer was probably putting too much pressure on my internal organs. Put laundry in the dryer by 1030 pm and was listening to country music while making client's receipt and SOAP notes I sent out around 1005 pm. Tomorrow a longer day till 4 pm. My boss knows that I need to change schedule to accomodate my chiropractic school. Fridays after 5 pm and Sat/Sun till 5 pm both days opening. Said she will talk to me Monday about it. I go in at night, so she must be there around 3 pm or so. Maybe earlier. Tired, probably sleep soon, its about 1035 pm. I took off my waist trimmer for my 630 pm client, only one for the day. AFterwards dropped off the oil from 6 months ago and today from 2 oil changes at that autozone. They weren't full fortunately were able to take it and the containers. Had my cat t-shirt on. Its a funny shirt for anybody older to wear. It is pink with cats on the front, that with my high water scrub pants, and the pink headband and glasses and face mask. Feeling like an autistic person on the outside. Looked at those reports and not all genes significant. Their sample of 5k people compares my genotypes to those and that I am in the percentile towards or against each disorder or trait. </t>
  </si>
  <si>
    <t xml:space="preserve">Sat </t>
  </si>
  <si>
    <t>Favorite Day neopolitan icecream, serving 2/3 cup</t>
  </si>
  <si>
    <t xml:space="preserve">vanilla honey greek yogurt 1 1/2 cup
(360	12	6	28	38	0	100)
bowl of beyond sub and mango and peppers
(261.33	9.00	4.00	22.00	21.00	3.67	452.67)
2.5 servings tortilla round chips
(350	17.5	2.5	5	45	5	225)
2 slices oat bread
(220	4	0	8	38	4	270)
2 eggs
(140	10	3	12	0	0	140)
2 slices mozz cheese 
(120	8	5	10	2	0	280)
1 serving Favorite Day Target brand neopolitan icecream
(170	8	5.00	3.00	22.00	0.00	65.00)
=360+261.3+350+220+140+120+170
=12+9+17.5+4+10+8+8
=6+4+2.5+0+3+5+5
=28+22+5+8+12+10+3
=38+21+45+38+0+2+22
=0+3.67+5+4+0+0+0
=100+452.67+225+270+140+280+65
</t>
  </si>
  <si>
    <t xml:space="preserve">Woke up at 530 by alarm and laid in bed a few minutes with legs hanging down building pressure then got out of bed. Might have to take side streets to work today bc the 71 could be closed, didn't say what side, but could be the 71N or 71S, but I saw the sign on Mon after 10 pm about 71 shut down fri 8 pm to Mon 5 am on 71S leaving work. I will have to leave early just in case, maybe stop by a store if so. I don't think Target would be open, but a grocery store will. Had a lg BM around the time my 630 am alarm went off and before finishing my 2nd cup of coffee. Finished 2nd cup of coffee and then took measurements, had breakfast and got ready for work. Menstruation is light, and was light last night. Can wear light pad, unless unexpected gusher occurs, to be safe. Do I want to gamble? But also, not showering before work to save time and make sure I get to work with enough time. Nothing planned all weekend. And tempted to refund these 3 MLD client's outstanding credit balance on 5+5+4 MLD massages, they don't need. They are beyond the 6 weeks mark for all of them. They know they can use it as a credit, but I don't really want to be hit up months down the timeline to give out some credit balances, plus right now it is still early enough to get back some Square fees when I refund them their money in my savings for unused massages. Went to work had a coffee with 4 carmel creamers for lunch after trying to fit a shelf I bought at TJ Maxx Home Goods that I though would fit but was 3-5" too big. Made it work. Got home organized laundry, got rid of stuff I don't need, separated clothes and put shoes, towels, and blankets, pillows up on shelf or in a bag in room. Then had some drinks. five servings of Jameson by the end of the night after watching Night Hunter on Hulu from 2019. Pretty good. Reminded me of the creep as twins that creeped me out as first of male clients, has back injury , and that pig nose, loser scum. Was a high school teacher who had to have spinal surgery years before meeting me for massages, and I ended our massage relationship after 4th massage because he kept flailing his legs and ft at me, and did stuff like a psychopath does setting up to kill someone off guard by walking behind me when setting up massage table. He said he had acid reflux and spit after coughing disgustingly and having me press hard into his cervical muscles prone so he could spit through face cradle. So gross! Ryan Sch**t. Last I seen him was before quarantine in 2019 I think. The dude that played twins of him was in movie. It also had some other lesser known actors like Henry Caville, Ben Kingsley, and some girls who was in other movies I don't remember which or the names. I also made mac n cheese with almond milk and 2 slices mozz instead of butter with a oat bread impossible burger made on grill. Burnt and charred the patty following instructions on frozen bag. Tasted the same. Had about 1/3 the package of mac n cheese and shared 1/4 the sandwhich with the babies. princess didn't eat any of it. Went to bed before 1030 pm after movie ended and added notes to this data. Menstruation is light still, and inner low thighs hurt, feel tight like fluid in there too much for skin. They hurt when moving legs further than shoulder width apart to get on off bed or lift leg up to get on bed. Sucks! It literally feels like my thigh skin is too small and being pulled apart by excess fluid retention and causing it to ache. </t>
  </si>
  <si>
    <t xml:space="preserve">Woke up at 530 am by alarm and laid in bed napped a little until 620-625 am. Got out of bed and did normal routine. Went to bed around 11 pm last night so got about 7 hours of sleep. Cleaned pet messes, made coffee, gave Growly his meds, fed babies, restarted dryer. Checked Dad's tax return I mailed in last week but the efile portion, and it was never sent but paid for so sent that out. Thats odd I thought it was sent, but probably not bc of internet connection or his pin. He is getting older and hopefully he will be around a lot longer. He lived a healthy life but was rooming with a chain smoker the last 21 years who passed away in November 2020. Nothing scheduled for my side biz tonight. I am enjoying my time off and having extra money. Got everything done for school just waiting for the TB form to get emailed to me so I can upload it into EXXAT. Had a lg BM before finishing 2nd cup of coffee and took measurements. Didn't have breakfast yet. Or fold laundry and put away. My menstruation was med flow last night and looks like lt-med again today to start out. The feet and legs still swollen but they start out less swollen in the morning. Had about 1/2 a bowl of nachos so about 8 chips and 1/2 bowl of nacho meat just made for breakfast, for lunch packed a cup of the yogurt greek vanilla honey and the rest of the nachos and about 1.5 servings of tortilla chips. Altogether about 2.5 servings tortilla chips and a bowl of nacho meat. Had the 4th cup of coffee instant no fillers for lunch. AT home had a couple servings Jameson bc day off, nothing booked and why not, my roommate told me not to, but his attitude is more toxic than my moderate drinking. Today my dad texted me and said a gray and white cat was dead beside his porch and didn't know how to remove it. I told him to get a DNA scan bc mine said I have genes for autism and schizophrenia and he might too. But also that it was Sherrie his deceased wife trying to reach him but got hit by a car or attacked by dogs or similar and made it to his porch then died. Its odd he texted me to tell me about the dead cat. I also told him about filing his taxes efile late by this morning and that they were rejected due to the 6 digit pin being incorrect, and he already knew that would happen and is why I mailed his returns to fed and state. Listening to the new Dan + Shay on Spotify and had a 3rd serving of Jameson. Let me tell you about these Genome Wide Association Studies or GWAS genes that are associated with genes, they are usually very small samples of people, and cannot be reproduced in other patients across the globe by like minded and educated adults, but the genes have made some introduction into diagnosis of and treatment outlooks for patients so they are kept as their genotypes and usually much less people in the studies examined. They take those genes then they have 5000 people according to Nebula with which they have sequenced and compare the results of your tagged genotypes to those 5000 sampled people to represent the population and give you back a return of how your genotypes known to be associated as reducing or enhancing disease association with those 5000 people, so that if you have more or the highest score you are 100th percentile according to that sample. Given they use statistics and Central Limit Theory and Law of Large Numbers to determine a large enough sample will eventually reach the actual population sample value for what is sought as in the mean or center of the bell curve. This is disturbing, bc, it is not meant to be taken medically diagnosing, but has some information that was examined in other individuals that were studied and compared to your genes and a sample they have that could potentially represent the population as a whole. The sample usually has to be at least 40-100 different patients, but also random, identically and independently selected, and replaced or sampling with replacement for bootstrap method of calculating a population theoretical value. It has been proven in many studies by Gaussian, not knowing first name at moment. However, only those people who had access to genome scanning, could afford whatever price was asked, and felt confident about their genes or had a disease they wanted to get scanned or other reason. So this isn't necessarily random sampling as the population doesn't hold that many people that are represented in a subset of people that had the interest, time, money, etc to get screened compared to others in population that don't have interest, time, money, etc. So not necessarily following the rules for assumptions needed for Central Limit Theory. As the number of samples grow the true mean will converge to the true population mean value. Significance is if the calculated ratio of your value compared to the mean in samples over the number of samples as the true value or number representing lets say someone with Alzheimer's disease has overexpression of some gene by 5.7 figuratively and others randomly selected have values similarly close, than that gene or genotype is examined further to see if it is a target gene and vice versa for under expressed genes that lets say healthy non-alzheimer's disease patients have a much higher expression of a gene and similar genotypes than someone with Alzheimer's disease. I had 3 drinks at this point, and would like to read the bioinformatics book and will very slowly probably a couple pages by 10 pm and its 615 pm. Then had a scrambled egg sandwhich 2 eggs in almond milk on oat bread with 2 slices mozz G&amp;G brand but ate only 3/4 of it, no flavor. Then watched some western movie post civil war from 2015. Looked interesting. Had a tiny BM somewhere between watching the movie and going to bed, for 2nd of the day. Went to bed around 10 pm after watching some older movie about 6 years old western type post civil war movie called 'The Keeping Room' sometimes those movies sound so interesting, because we are so used to surviving off goods and services we all need like phone, fuel, grocery stores, internet, movies, etc, and back then in a war, that had to be tough as a female holding down the house with enemies nearby about to burn your house or take over or rape and pillage, etc. There are quite a bit of those movies out there. Some of the older ones too, only when I am having a few drinks and have time to watch. A whole different world to think about. Probably similar to the turmoil in 3rd world countries by those battles and wars by the state and rebels or guerillas. Thank fully  not a problem here as we maintain everything great. Bed time by about 10 pm. Tired, had 3 drinks total. </t>
  </si>
  <si>
    <t>Kraft mac n cheese dry mix 3 servings per box, 1 box dry:</t>
  </si>
  <si>
    <t>pot mac n cheese made with 1/3 cup almond milk and 2 slices mozz cheese</t>
  </si>
  <si>
    <t>bowl mac n cheese with almond milk and sliced mozz</t>
  </si>
  <si>
    <t xml:space="preserve">frozen impossible burger patty plant based meat </t>
  </si>
  <si>
    <t xml:space="preserve">vanilla honey greek yogurt 1 1/2 cup
(360	12	6	28	38	0	100)
4 carmel creamers in 4th cup coffee
(140	6	0	0	20	0	60)
bowl mac n cheese with mozz slices instead of butter and almond milk instead of milk
(293.33	4.94	2.67	12.44	49.78	2.11	672.22)
1 beyond beef patty frozen kind
(240	14	8	19	9	3	370)
2 slices oat bread
(220	4	0	8	38	4	270)
=360+140+293.33+240+220
=12+6+4.94+14+4
=6+0+2.67+8+0
=28+0+12.44+19+8
=38+20+49.78+9+38
=0+0+2.11+3+4
=100+60+672.22+370+270
</t>
  </si>
  <si>
    <t xml:space="preserve">Woke up at 530 by alarm laid in bed until 550 am, restarted dryer and spun the blanket I washed last night before bed. Made my coffee and fed the babies with Growly his meds, updated this nutrition. I forgot to look at the cameras to see if there was somebody in the alleys leaving the neighbor's house the night before around 11 pm and 1 am bc somebody broke into her car at that time. I will get around to it. Measurements taken after 1st cup of coffee before 2nd cup coffee and before a BM or breakfast of yogurt. Still on my rag it is still light to med flow. Ankles not as swollen but inner thigh still hurt the same feeling of fluid in there or nerve pain. Maybe I am getting fibromyalgia. I don't know. I looked at the video and didn't see anything down the alley bw 11pm-1 am on Fri/Sat but a possum and my alley cat friend, and some other cat moving around. Had a reg BM after 2nd cup of coffee. They are larger spoons of coffee so its like they are 3 cups of coffee. Larger servings than I usually have in 1 cup. For the last month or so my 3 cups are split over 2 actual cups of coffee. At work had 4th cup of coffee with 4 french vanilla creamers the work donut shop keurig and a poki bowl all the normal stuff, double salmon, ponzu sauce, brown rice, cucumbers, ginger, sesame seeds, cream cheese, and wasabi. Then got home tired from the side street drive. I always get really tired half way on the way home, when I leave work I am not tired, but half way home I get super tired. Exhausted. The alcohol woke me up listening to country and taking off the waist trimmer and compression socks. Kept bra on not too uncomfortable. I ended up watching some movie on Amazon the Informer with the actor that is in Suicide Squad that I watched afterwards but fell asleep drunk to it. Kept having a serving of Jameson. Didn't finish it and also had 2 Impossible burgers with mozz sliced cheese on oat bread. Stopped counting after 5 servings but I think I had 2 more after that, so 7 servings since I got home around 4 pm until bed time around 1130 pm or 12 am. </t>
  </si>
  <si>
    <t xml:space="preserve">serving vanilla honey greek yogurt
(180.00	6.00	3.00	14.00	19.00	0.00	50.00)
2 impossible patties
(480	28	16	38	18	6	740)
double salmon poki bowl 
(554.50	11.18	2.15	17.80	96.55	8.35	901.00)
with creamcheese
(51	5.1	3.2	1.1	0.4	0	43)
4 slices oat bread
(440	8	0	16	76	8	540)
2 slices mozz cheese
(120	8	5	10	2	0	280)
4 french vanilla coffee creamers
(140	6	0	0	20	0	60)
neopolitan icecream
(170	8	5.00	3.00	22.00	0.00	65.00)
=180+480+554.5+51+440+120+140+170
=6+28+11.2+5.1+8+8+6+8
=3+16+2.2+3.2+0+5+0+5
=14+38+17.8+1.1+16+10+0+3
=19+18+96.55+0.4+76+2+20+22
=0+6+8.35+0+8+0+0+0
=50+740+901+43+540+280+60+65
</t>
  </si>
  <si>
    <t xml:space="preserve">Woke up at 630 am by alarm, couldn't remember the end of the movies I watched last night, but hung over and feeling it. Laid in bed a few minutes then did the normal routine, washed the pan from the impossible burger 2nd one last night, did normal routine feeling sick and saw I didn't finish the movie and laptop was unplugged and closed. I gave Growly his meds no icecream today bc the babies aren't really eating it, but they had their normal am wet cat food same for meow meow. Made my first cup of coffee about 1 1/2 servings and drank water, started feeling better, started the movie over again to the part they landed on island, and replayed while finishing up the 2nd cup of coffee and then done before end of movie around 835 am and then updated this database. Will probably take a nap before going to work leaving by 2 pm. I am talking with my manager about my schedule today too for school. I also did start drinking yesterday while finally getting the Virtual Machine ubuntu linux anaconda Jupyter notebook to work, bc it wasn't installing the r-essentials, and I started drinking bc it was really really slow and not working then I checked the previous uploaded packages and noticed they weren't in the bioinfomatics environment, so reinstalled, then had success with the r-essentials and r-gridpackage after reinstalling everything individually. I guess I didn't actually save it correctly in a version when shutting it down from a week or two earlier where I had uploaded the packages. Then I tested out the programs in the anaconda jupyter notebook and had an issue with the timezone fault that anaconda's google search fixed. The quetions for the community and the other one that is for coding was useless. I forget  the name of it, but the questions were unanswered or not relevant. I just googled it and saw it is getting pushed further down rankings of most popular choices, stackoverflow.com, is obsolete. Anaconda seems to have the fixes with issues when the package functions are outdated to try a different fix package. Kept feeling nautious and made myself vomit, only acid burnt my throat and a tiny bit of the impossible burger and oat bread came up less than a couple spoons in total. But kept burping up that burger from last night. Then made a 3rd cup of coffee but went through some of the files ln my computer and noticed that I accidentally erased all the biology coursework I had for the summer, Everything! I thought I saved it to my external hard drive but didn't. Know way to recover those files. I wanted to look up the class of starfish that regenerate and shark skin and noticed the files were gone. This is after watching the Suicide Squad 2. Shark skin: cartilage and the class of starfish is echinoderm or something similar. Also wanted to recall exactly when humans migrated from AFrica my memory wants to say 2 million years ago. But cannot confirm that last part after reading about blond dog fur 2 million years ago extinct gene in our domestication of dogs. I still have the lab manual and the book. The animalia was last section. That really sucks that I don't have the powerpoints or any other files from that course like the study guides or worksheets. I didn't upload that file to dropbox either. I remember most of it anyways. But still, good to have it nearby to look at especially with my coursework in biology coming up for the doctor of chiropractic program. I will be chilling out on the alchol consumption from now on. I am feeling really nautious and sick still. Makes me think my biological father who died a vegetable from a heart attach while mowing the lawn in his late 40s will happen to me. He was an alcoholic. But I didn't inherit that gene, because my genome says I don't have a high percentile in their 5000 sampled individuals to compare to for that gene. But do have a slightly higher than average percentile of congestive heart failure. I think the 60th percentile range. At least I have my genetics and my chemistry coursework stored on the external drive and the nebula genome data large files stored on it too. I had a sm BM after looking at computer and noticing files missing and before 3rd cup of coffee. I tried to take a nap before the BM but couldn't take one around 9 am. Head spinning. Felt relaxing for a while but not able to sleep, downed that 3rd cup of coffee that was cooling off after the 1st BM, felt naituous, saw if I would vomit or if I could, I also had my vitamins on empty stomach, 3 today, and 3 yesterday instead of 2. Not bleeding today, just the liquid stuff after menstruation. Then had a 2nd sm BM while updating this nutrition data for yesterday.  Keep feeling sick and on/off nausea. Chest pain slightly not painful but might be me thinking I have a heart condition or where stomach acid is. Sure liver is working to detox blood and this alcohol soaked food from last night. Tried laying down for nap again after setting alarm for 1 and 2 pm. around 11 am, and got a call from my manager for the schedule change and she said it would start the 7th as requested for a year and that if anything changes to let her know and I agreed afterwards to work Mon the 6th 8 am -3pm for Labor Day I usually work at night, but would like to work at that time as they close at 3 pm. I got up about 12 pm after laying in bed cold, I turned off the AC before trying to nap. Ate a peanut butter and jelly sandwhich on oatbread to have something in my system, no longer feeling nauseated but do feel slightly groggy, went outside to soak up some sun while finishing the other half of PB&amp;J sandwhich. Was able to eat no problem and hold it down. Will have a 4th cup of coffee before work today. Measurements taken after eating the PB&amp;J sandwhich. I tried taking a nap again but no luck. Took a shower and got ready for work and laid in bed for about 1/2 hour. Didn't eat anything else but had that 4th cup of coffee before work, and at work on my break ate a falafel bowl but none of the 5 falafels because they tasted gross like the way arm pits smell after sweating. A dude made them. I did have the pickled beats, 3 small scoops of the red peper, traditional hummus and the zesty feta with a red cream sauce have no idea what it is some type of tzaziki sauce. And there was additional feta cheese plain on top. Wasn't tired or sick at work. Had a 5th cup of coffee with 4 carmel coffee creamers after the falafel bowl on break. Schedule is changed and set for early September. I didn't wear my compression socks or waist trimmer today and when I got back my feet and ankles were swollen, the ankles super swollen in the whtie socks with my sketchers version of the crocs without holes. </t>
  </si>
  <si>
    <t>pita bread, calorieking.com</t>
  </si>
  <si>
    <t>wheat pilaf calorieking.com</t>
  </si>
  <si>
    <t xml:space="preserve">peanut butter and jelly sandwhich
(450	19	2.5	15	59	6	405)
4 carmel coffee creamers
(140	6	0	0	20	0	60)
1 serving pickled beets
(40	0	0	1	8	1	140)
1.4 cup serving cucumbers
(4	0.025	0.025	0.175	0.95	0.125	0.5)
1 serving hummus
(435	21.1	2.8	12	49.5	9.8	595)
feta cheese 1 serving
(179	14.5	10.2	9.7	10.8	0	759)
1 serving wheat pilaf
(200	4.5	2	7	40	8	680)
1 serving red pepper dressing sauce
(180	16	3	7	3	1	70)
1 flat bread
(165	0.7	0.1	5.5	33.4	1.3	322)
=450+140+40+4+435+179+200+180+165
=19+6+0+0.025+21.1+14.5+4.5+16+0.7
=2.5+0+0+0.025+2.8+10.2+2+3+0.1
=15+0+1+0.175+12+9.7+7+7+5.5
=59+20+8+0.95+49.5+10.8+40+3+33.4
=6+0+1+0.125+9.8+0+8+1+1.3
=405+60+140+0.5+595+759+680+70+322
</t>
  </si>
  <si>
    <t>frozen Trader Joes Vegetable Panang Curry</t>
  </si>
  <si>
    <t>Woke up at 630 am by alarm, was tired, laid down for about 10 minutes more then got out of bed. My R shoulder aches from the 3 deep tissue massages I did last night. I will nurse it later with the massage gun, massage cane, and CBD and a hot pack or/and red light. I decided I have the day with nothing to do other than work on my genomics book in my linux virtual machine. Fed babies and gave Growly his meds with his food. Haven't been giving them icecream because they don't eat it all but there is still some in the freezer. Made my coffee and cleaned up pet messes before feeding babies. Quite a bit of them or a few even though I took them out late last night. Went to bed just before midnight last night. Maybe about 1145 pm. Also, after 1 st cup of coffee had a sm BM. Ate 3 vitamin women's gummies on empty stomach and made me dizzy while looking at the genomics book and scripts in the virtual machine. Had some mozz cheese about 1 1/2 tbs and 2 slices oat bread toasted plain. Felt better. Was able to get through the interfacing in jupyter notebook bw R and python and the graphs. Will do ch 2 next on next generation sequencing. I had to avoid 1 chunk of code on R conversion of data frame into a python data frame bc the function used wasn't recognized as an attribute to the function. using attribute 'ri2py' it didn't matter really. Probably not, nothing else depended on it. It used a couple ways to 'magic'ally use the '%R' to interface in the notebook bw python and R and the other robjects.r method. No drinks last night bc still recovering but feel good. Not drowsy at all. I took a nap around 1045 am for 30 minutes or so after reading through most of chapter 2 on the FASTA and FASTQ files for the Jupyter notebook. Woke up, didn't shower or brush teeth, but dropped the clothes I had in the van from a few days ago at Goodwill and then went to Starbucks to get a nitro cold brew grande with brown sugar and almond milk and then to Trader Joes. I haven't been to in probably a year or close to it. I picked up some vegetarian frozen meals like vegetable lasagna, some Indian/Thai type savory dishes, a shrimp kabob fresh in deli and a salmon filet and farm raised salmnon patties with bell peppers and a bag of cheetos. Felt kind of nauseated, maybe the coffee, but no headache, that was the 3.5-4th cup for the day as the first two were more like 1.5 cups each due to instant coffee scoop size. Before going to Goodwill I also put some CBD, biofreeze, and infra red light by the wand and the massage gun and massage cane not that order on my R shoulder and then left. I probably smelled like Ben-Gay at those few places I went to. A nice older lady with white hair in a bob touched my back and told me to follow her to the 1st lane, but it was slower and suggested I go to another and I did. She was nice, but that was odd. I had to disrobe when I got home just in case her hand had germs bc I am vaccinated but its odd to touch my back. And my experience tells me those people touching other people and appearing nice or courteous are actually spreading germs. Maybe she coughed in her hand or wiped snot in it earlier then touched my back. I was feeling nauseated while and after eating the vegetable frozen meal of the panang, which is jasmine white rice and a thai type red sauce with green beans and green onions. I don't like to be that way but cashier's sneeze in their hands and greet you courteously while touching your hand grab bag chips and drinks, same with an esthetician I knew who used to have her extraction wet rags in her hands and then touch my freshly washed and dried hair. It was annoying. I do not and absolutely hate germy folks. They are nice, but need to keep their hands to themselves. Started feeling better after pouring some rubbing alcohol on my back that she touched on the clothes then changing into clean clothes and putting those in the dirty clothes. Probably my subconscience just making myself sick knowing germs are everywhere. But I am thinking I am right about the lady spreading germs. Probably bc I kept touching the seafood packaged to pick one out and putting back the others. Also bought some 'saturn peaches' that are like flattened peaches that fit into a pkg of 4 with all peaches exactly the same flattened shape or appear to be. They are good, sweet, juicy. Had one before the veg panang curry and one about 30-45 minutes later. They probably will go rotten soon. There was a pkg in display that looked like it was already leaking brown liquid, didn't get that pkg at Trader Joes.</t>
  </si>
  <si>
    <t>Trader Joes vegan tikka masala</t>
  </si>
  <si>
    <t>Trader Joes baked cheetos 4-5 servings per bag, 1 serving is 3/4 cup:</t>
  </si>
  <si>
    <t>1 raw peach calorieking.com med sz</t>
  </si>
  <si>
    <t xml:space="preserve">2 slices oatbread
(220.00	4.00	0.00	8.00	38.00	4.00	270.00)
1/4 cup mozz/parm
(100.00	6.00	4.00	8.00	2.00	0.00	280.00)
brown sugar almond/oat milk nitro cold brew
(120.00	3.00	0.00	2.00	20.00	1.00	120.00)
trader joes veg panang curry frozen meal 1 pkg is 1 serving
(470	11	9	9	84	9	760)
bag Trader Joes baked cheetos serves 4
(560	24	4	8	72	4	680)
vegan tikka masala Trader Joes frozen meal serves 1
(390	17	4.5	12	49	2	800)
4 peaches
(232	1.6	0.4	5.6	59.2	9.2	0)
=220+100+120+470+560+390+232
=4+6+3+11+24+17+1.6
=0+4+0+9+4+4.5+0.4
=8+8+2+9+8+12+5.6
=38+2+20+84+72+49+59.2
=4+0+1+9+4+2+9.2
=270+280+120+760+680+800+0
</t>
  </si>
  <si>
    <t>wed</t>
  </si>
  <si>
    <t xml:space="preserve">Woke up at 520 am and got out of bed by alarm at 530 am. I went to bed around 10 pm, so got about 7 hours of sleep. Did normal routine, cleaned pet messes, coffee made, Growly given meds, babies fed, then made the shrimp/salmon/peppers kabobs I got at Trader Joes yesterday in airfryer with olive oil and pepper. And folded the laundry and put it away from last night. Looked at the books last night for R and Python with genomics and bioinformatics, and decided to explore the $20/month genomics viewer on nebula.org that I am subscribed to for getting my DNA whole genome analyzed, and they actually have some good stuff on a couple genes that are known to be pathogenesis genes for uterine fibroids, TNRC6B and BET1L, and I saw that I have my variants published for my genome and it says the nucleotide base that is either a duplication, deletion, insertion, in a location where it shouldn't be and if it is something to look out for or not. Nothing red for me, so not to worry, but I had a lot of single nucleotide polymorphisms (SNPs). Interesting. I want to compare it to the genes I put together in my Tableau public dashboard and compare,... eventually. I am not so happy with these self educate books I bought on genomics. Some information, but it always stops at an interesting pedagogy part of the text reading and explains where to go for more information, bc this book isn't for that and backtracks to you should already know or look into another reference to find out more information. Bunch of side tracking. Thought I could do something with the FASTQ files but the long sequences and rankings of how each nucleotide is probably the right one seems like I will have to use a BLAST or basic alignmenst sequencing tool by manually inserting each sequence, but it doesn't give the gene name to each sequence, just the number of variants to each sequence and the long string of the coding region of it. Too much work for what I wanted. The online nebula genomics viewer seems to be good enough. I had oat bread toast for breakfast and a reg BM after 1st cup of coffee which was before breakfast about 45 minutes before breakfast. I had 3 vitamins while eating breakfast. Then took measurements. Ankles aren't too swollen to start the day. </t>
  </si>
  <si>
    <t>chile spiced mangos dehydrated from Trader Joes, serving is 1/2 cup, 6 per bag</t>
  </si>
  <si>
    <t>unsalted cashews, 20 pcs about 1 oz is 1 serving, 10 servings per bag</t>
  </si>
  <si>
    <t>Garlic Naan Trader Joes Indian Bread, serving is 1 slice</t>
  </si>
  <si>
    <t>Roasted vegetable multi-grain lasagna Trader Joes, serving is 1 cup, 4 per pkg</t>
  </si>
  <si>
    <t>parmesan bagel 1, calorieking.com</t>
  </si>
  <si>
    <t>smoked salmon enough for bagel, about 1/3-1/4 cup, 4 oz in 1 serving, calorieking.com</t>
  </si>
  <si>
    <t>capers, 2 tbs, calorieking.com</t>
  </si>
  <si>
    <t>salmon and lox or capers parmesan bagel with creamcheese and tomato slices 2</t>
  </si>
  <si>
    <t>2 slices oatbread
(220	4	0	8	38	4	270)
vanilla sweet cream nitro cold brew
(110	6	3.5	1	14	0	25)
horchata machiato iced beverage at a small ma and pa Chinese coffee snack store, using same as other vanilla sweet cream
taste similar but with cinnamon in horchata version
(110	6	3.5	1	14	0	25)
salmon, lox bagel on parmesan bagel with a lot of cream cheese and tasted like mayo, tomato, some green pea shaped veggies probably the lox and smoked salmon tasted like bacon almost
(723.1	33.7	17.6	39.7	68.6	6.1	3591.2)
serving cashews 20 pcs
(160	14	2.5	5	8	1	0)
2 servings chile spiced mango dehydrated
(280	0	0	0	66	2	380)
1/2 cup salmon on kabob
(268	7.8	1.8	14.2	33.4	1.2	386)
5 shrimp on kabob
(26.25	0.4375	0.0625	5.0625	0.25	0	36.875)
1 tbs olive oil over kabob
(120	14	2	0	0	0	0)
2 pita bread or 'Garlic Naan' frozen Indian entree from Trader Joes, airfryed as is
(500	7	3	14	94	6	620)
=220+110+110+723+160+280+268+26.3+120+500
=4+6+6+33.7+14+0+7.8+0.4+14+7
=0+3.5+3.5+17.6+2.5+0+1.8+0.06+2+3
=8+1+1+39.7+5+0+14.2+5.06+0+14
=38+14+14+68.6+8+66+33.4+0.25+0+94
=4+0+0+6.1+1+2+1.2+0+0+6
=270+25+25+3591+0+380+386+36.9+0+620</t>
  </si>
  <si>
    <t xml:space="preserve">Woke up at 630 am, but a few minutes before it to pee and then let alarm go off. Then laid in bed until 7 am. This new client a guy wants a massage in Pomona at 9 am, yesterday he booked a massage on the scheduler but didn't fill out a consent form, so I cancelled it and told him to do that first, he did, then rebooked. I had to cancel first one bc of that and also bc no way to contact him to ask him bc no phone listed on the square app for his appt. He has a phone listed on the consent form, but I didn't call to ask him any questions to screen him. I will do that before leaving in a few minutes. He wants an hour and a half for 'overall stress in body' and I need to know he isn't some creep or weirdo. Need to ask if he's had a massage before and what type of stress or why he's stressed, he put that his stress is a 3/10 with 10 being the most stress so that would indicate he's not stressed. I also want to know how he heard about my biz and when his last massage was. Getting started late for the day. Finished the Doctor Sleep movie I started last night but didn't finish. Went to bed before 12 am so got about 6.5 hours sleep. Did normal routine this morning and finished 2 cups of coffee by the end of the 45 minutes I didn't watch of the movie. Ate some of the spicy mango and the cashews while watching last of the movie. Then had a reg BM while updating this database. Then took measurements and got ready to go to this potential client's house. Potential if he answers those questions correctly. Ankles and feet are still swollen. The dude answered the questions fine and turned out to be a nice family guy. Close to my work, but I didn't ask how he found my services. But he was sore from work, has had massage but years ago. I am spotty again today, it was red spotty after I changed and got ready to go to the new client's house I noticed, but didn't put a pad on bc I thought it was odd and not likely to be a gusher. I had about a week of it not spotty at all and just ended my rag that missed the med-heavy and heavy days. Continued being spotty the rest of the day. After client's house had the 4th cup of coffee a 7 Leaves large Vietnamese coffee with boba, and at home did the linens and laundry. And made the salmon filet in the air fryer with olive oil, paprika and black pepper for 20 minutes at 360. Turned out really good. Ate that with last of the Indian bread. Shared with the babies and they all loved it, even Meow-meow. Though I only gave them small pieces of the salmon. Ate half that, and saved rest for later. Took a nap at about 130 after being put on phone queue to be called back by the TX dept licensing and regulation for massage to find out how my massage licensing is going. When I woke up 20 minutes later I got the call back and the lady was able to tell me everything is good, but just waiting on the background clearance to get approved. Then I got a confirmation from my admission advisor at SCUHS about a time to speak to each other of any questions, I got the book list and course schedule earlier. And chose 4pm and he emailed me to  confirm. I had a couple hours and wanted some book shelves and possibly a new desk so deposited some cash I have had from tips and some cash clients in the atm of my bank and checked out the Marshall's and saw a great comfy desk with mismatched wood bench perfect for each other at 170 for the desk and 60 for the bench, decided to pass and got makeup brushes instead. But did check out the shampoo and conditioners they had from designer brands that smelled like old ladies or similar. Decided to pass on those too. Wanted smells reminding me of hair salons, professional hair salons, but the keratin and gardenia and plumeria and cherry blossom didn't take me there for $12-20 a bottle or combo. I had a starbucks brown sugar oat milk espresso from the new starbucks on Main street before going to the bank around 2 pm, and tons of school traffic all along the way to South Corona from downtown where I live. Same on the way back, but the end of the school buses and traffic leaving the high schools. Then I had the 4 pm call with my advisor and he told me that I will get the medical equipment in the book list and supplies per course as the medical kit but should check into the zoom meeting with the Dean when it is scheduled on Monday 12-2 pm I think to ask any other questions like on the medical gowns and medical marking pencils and robes we would need for the courses. For the coursework, we are palpating and need to wear shorts and sports bras as a requirement so the other classmates can palpate I am assuming our spines, since it is the doctor of chiropractic, possibly abs as in the physical exam I was told we learn to do, and is part of the soft tissue manipulation. I did actually notice something odd when leaving 7 Leaves after leaving the new client's house, about 20 SUV sherriff vehicles in single file line coming down the 91 freeway going East while I was merging onto the 91 freeway from the 71 freeway. It looked like a parade of them and it made me think of the mass shooting that happened in San Bernardino in 2015 that there was a need for that many different police and patrol cars and different policing agencies. All these cop SUVs were white and had their lights on or red/blue/white emergency vehicle lights on but not the noise, or couldn't hear it if so. I merged onto the freeway to catch the tail end of it. There didn't seem to be a police chase either. Made me wonder what that was and want to take it off my dash cam and upload to the cops group of facebook to ask. Not really the cops group but the group for police activity in Corona and surrounding area. Didn't see anything about it when googling it. When I got off the phone call with the advisor I fed the babies and Growly his meds and ate the last serving of the neopolitan icecream. Didn't touch the rest of the salmon yet. For breakfast I had some of the spicy mango and the cashews and by mid day had about 1 serving cashews that I ate my vitamins with and a serving of the mangos. After client's 7 pm appointment did the laundry and folded laundry from earlier, decided to have one drink, had a small BM, and put on a pad, bc I am definitely light on my rag, not just spotty. It is slow but light flow. That makes 2nd BM for the day. Sent out client's SOAP notes before having a serving of Jameson. I premade her receipt earlier and sent out first client's SOAP notes and receipt before her appointment so it was fast. Also, before going to her house had another bit of the half salmon filet in fridge, and left the other quarter in the fridge. Had it with 2 slices oatbread toasted. I only drank that serving of Jameson to do something in moderation and not think of it as poison, from last time I had way too much which was almost 5 days ago, and it made me sick just having that one serving. I felt it in my upper abs stomach area and tried to sleep by 11 pm after putting laundry in the dryer, but because my menstruation is weird and light spotty flow I burped and tasted stomach acid so made myself vomit and a little bit of the salmon came up that I had before leaving for the client's house 3-4 hours earlier with the taste of the whiskey. I felt better and was able to go to bed. Must have still been digesting. BUt my body isn't ready to drink yet. Not for a while. So I will put that 2 liter bottle of Jameson back in the roommate's room. </t>
  </si>
  <si>
    <t xml:space="preserve">2 servings cashews
(320	28	5	10	16	2	0)
2 servings mangos
(280	0	0	0	66	2	380)
vietnames coffee with boba 7 leaves brand
(297.00	4.30	2.70	4.00	60.00	10.00	86.00)
brown sugar oat milk espresso starbucks brand
(120.00	3.00	0.00	2.00	20.00	1.00	120.00)
3 servings salmon
(306	30.6	19.2	6.6	2.4	0	258)
2 slices oat bread
(220	4	0	8	38	4	270)
1 serving neopolitan icecream
(170	8	5.00	3.00	22.00	0.00	65.00)
2 Naan Indian bread
(500	7	3	14	94	6	620)
=320+280+297+120+306+220+170+500
=28+0+4.3+3+30.6+4+8+7
=5+0+2.7+0+19.2+0+5+3
=10+0+4+2+6.6+8+3+14
=16+66+60+20+2.4+38+22+94
=2+2+10+1+0+4+0+6
=0+380+86+120+258+270+65+620
</t>
  </si>
  <si>
    <t>Specially Selected Aldis brand Dark chocolate Sea Salt Caramels, serving is 2 pcs, 7 servings per pkg, 2 pcs:</t>
  </si>
  <si>
    <t xml:space="preserve">Haribo Gold Bears, gummy bears, Aldi brand, serving is 13 pcs, 4.5 per bag, 1 serving: </t>
  </si>
  <si>
    <t xml:space="preserve">9 servings in 2 bags Haribo gummy bears
(900.00	0.00	0.00	0.00	207.00	0.00	45.00)
4 servings veggie lasagna, the pkg
(880.00	20.00	8.00	44.00	140.00	20.00	1520.00)
8 pcs chocolate carmels from Aldis
(560.00	24.00	16.00	4.00	92.00	4.00	200.00)
4 fr vanilla creamers in 4th cup coffee
(140.00	6.00	0.00	0.00	20.00	0.00	60.00)
serving salmon airfryer with last of lasagna
(102.00	10.20	6.40	2.20	0.80	0.00	86.00)
=900+880+560+140+102
=0+20+24+6+10.2
=0+8+16+0+6.4
=0+44+4+0+2.2
=207+140+92+20+0.8
=0+20+4+0+0
=45+1520+200+60+86
</t>
  </si>
  <si>
    <t xml:space="preserve">Woke up at 530 am by alarm, but laid in bed napping until just before 630 am and got out of bed and peed by the time 630 alarm went off. Cleaned pet messes, made coffee, gave Growly his meds and fed babies and folded and put away laundry from last night and made Trader Joes frozen vegetable multi-grain lasagna in microwave for 20 minutes. Then took measurements after looking at this database and updating it without the nutrition till after. Ankles aren't that swollen or at all this morning, will see as the day progresses. Had a sm reg BM before showering. For breakfast, lunch, and dinner ate all the lasagna, also had 2 bags of gummy bears and some sea salt chocolate caramels I bought at Aldis on my lunch break. I had a sweet tooth. For a no show in the morning that I got paid for, I had a coffee with 4 french vanilla creamers. Didn't do much of anything when I got home, but made another package/monthly plan for couples or those liking 90 minute massages, for $275, once a week every month for $275 pay up front each month, or every other week for couples both 90 minutes. Includes one add-on service and expire 90 days after last day of month purchased. Then emailed the three clients about their credit balance with me to use on services or get refunded less money than the credit once the bulk discount is added back to each massage. One client gave me that idea for texting me about using it on a couples massage as she would rather do that instead. Went to bed after watching the miniseries Nine Perfect Strangers on Hulu. Interesting show but more like a short story. </t>
  </si>
  <si>
    <t>baked cheetos, serving is 34 pcs, 8 approx per bag, serving:</t>
  </si>
  <si>
    <t xml:space="preserve">2.5 slices oatbread
(275	5	0	10	47.5	5	337.5)
1 impossible frozen patty
(240	14	8	19	9	3	370)
1 blueberry muffin 85 degrees bakery
(480	26	5	6	59	0	590)
1 salt bread 85 deg bak
(320	17	10	6	35	0	430)
3/4 coffee milk 85 deg bake
(555	22.5	22.5	0	90	0	37.5)
15 cheese totino pizza rolls
(210.00	8.00	2.00	5.00	31.00	1.00	320.00)
3 servings baked cheetos
(420	15	3	6	60	3	720)
=275+240+480+320+555+210+420
=5+14+26+17+22.5+8+15
=0+8+5+10+22.5+2+3
=10+19+6+6+0+5+6
=47.5+9+59+35+90+31+60
=5+3+0+0+0+1+3
=337.5+370+590+430+37.5+320+720
</t>
  </si>
  <si>
    <t xml:space="preserve">Woke up at 530 am and went to bed a little after 10 pm last night. No alcohol but could have drank the wine with the last of the lasagna and salmon I made in the airfryer for dinner. Need to get more food from the grocery store. Maybe today after work. Its a short day today until school starts back then I extend it three hours to 5 pm. Updated this database. Might leave early to get a donut or bread from a bakery close by before work. I'll eat a slice of oatbread toasted to take my vitamins. Did the normal routine, a bunch of pet messes to clean, made my coffee, gave Growly his meds and he is low on the water pill, need to call that one in, and fed babies, did dishes of roommate's from last night. Didn't bleed much of any last night, but still on my rag a light flow. This cycle has been odd, all spotty to begin before normal cycle, then it was light-medium flow during cycle, and stopped then again to spotty light flow. I did start taking the multivitamins during this cycle, so maybe that is effecting it. Ankles aren't too swollen either, but still a little swollen around inner maleolas both ankles. But not so much on outside of ankles. Took my 3 vitamin gummies while eating 1/2 a slice of the oatbread end, and making an impossible frozen patty in the airfryer. This check was good, and it included the vacation days, but most my tips might have been on this last check from work. It was direct deposited yesterday. Already, thinking to pay down credit card, set aside some for my neices's birthdays soon in early September and early-mid October. Its now mid-late August. Also, some bookshelves and many expensive books upwards of $3k for this term's books, but my advisor said some could be cheaper digital versions on the kindle. Measurements taken after the oatbread with vitamins and 1.5 coffees, but before BM and real breakfast. Had a lg BM after making my 3rd light weight coffee. Packed an impossible oatbread burger for lunch. Then showered quickly and got ready for work. ANkles weren't that swollen today. Stayed up till 2 am finishing that shelf and getting ready for bed. See tomorrow notes. </t>
  </si>
  <si>
    <t xml:space="preserve">baked cheddar sourcream potato chips, serving is 11 chips , 6 serving per bag, serving: </t>
  </si>
  <si>
    <t xml:space="preserve">3 servings cheese pizza rolls totinos
(630	24	6	15	93	3	960)
3 servings baked cheetos
(420	15	3	6	60	3	720)
5 pcs of sea salt chocolates
(350	15	10	2.5	57.5	2.5	125)
1 serving baked cheddar sourcream potato chips
(120	3.5	0.5	2	22	1	250)
=630+420+350+120
=24+15+15+3.5
=6+3+10+0.5
=15+6+2.5+2
=93+60+57.5+22
=3+3+2.5+1
=960+720+125+250
</t>
  </si>
  <si>
    <t>Stella Rosa Moscato Wine</t>
  </si>
  <si>
    <t xml:space="preserve">Woke up at 530 by alarm went to bed woke up at 630 by alarm got out of bed. Went to bed around 130-2 am bc had to build the shelf that was crap btw. The thing is 3D printed with cheap material that cracks that is cheaper than the dexterity of a trash can. Reminded me of putting together piece after piece to a cheap quality trash can, and had to use duct tape, but fortunately it ended up doing its function. From 720 pm until about 1220 am, tired, but finished while listening to country music same spotify account on loop, and the roommate was ok with it, he told me to take it back, but it was heavy, and I already unpacked the items, many small pieces, and the point of the bottom pieces is still retarded to me as the screws don't fit in, and if you mess up on inserting the only side with screws your whole doors bottom is fucked. Basically, why not just put the pieces in there. They had it on display at Home Depot but it took 6-7 hours to build, and not for the types that want anything as quick and easy as IKEA DIY furniture with much better examples. Then was unwinding while viewing murder stories across US and the asshole fucking neighbors across the street decided to set their tweaker ass alarm off and I know they did it on purpose too around 115 am bc a small motorcycle went by with an engine and it went off, when it never went off before for much larger trucks doing that. Mexicans. Mexican American assholes. I told my ex to go tell them to shut it off because they didn't and it went off for 3 minutes. I put mine on to see if they would but nope. They are fucking loser assholes. Newer to this neighborhood from the old lady that lived there before. I was able to put stuff in the shelf and it works fine but looks 2nd hand when it should look brand new. It is a better bargain but too bad the quality is terrible. It holds stuff up fine once in place. I planned on organizing my whole area and books but couldn't due to it taking forever. Yesterday I spent almost all my cash in my account except some for the rent and electricity on cool gadgets like a microscope on Amazon, some stuff for my DC program and books on my credit card. I only got half of the order and it was more than $700 with sales tax and mostly free amazon Prime shipping. I still have $700-800 more to spend on books, but will wait till my loan or my next few spurts of money. I cancelled a client who booked 10 in a row with me 3 weeks ago then picked off each appointment until one left that I cancelled a few days before it about a week ago. And this was bc she booked it for 6 pm at 1230 pm yesterday for the free MLD but I don't offer that package anymore and notified her that she would have to get the $60 each hour appointment booked to book one but also not today (yesterday) bc I had a triggered low tire/flat tire light which I did and needed to handle which I did after work and the tire shop a quickie ma and pa shop one said just air low, not a patch, and that cancelling bc need to organize today is what I told her. Didn't hear back, but thats ok. I don't like that package, nobody really completes it all the way through once prepaying for it, and other things that irk me occur like not counting them correctly and thinking they are owed one more after and before the 10 are almost up, wanting a refund, not tipping, looking on other MLD sites for better results, etc. They want a miracle when Its not going to happen. Their surgeon created the hard spots too close to skin instead of adipose and thats why hard spots unless it is from their faja wearing too tight with little dimples and rivers inside the garment pooling the collagen and inflammatory rich fluid to one spot preventing lymphatic drainage and causing hard spots in fat. Got about 4 hours sleep from 2 am to 6 am. Took measurements after about 8 cheetos and 3 multivitamins and before 2nd cup of coffee finished. Ankles weren't that swollen yesterday or today. But I have been wearing those open ankle shoes I bought that are similar to crocs but are solide in front and can pull strap off top to put behind ankle, with compression socks. At work had the rest of the cheese pizza rolls I didn't eat for breakfast about one serving for breakfast and one for lunch. I ate breakfast when I got there, and finished the last 1/4 bottle of the coffee milk from 85 degrees for 4th cup of day at lunch time that was in the fridge and brought to work. After work had more pizza rolls a serving and organized the shelf by putting all the games, photo lighting, additional laptops, some extra work blankets, my course books from this year and notes and lab manuals, anatomy charts, the car magnets not being advertised, the mini fridge I don't have room to use, and my quesadilla maker, french coffee for cold brew coffee maker, and my ninja blender in it until I get my long list of books to start rolling in the door, microscope, other chem/bio supplies, and med school tools. Nothing delivered yesterday and Amazon automatically sent me a sorry note about not being able to make yesterday's delivery but said I would get some deliveries today and tomorrow and by sept 2nd for some other items. Its the 23rd of August today. I also had 2 glasses of the moscato stella rosa wine and felt fine. No more than that and tried to eat that french garlic bread I got from 85 degrees the other day that I put in the airfryer, but wasn't feeling like eating it. After done organizing, I watched a movie I never seen called Assassination Nation. Reminds me of a Quentin Tarantino type Purge movie for high school aged people. Went to bed after putting their dog blankets in the dryer. Washed them twice, then cleaned out the washer with this detergent washing machine cleaner through a cleaning cycle. Bet time was around 10 pm. I was tired. I only got a few hours sleep the night before. I snacked on about a serving of baked cheddar sourcream potato chips and a serving of the baked cheetos. I finished the other bag of cheetos at work also baked, about 2 servings at lunch time and after work driving home. I also finished the last of the sea salt chocolates watching the Assassination Nation movie. I looked at the indoor camera and I went to bed around 911 pm about 915 pm after taking babies outside to pee and putting the washing machine cleaner in the wash. </t>
  </si>
  <si>
    <t>X</t>
  </si>
  <si>
    <t>Woke up at about 620 am before the alarm went off. Growly keeps getting into fights with Goody. Doesn't want him on the bed, and that’s why Goody pees on the places Growly sleeps and hence why Growly doesn't like him on the bed, but Growly has a heart problem. Had to calm him down and let Goody on the bed. He doesn't do it while I am on it, I don't think, but does when I leave the bedroom and they do whatever they do with the pet stairs there next to it. I have to take it away so only Princess can get on it if I am gone or else Goody will pee on the bed. Got up out of bed when alarm went off at 630 am. Picked up the vet meds for his water pill yesterday after work before arriving home mentioning now. And they said to give him the water pill once but 3x a day every 8 hours. I cannot do that and when I asked the roommate who always complains about me not doing anything though he knows I do everything, he doesn't want to be bothered and says to give him the morning pill as 2 doses and the evening pill as one dose. I work in the days and sometimes have clients that pull me away from stopping by the house when they book a call and can't give him the afternoon pill or the middle of the night. I wake up around 630 am on average and give him his pill. They want me to give him his 2nd pill at 430 pm after work which is possible most days except Monday, and then in the late night at 1230 mignight, then it cycles to 830 am and add another 2 hours which makes no sense. So, I am guessing 2 in am or pm and 1 the other time every 12 hours is better. I just checked it out on a spreadsheet, nevermind, when doing the math in my head, the pill can be given at 6 am, 2 pm, and 10 pm, and cycle through another day. Still won't be able to give the 2 pm pill. Would have to give it later by 330-430 pm, and the 10 pm pill maybe around that time or by 9 pm a bit earlier. Everyday except Mondays until my schedule changes and school starts. But still won't be able to give the 2 pm pill and the Wed/Thur I will be gone by 5 am and would need to get up around 4 am to get ready for those days and give the pill around that time making the afternoon pill at noon. Unable to do. Gave Growly his 2 water pills and other 2 pills, fed babies, cleaned their pet messes, made my first cup of carmel machiator keurig coffee in my keurig mini machine I didn't read directions to, just played around with until it brewed. Not sure if after turning on power and pouring 6-12 oz water in it, if you then push the center button then lift lid to put keurig pod, or lift lid to put k-pod then close and push the center gray button thats large and not noticeably a button. Whatever it was, I got my couple cups of coffee out of 1 k-pod. Had a lg BM after 1st cup of coffee and while looking at the video of last night to see what time I went to bed. I was only spotting a little bit yesterday and didn't wear a pad at all even at work. And no spotty ness today. So not marking this as being on my rag. My menstrual cycle is off and has been for about a month now. But no heavy days. Woke up and ankles not swollen but could be by end of day. I work 3 pm to 10 pm and need to stop by Ulta or Cosmo Prof to get some nail files and some nail clippers. Hopefully, I get some of my packages from Amazon before work today. Measurements taken after BM and before breakfast. I also had to put electrical tape around one of the cables to the outdoor camera and decided to just move it to the back porch, but now I don't get a view outside to the side to see if my black alley cat is waiting for food or eating. Its ok though because I can see more of the backyard. For lunch and at work for dinner had about 2 servings total of cheese pizza rolls and 3 servings cheetos baked and 2 servings of potato chips baked. I ate at my open appointment. First time in a while I had an opening on the schedule and had two of them. On my actual break I drove back home to get there and see if Amazon packages arrived, nope. And as I pulled into parking lot I checked cameras and saw it was there and then it left. I texted the roommate to get them and right when I did it left. When I drove by earlier there were more street traffic than normal but I usually am not there on a Monday at 730 pm. When I went in through the front, I was quiet and noticed the roommate was there and didn't want to excite Growly bc of his heart condition as I could only stay a few minutes and he gets too excited and passes out sometimes. I was able to get fuel at a cheaper price as I was also low on fuel. Got to work and the 8 pm wasn't booked. I could have stayed a few 15 minutes had I known it wouldn't get booked but how was I to know. Bc if I would have then it would have gotten booked. No alcohol when I got home preferred sleep to drinking. Still need to fix the inside video cable to the back porch camera. My client Laura contacted me, the one I was thinking of the other day as one of the only ones who finished the 10 package MLD massages but she was the one who thought I owed her one more. She wants the same package for her daughter. I guess she got the same type surgery at age late teens early 20s. I texted back and forth, she keeps emailing me from her phone and it ends up being a text file I have to open to read. I didn't get a consent form from her bc I think she gave me the wrong email address. I resent it today after noticing it was, but forwarded it to her email address as well as her daughter's. Amazon delivery is getting pretty protective of their packages. A first, because unlike them to not deliver the package due to some area not to put them. Went to bed around 11 pm.</t>
  </si>
  <si>
    <t xml:space="preserve">3 servings cheese pizza rolls
(630	24	6	15	93	3	960)
3 servings baked cheetos
(420	15	3	6	60	3	720)
2 servings baked cheddar sourcream potato chips
(240	7	1	4	44	2	500)
=630+420+240
=24+15+7
=6+3+1
=15+6+4
=93+60+44
=3+3+2
=960+720+500
</t>
  </si>
  <si>
    <t>Everything Legendary meat substitute burger patty:</t>
  </si>
  <si>
    <t>French Garlic Cheese 85 degrees celsius bakery</t>
  </si>
  <si>
    <t>smoky jalapeno cream cheese spread, alouette brand from Vons, 3 tbs serving</t>
  </si>
  <si>
    <t>sesame and poppy seed crackers signature select brand, serving size is 3 crackers</t>
  </si>
  <si>
    <t>garlic french bread 85 degrees celsius bakery
(410	15	9	10	55	0	650)
2 slices oat bread
(220	4	0	8	38	4	270)
1/4 cup mozz/parm
(100.00	6.00	4.00	8.00	2.00	0.00	280.00)
pickles
(30	0	0	0	8	1	150)
Everything legendary burger patty 
(200	9	4	21	6	1	470)
coca cola 1 reg can
(180	0	0	0	50	0	60)
2 slices oat bread
(220	4	0	8	38	4	270)
1/4 cup mozz/parm
(100.00	6.00	4.00	8.00	2.00	0.00	280.00)
pickles
(30	0	0	0	8	1	150)
Everything legendary burger patty 
(200	9	4	21	6	1	470)
3 servings of the cheese spread alouette brand
(300	27	18	6	6	0	450)
5 servings of the sesame poppy seed crackers
(350	17.5	0	5	45	5	550)
=410+220+100+30+200+180+220+100+30+200+300+350
=15+4+6+0+9+0+4+6+0+9+27+17.5
=9+0+4+0+4+0+0+4+0+4+18+0
=10+8+8+0+21+0+8+8+0+21+6+5
=55+38+2+8+6+50+38+2+8+6+6+45
=0+4+0+1+1+0+4+0+1+1+0+5
=650+270+280+150+470+60+270+280+150+470+450+550</t>
  </si>
  <si>
    <t>1 stella rosa moscato, 2 patron</t>
  </si>
  <si>
    <t>Woke up at 630 am by alarm. Put the dog blankets and couch sofa protectors on that were still on the table from yesterday. Gave Growly his meds and fed babies and made both cups of my coffee off one kpod in my keuring. Had a lg BM after 1st cup coffee and after tampering with front porch so the roommate doesn't leave it locked and Amazon fails to deliver my packages again. If this happens again I might just have to cancel the orders. I don't like it and its too much of a headache. Measurements taken after BM and before breakfast. Had that 85 degree garlic french bread I didn't eat from about 4 days ago, that I toasted 2 days later and didn't eat either. I ate my 3 multivitamins with it. Got the roommate to give me his share of the AAA annual fee for the upgrade to 100 miles tow service and he bitched bout it as always. Saying I am hurting for money, and I told him I am not paying for a toxic degenerate who always complains to me about me. He needs to take care of his own debts and he needs the 100 mile tow service more than I do. I started getting a blinding aura migraine before that argument it was about when I started to eat the refrigerated garlic french toast. I made another cup of a new kpod and sipped it but the aura or color kaleidoscope band got larger and wider in my view of vision. Haven't had one in a while. Not sure what triggered it. Maybe its the switch to this new caffeine instead. I don't have the actualy headache part yet. I get it after the kaleidoscope dissapears. I will see if it goes away after this 3rd cup of coffee. Might try wine instead. I don't have clients until 5 pm anyhow. It goes by fast and I will be far from intoxicated by that time. It went away after the 3rd cup but hit a little bit of pain an hour and a half later around 1020 am. I made a fast forward timelapse video of the storage unit I put together and posted to youtube. Not going to advertise it, I put it in a powerpoint video using windows movie maker on 64x speed. It actually took about 4 hours to build. A little bit longer but not 7 hours. I started about 735pm Sat 8/21 and ended around 12 am. For lunch, early lunch had a coke and a burger with the Everything Legendary beyond meat substitute, same price, but the only one Target is carrying. Put that on oat bread with mozz/parm in airfryer with pickles. Then noticed the landlord's truck pull up while updating this database. Might take a shower and walk around some park for a bit by self not pups, bc Growly can't go bc he almost died in the heat last time with his heart condition. Ended up taking a shower later after putting up a new blog and then went to Marshall's to get that bench but it wasn't there so got a different longer one that works out. Thankfully it fit in the van but upright instead of long ways. I then went to the client's house and afterwards listened to a voicemail of my roommate ranting and bitching at me about rigging the porch to not close when locked. I completely forgot about it but didn't think he had to threaten to kick me out about it. I got home around 745 pm and did the laundry listening to him talk about his expensive stuff on the porch that looks like junk. Then he left and I opened up that patron I replace a few weeks ago and had a couple drinks of it then uploaded that video clip to youtube. Made the receipt for today's clients but didn't do their SOAP notes yet. Will do it after manually inputting it into my client journal of SOAP notes. Before the client's at 5 pm I was early and stopped at the Vons in S Corona to get some cheese spread jalapeno flavored that was spicy and made my nose run and had some sesame poppy crackers (7) at the park right behind their house. Then after work and after the two tequila's had the same but with pickles on each. For lunch had the same as breakfast as I made both patties at breakfast time and saved one for later, warmed up in airfryer with oatbread and mozz-parm cheese. No sweets, but did have that glass of wine or the last of the bottle of the moscato and then got the many packages from Amazon delivered on the porch steps. The landlord was over with the landscaper Eddie an old guy that annoys, he swept into my face while picking up the packages from the front side porch and he left a bunch of open leaves by the roommate's truck that annoyed him, and he also left the same broom that is ours open and displayed on top of some crates so that when we open the door we get a draft of wind pushing the dirt on the broom bristles into our face. He is skinnier than normal and probably dying but still able to work. He looks, not even trying to be mean, like he is early 70s a the youngest. Some hispanic old dude that still has to work and has no transportation, but is one of the landlord's workers. His plumber Dave was there too. Updated this nutrition while thinking about the roommate and the video I uploaded of me listening to his surprise audio text bitching me out. It upset me, and the tequila enhanced it. I never get sad or cry and am used to his behaviour, but it made me cry thinking about it. Didn't get to the SOAP notes yet. No more drinking tonight. He is an asshole and I know it. and he does dumb things that I also know, but the tequila makes me want to dwell on the fact I am a loser and picked a poor loser mate to harass me every minute he can and make me think I can do better but be a crybaby about shit I can't change. Another reason to not drink. Thanks tequila. Its pretty convincing people always fight and people do stupid shit all the time, and I already know my roommate is a piece of shit, and I do not look to him to make me respect myself or love myself, hence the divorce. He is a loser, will end up alone, but we live off each other because we're both difficult to live with and we have pets that aren't potty trained that we love and live in an affordable place in Corona that we are comfortable paying our own bills to meet a subsistence relationship. Nice try tequila, this is how those hormone replacements make people depressed or the post natal emotions women get. The compartmentalized zones of our mind get opened and make the host feel like a useless tool that isn't appreciated and sad that it could be better. But can it? Of course not, so shut up and leave it be. Apprarently I have a reason to believe that asshole is meant to be with me. He goes overboard on how he displays his anger towards a human being, and never regrets it. He never would, its him in charge all the time, his way or he's the only one who makes his rules and life. Not everyone is a romantic. I gave that up a long time ago. Its a symbiotic relationship or co-dependent. It works to survive CA high cost of living and huge population. If he wasn't the asshole, I would be and its the truth. It is really that simple. Not meaning to be but getting overly upset about nothing. A bunch of what ifs? Laundry is in the dryer and SOAP notes written in journal but not sent out and it is 1015 pm. I have the client I cancelled rescheduled for 530 pm after work, hopefully it works. I also have my 7 pm regular. Sleep is important. It shouldn't be a problem. Went to bed around 1045 pm.</t>
  </si>
  <si>
    <t>Woke up at 530 am by alarm and laid in ed until 545 am and got out of bed. The roommate came home early. Complaining about his LB and wanting me to rub his LB or put pressure on it, I told him no and to stop texting me bitching and he refused saying I learned and only way to learn. He is such a loser. Of course I didn't rub his LB. Made my coffee, cleaned some pet messes, gave Growly his meds, fed babies, folded laundry from last night, and sent out SOAP notes and receipts and updated this database and looked at the new client information for later this afternoon after work. Working on 2nd cup of coffee and deciding on breakfast. Maybe boiled eggs for breakfast. That old man Eddie pulled up in the front at 645 ish am saw him on the blink camera out front. Took measurements while waiting for two eggs to boil on the stove. No BM yet, but haven't finished my 2nd cup of coffee the keurig, used a new pod bc yesterday reusing the same one for 2nd cup gave me a headache. That and saying that waiting for the amazon order and it turning back when here gave me a headache when it actually didn't give me a headache at that time. So I probably gave myself a headache. Not sure, but anything that contributed needs to stop. I got another book and some biology stains for microscope readings of samples coming in within this week to next week. But not till Saturday to start. I'll take my multivitamin with the boiled eggs, pickles, and that jalapeno cheese and crackers. Went to work and had a double salmon poke bowl with teriyaki sauce and ponzu sauce with cream cheese, cucumbers, ginger, brown rice. Had my 4th kpod coffee of my own from van and after work noticed the blink cam got a worker delivering a small package from Amazon then a long haired brunette girl with shades on came up 20-25 minutes later and picked it up. I thought it was mine that she stole my microscope stains from and was upset, uploaded video to instagram, got home uploaded the SWANN video footage to youtube and shared, checked my amazon order before arriving at home and after uploading videos but still arriving Saturday so she must have just found out fromt the photo the worker took with her cell phone that her pkg was delivered to the wrong address. Had the new client, daughter of previous client's appointment, got there and set up and waited with her grandma, but found out she couldn't make it bc she was in Long Beach for a postop consult with her surgeon, and I didn't get the ringcentral text. I thought she was a flake. But found out later at night that she did text me more than 2 hours before the 530 pm appt at around 109 pm that she had to reschedule and her mom got it wrong. I was going to cancel her and find an excuse not to massage her even though her mom referred me. But she did her part by notifying me, I just didn't get the text. Got cat food and water from Staters and Aldi, dropped it home, then went to 7 pm client. She is super nice and friendly. Having her own 2013 car troubles to deal with. I got home did the laundry, I had given Growly his meds and fed the babies earlier around 345 pm when I first got home, had the cheese spread and baked cheddar chips with some pickles as a snack while downloading SWANN videos and arguing with the roommate about him touching my area stuff and putting my bench I just got on top of the desk, and told him what he told me about not being in charge and not to touch my stuff, he has absolutely no reason to be in my area where nothing belongs to him. He has his own room on the side from his bedroom so the living area room is my room. Its 1/4-1/3 the living area that he don't need to be in. He wasn't feeling like bitching back, but when I sent him the clip of the girl taking something from the porch he asked if I learned my lesson and I wanted to know if its someone he knows. He told me not to have shit sent here, I said I would still continue to but that he should care bc some stranger just came up and grabbed something from the porch our front yard and he should feel violated. Turns out its her wrong delivery package. The driver was probably supposed to send it to 7** W Grand but sent it to 7** E Grand. I had a wrong letter once that was junk and trashed but also the water company when we first moved here, the idiot spanish speaker young female (only hired bc she speaks spanish) put my payment and new service to 7** W Grand instead of 7** E Grand, and we didn't have water for a little more than a day until I could contact them to fix the error in person. I have seen this happen 3x, once in Newport Beach with a bilingual young male wanting me to pay a fine on a car I didn't own at the time the ticket was given and provided proof of the release of liability to the dealership, once at the court getting my documents for the 2009 dv and the young dumb hispanic lady I am talking late teens for all these people, arguing with me and telling me I was convicted of all 4 charges when I was NOT, and I had to talk to her manager and ask if she was the one who had me go in there to find out what they are telling people who call on my background because people and businesses get sued for this type of problem and she shouldn't be working there. She assured me I was correct. And the water company stupid clerk there. Hey, as long as they can speak English and Spanish and know someone who got them the job there, right? I also stopped by Aldis again after my 7 pm client to get something quick to eat, pizzas and beef vegan patties from Good Earth and Mama Cozzi's fresh made pizza not frozen. Cut up a pizza the veggie one and put in airfryer in 4 sections, differnt qualities, not good on foil, too soft and burnt on top, tried on the grill portion of airfryer without foil and was crispy, ate 3/4 that pizza, posted to instagram about carcinogens and mutations and evolution and not all mutations leading to cancer but ways to survive as a population over time with survival of the fittest. But still didn't want to eat the carcinogenous pizza. Had a shot of Patron over ice while digesting and waiting for pizza to cook and posting to Instagram. Was going to have another but wanted to sleep instead, by 1045 pm. I also bought a bottle of moscato stell rosa at Aldis I didn't open. Either the moscato or the patron made me cry the other day and no BM all day today bc it ruined my autonomous nervous system temporarily.</t>
  </si>
  <si>
    <t>Mama Cozzi Aldi veggie stone fired pizza, 1 pizza:</t>
  </si>
  <si>
    <t>double salmon poke bowl with terriyaki ponzu sauce, ginger, brown rice, cucumbers, sesame seeds, cream cheese</t>
  </si>
  <si>
    <t xml:space="preserve">3/4 mama cozzi veggie fresh pizza
(780	24	9	33	108	12	1020)
2 boiled eggs
(140	10	3	12	0	0	140)
pickles
(60	0	0	0	16	2	300)
6 tbs cheese spread
(200	18	12	4	4	0	300)
7 crackers sesame poppy seed
(163.1	8.155	0	2.33	20.97	2.33	256.3)
double salmon poke bowl teriyaki ponzu sauce brown rice cucumbers ginger sesame seeds cream cheese
(772	30.425	13.225	29.375	97.05	7.325	3294.5)
2 servings baked cheddar sourcream potato chips
(240	7	1	4	44	2	500)
=780+140+60+200+163.1+772+240
=24+10+0+18+8.2+30.4+7
=9+3+0+12+0+13.2+1
=33+12+0+4+2.3+29.4+4
=108+0+16+4+20.9+97+44
=12+0+2+0+2.3+7.3+2
=1020+140+300+300+256.3+3294.5+500
</t>
  </si>
  <si>
    <t>patron</t>
  </si>
  <si>
    <t>Simply Fresh Aldi cheese pizza, pizza</t>
  </si>
  <si>
    <t>3 moscato stella rosa and 1 patron</t>
  </si>
  <si>
    <t>Woke up at 630 am by alarm. Got about 8 hours of sleep. Did normal routine, the roommate was back early and cleaned pet messes. I decided to do some things today but didn't reschedule yesterday's client yet. I know it wasn't her fault now. By 845 am after giving Growly his meds, feeding babies, 2 cups of coffee and working on 3rd kpod coffee and having had a lg BM after 1st cup of coffee and trying to fix my other two laptops and talking on the phone with my older sister around 730-8 am with mom who has covid and her husband is in hospital deciding if we should go down there together driving as my sis cant fly bc she has not been vaccinated and doesn't want to be and would have to be quarantined if so bc mom has it. We were very worried, bc my older sis couldn't get a hold of her, I posted to instagram to pray for her and I might take emergency FMLA for her, I called and she answered. She has been sick a week and coughs, but thankfully doesn't feel pressure in her chest and can breathe. I have felt the pressure that feels like a 5 gallon water jug on your chest once laying down and had to sleep almost upright when I had the lung cavity fill up after a botched lumpectomy in my neck L side lymph node for a week. This was 6 years ago. That is a good sign, as I hear the pressure in chest and have read research articles a year ago and heard from nurses who know how covid patients survive do it by pumping their muscles moving around lightly and sitting up right and not just laying down. Most the nurses put covid patients face down to breathe but those patients also mostly die is what I heard, and that the ones that survive are the ones who ride it out sleeping almost upright like in a recliner angle position. Also RA meds prevents the immune response that kills covid patients and that doing things one does to initiate an immune response when you have a cold like tea with honey and lemon and hot showers to generate sinus flow is NOT what you should do in covid where an immune response initiated can kill you by flooding lungs with too much fluid to breather. My mom is coughing and that is a sign of fluid in the lungs, but she doesn't feel pressure when laying down or have difficulty breathing. She has been praying and is scared to die she told us but says she doesn't need anything not even groceries and not us coming down either. Ate breakfast with 3rd cup of coffee and 3 multivitamins. My ankles aren't really that swollen, but are slightly swollen. I had a lot of sodium in the poke bowl yesterday. Breakfast was the 1/4 pizza bits and pieces of not burnt, about 1/4 that slice with the vitamins and made about 1/4 the cheese simply fresh aldi fresh pizza in airfryer that was good, slightly burnt but crispy without using foil. But made a mess. I will clean up after baking the rest of the pizza in sections, it is in the freezer. Measurements taken an hour after the 1/4 pizza and 1/16th pizza from last night and 3 cups of kpod coffee carmel machiatto Target Good &amp; Gather brand. At this time all the files and correct hard drives were placed in the two alternate lap tops. Considering watching a movie and having a glass of moscato. Even though that one client wants a massage at 2 pm ish. Nothing is confirmed or scheduled. I ended up watching some movie I saved earlier in HBO called Half Brothers and drinking the whole bottle of moscato that got me a bit teary eyed for a bit. So I blame the moscato for activating some kind of complex that gets me sad, not the patron. Didn't think about any appointments once it was 3 pm. Scanned the movies on hulu and saw Mortal that seemed cool selling me on a guy suspected of murder with god like powers being a Thor type origin of a descendent of Thor movie from 2020. Talked to Mom and couldn't get a hold of Mo but did text my boss to say I will find out if we will be leaving for a bout a week to take care and console and help my mom or our mom out. After the movie and later after my texts, because Mom told me the doctor told her that Dave her husband only has a couple days left to live as his organs are shutting down and he has COVID and SARS. Mo ended up having to work days for people who worked for her and can't leave until Monday. Dave is expected to be deceased by then. Poor mom. It would have been nice if they could have been more hygienic and take the COVID seriously. Poor mom has it and is coughing and wanting to take a shower but I told her I wouldn't bc of immune response with sinuses and meninges and mucous flow. Had a couple slices of oat bread and an egg as french toast in the airfryer after that movie, Mortal by around 4 pm. Didn't feel drunk or tipsy and I drank the whole bottle of Stella Rosa Moscato. Then had a chocolate almond hershey full sz candy bar of the roommates. Later had the rest of the pizza while I watched another movie I saved to view later called Reminiscence. Ended that before 10 pm and drank a shot of tequila over ice half an hour before it ended. Just a chill day today. I need to work if I am going on this week FMLA to visit Mom starting Monday. But I definitely want to be back before school starts and also want to pay the rent with roommate's share a day early with money orders but he doesn't even like paying it exactly on time yet always has plenty in his checking account. It really should be a crime for people who do abuse the renters eviction moratorium when getting paid and refusing to pay even though they have enough money because landlords suffer. He almost did that to me and us bc he knew he could and wasn't getting EDD. I made sure he didn't bc I would expose him for how much money he was making off his crooked boss. He also signed his lease at the end of June 2020 or July 1st 2020 to expire at the end of June 2025, a five year lease, he is tied to that shady guy for 4 more years. They are similar. Have to bitch at them and get on their case for them to handle their responsibilities, every month the dude doesn't pay his rent on time but I bet he has plenty more money than the rent to pay on time every month. The roommate has 3x the rent in his checking account at any time and never wants to pay it on time. It makes no sense. His shady boss is said to have millions that he can buy 250k worth of jewelry on the spot but every month has the landlord send out an email on their commercial rent to pay it and get taken to court every month and billed an additional $600 every time 'they' refuse to pay the rent on time. But really it is the dude's biz and the roommate has nothing to do with it. He just let him use his good credit. So retarded. Ate the whole pizza by end of the day, the 2 slices french toast, and the 1/16 th pizza left over from last night that wasn't burnt. And the hershey's almond chocolate candy bar. the bottle of moscato, say its 3 servings or glasses and 1 serving of patron. Watched 3 movies. Bed by a little after 10 pm around 1015 pm.</t>
  </si>
  <si>
    <t xml:space="preserve">1 simply fresh cheese pizza Aldi brand
(1400	60	32	68	148	12	3120)
1/16 mama cozzi veggie fresh stone fired pizza
(65	2	0.75	2.75	9	1	85)
2 slices oatbread
(220	4	0	8	38	4	270)
1/4 cup mozz/parm
(100.00	6.00	4.00	8.00	2.00	0.00	280.00)
1 egg
(70	5	1.5	6	0	0	70)
1 hersheys almond chocolate candy bar
(220	13	8	3	26	1	35)
=1400+65+220+100+70+220
=60+2+4+6+5+13
=o32+1+0+4+2+8
=68+3+8+8+6+3
=148+9+38+2+0+26
=12+1+4+0+0+1
=3120+85+270+280+70+35
</t>
  </si>
  <si>
    <t xml:space="preserve">Woke up at 530 by alarm, laid in bed a few minutes until 545 am, the roommate was already home cleaning pet messes and putting away his stuff, fed the babies and gave Growly his meds, made my coffee kpod 1st cup first thing. Called mom but it went to voicemail. Called a couple more times and still voicemail. Made some Good Earth vegan beef patties with a green bell pepper sliced in airfryer and packed with pickles to go with oat bread for lunch. Saved other for dinner. Had a serving of the vanilla honey greek yogurt and my 3 vitamins and 3rd kpod coffee carmel machiator G&amp;G brand. After 1st cup of coffee had a reg lg BM. Took measurements before breakfast of the yogurt and after BM. Scared for Mom. Hopefully she stays alive and gets better. She hasn't been eating in a week, says they have plenty of food, but she has no energy to even pray and normally she would be doing that. I know she said it was a lot of work taking care of Dave bc he is so heavy at 6' tall and heavy set, when he fell and couldn't get up nobody across the street in their community helped bc their all elderly with LB pain and scared of getting injured. They were on their way to get vaccinations but he kept coughing and she asked the nurse who tested them and decided not to give them vaccinations but quarantine and hospitalize Dave where his organs started shutting down from COVID and SARS. The roommate's social media youtube feeds I can hear talk about FL having most hospitalizations with COVID and most are vaccinated, but he listens to the far right media outlets. I just found out HI isn't allowing tourists due to their hospitalizations either and my client was looking forward to going at the end of Sept. Her car is also having problems. She is so nice, and I would like to see her go another time before the end of summer. Got work today till 4 pm. If Mom's an emergency I will drive down to TX myself without Mo. Worried though, if this vaccination is not helping the infections and hospitalizations. I haven't gotten COVID due to my hermit like nature and germaphobe behavior as well carrying rubbing alcohol with me everywhere and washing hands all the time and gloves. Mo isn't vaccinated and neither are my nieces, and would hate to see them all severely sick or sick at all. I actually believe most hopsital stays cause a greater chance of infection than not going which leads to death when otherwise there was no chance of it. So if I went down there its 1513 miles and my van can be filled up to go about 315 miles on $50 of fuel at $4/gallon but less with more per gallon. Its cheaper the further out of state one travels. The estimate to get to TX is about 22 hours. I could drive 16 rest for 6-8 hours and drive the remaining 6 hours and visit a day and then drive back the same. Won't be taking Mom back with me unless she wants to but she talks in pieces and choppy I can't get a straight answer out of her as to when she started showing symptoms or thinks she was infected or how. She said longer than a week ago. And incubation is 10 days if healthy, longer if still showing symptoms or getting worse. At work talked to Mom, Dave passed away early in morning but Becky was there and got to see him and they have a video of him but she said he couldn't talk but that she talked to him and the stuff she says doesn't make sense. Sounds like brain fog. Becky was shopping for groceries is what Mom said and they are going to the hospital tomorrow to look at her and she will have to stay there in TX a while to get things handled with social security and the RV. Had a Good Earth vegan beef burger with pickles, green bell peppers and pickles for lunch after talking to Mom and my 4th kpod coffee. Had a 5th kpod coffee after work bc I get tired on the way back home took side streets. Mo called me while I was working after work I called her but she didn't answer and neither did Mom. I called them in the parking lot of work before leaving and didn't get a hold of neither of them. Went to Aldis on the way home and got some gummy bears, chocolate candy bars and chips. Ate some chips with another burger the same as lunch and had a bag of gummy bears. It made my tummy ache a little. I tried watching the Marlon Wayans comedy on Hulu or Amazon or HBO and watched the first 5 minutes and looked for something else, not funny enough. Or barely at all. Started with bullies having outie belly buttons and then his daughter and prom and fucking the goal of the dude that greets him at the door. I turned it to I think HBO and watched some show I am blanking on remembering. I just remembered, Boss Level. It was pretty good and funny action movie with some new actor never seen that is buff, Mel Gibson, and Naomi Watts. Last few days have been hot in afternoon. The other day it was 100 degrees when I found out that Mom had COVID and her husband was in the hospital. Yesterday was a little cooler in the afternoon. Mom doesn't want me driving there by myself. If I fly, I saw prices out of Ontario for $200-$300 round trip. I had about 1/3 the large candy bar with almonds I got from Aldis while watching the movie. And two servings Patron. Then went to bed around 10:30 pm. Had my clothes in dryer that I started in wash when beginning the movie. </t>
  </si>
  <si>
    <t>Aldi baked cheetos about 3/4 cup is 1 serving</t>
  </si>
  <si>
    <t xml:space="preserve">Good Earth vegan beef patties, 1 patty: </t>
  </si>
  <si>
    <t>Aldi Baked cheddar sourcream potato chips, serving is 12 chips</t>
  </si>
  <si>
    <t xml:space="preserve">3/4 cup vanilla honey greek yogurt
(180.00	6.00	3.00	14.00	19.00	0.00	50.00)
2 good earth vegan patties
(200	2	0	32	12	8	640)
4 slices oat bread
(440	8	0	16	76	8	540)
1/4 mozz parm
(100.00	6.00	4.00	8.00	2.00	0.00	280.00)
1 green bell pepper
(37	0	0	1	7	2	5)
pickles
(60	0	0	0	16	2	300)
bag gummy bears
(100.00	0.00	0.00	0.00	23.00	0.00	5.00)
1/3 chocolate almond candy bar Aldi Choceur brand
(540	36	15	12	42	6	60)
2 servings Aldi cheetos
(300	22	9	4	28	2	440)
2 servings Aldi baked cheddar sourcream potato chips
(320	18	4	4	30	2	360)
=180+200+440+100+37+60+100+540+300+320
=6+2+8+6+0+0+0+36+22+18
=3+0+0+4+0+0+0+15+9+4
=14+32+16+8+1+0+0+12+4+4
=19+12+76+2+7+16+23+42+28+30
=0+8+8+0+2+2+0+6+2+2
=50+640+540+280+5+300+5+60+440+360
</t>
  </si>
  <si>
    <t xml:space="preserve">serving vanilla honey greek yogurt
(180.00	6.00	3.00	14.00	19.00	0.00	50.00)
2 bags Haribo gummy bears
(900	0	0	0	207	0	45)
3 servings of salmon with olive oil, paprika, and black pepper, about 10 sushi size salmon and 2 tbs olive oil
(374	31.9	4.9	7.1	16.7	0.6	193)
2 servings baked cheetos Aldi brand
(300	22	9	4	28	2	440)
1 serving baked cheddar sourcream potato chips
(160	9	2	2	15	1	180)
=180+900+374+300+160
=6+0+32+22+9
=3+0+5+9+2
=14+0+7+4+2
=19+207+16.7+28+15
=0+0+1+2+1
=50+45+193+440+180
</t>
  </si>
  <si>
    <t xml:space="preserve">Woke up at 530 am by alarm, but really heard the roommate get home a minute before 530 am. I got out of bed bc its Sat and have less time to get ready for work. No pet messes to clean, gave Growly his meds in food while feeding babies, made my 1st kpod cup coffee, updated this nutrition and notes db, restarted dryer of my laundry. Had a 2nd kpod cup coffee while updating the nutrition part. While updating this db I noticed a $19 notification charge to my checking account for Church of the Holy Comm but when I checked on line didn't see it. Something must have gotten mixed up in sending me a text. Measurements taken before a BM and before Breakfast. Had a BM before 3rd kpod coffee and put away laundry while drinking the coffee, then had yogurt and vitamins for day. Ankles slightly swollen and were yesterday too. Hopefully Mom is doing well. I haven't talked to her since lunch time yesterday. I found out by lunch time when I called her that she was in the hospital and I heard the O2 machine. I ate a bag of gummy bears with a 4th kpod coffee. I only had one more hour of work. Went home without stopping anywhere and later had a pkg, the microscope stains delivered. I drank the last of the roommates patron about 4 servings and made the salmond filet and ate all that with another bag of gummy bears 2 servings of the cheetos and 1 serving potato cheddar sourcream chips from Aldis. The landlord had someone over next door working on the rental. They fixed the porch and closed off the window with wood leaving the door they installed last time they were here but closing the gap in front of it. I didn't talk to them while drinking at all. Looked at the Amazon order tried picking something to watch and listened to country while eating and drinking. I also watched The Quiet Place 2 on vudu.com formerly fandango.com for $5.99 rental, and made a blog on my genomics brief results and explaining why my yfull mitochondrial free partner information on inheritance or familial linkages only shows my mom's side, bc mitochondrial DNA is inherited from the mom. Then found a tv show called Third Day and watched the first 3 episodes until 12 am. But vomited before that bc my belly felt sick and only had to point at my mouth and touch my teeth in front to vomit. I was about to already naturally. Felt better afterwards. The salmon and water came up. The gummy bears make me sick when digesting. Even when at work earlier, they make me kind of nauseated. </t>
  </si>
  <si>
    <t xml:space="preserve">Woke up at 530 am by alarm. The roommate had just got home and I got out of bed 5 minutes after the alarm because Growly didn't eat his food last night with his meds and passed out again but does the howling a few times that announces he just passed out. I massaged his blood away from chest cavity to his brain to pull it up and felt like it woke him up in 1/4 the few minutes time he normally stays passed out. He pissed himself as usual when about to pass out. The roommate pushed me aside without touching me to clean the piss, pick him up and 'do it his way' while Growly was waking up. I decided to give him his meds in the oral syringe crushed with water instead. He only ate some of his food when feeding the babies. Made my coffee and had a sm BM after almost finishing my 1st cup of coffee. Had a 2nd cup of coffee while finishing updating this data from yesterday's nutrition counts and today's measurements. My ankles aren't swollen this morning. Will see how they do by the end of the day. Growly is feeling better and sitting close to me on my bench at my desk while updating this db. Measurements taken after a sm BM and before breakfast of yogurt to take with 3 multivitamins. For lunch had a belief single burger with tomato, lettuce, and pickles, and cheese only. No sauce. And a 4th kpod cup coffee. Told boss that we were for sure leaving for an FMLA to visit my mom in TX and would be able to work starting again on Sat, bc driving there but I'm flying back. At home gave Growly his meds in a beef snack the roommate said to give him but he didn't eat it and I tossed it under the bed for him when he went under there, and it was gone later. I went to the couples massage of the MLD client I owe 4 to that is using them as a credit towards another service. She now has a $20 balance, didn't say to make it my tip. Got home, did laundry, the roommate was making his own closet that rolls of wood but the same flimsy wheels on the metal plastic one he broke from putting too much weight of clothes on it. He always talks to me like shit too, I just got home and he was like go inside get out of my way, I don't want you here. I had him bring me a cat food to feed miss kiki the outdoor cat and he did but bitched, then I was walking up the stairs and he said, this broad! or brawd, to nobody like its his inisible racist, misogynist friend he runs his mouth to and tells stupid racist impersonations to. I told him that and he said to shut up. He bitched at me like normal when looking for Growly under the bed about my bed having a lot of plastic bowls under it, him feeding the cat (who btw he took the food from when I put in the fridge to keep ants off it and the water is in the other room that the cat also drinks and the dogs drink her water he puts under my bed) and on and on about me. I lost it and threw my empty porcelain dollar tree mug at mantle and again and his flashlight told him that he cannot stop always berating me when I do his dirty dishes he can't do even when I was gone on vacation, I clean the scum off the tub bc he never does, I clean the house, I buy all the toilet paper and paper towels and cleaning supplies, and on and on, and told him I wasn't going to clean the mug that shattered and he can look at it and remind himself of the reason its there, him starting and escalating his need to always bitch about something, and when he wakes up in the morning or goes to sleep he can look at it and have something to immediately bitch about. He cleaned it up hours later. Hes a piece of shit. I was sitting there trying to unwind with my ice and peach cirroc I took from his room when he was fiddling with that stupid closet and he just had to go bitching and running his mouth like he is some old man entitle white fucking nigger that can do that shit, boss people around talk shit to them don't give a damn. I called his ass those names too. I fucking hate this loser. bald, tattoed, white fucking nigger fucking talking his fucking shit day in and day out like a fucking entitled white piece of shit that nobody ever says anything to. He can go fuck off. I got some rest and was in the middle of sending out their SOAP notes and receipts from earlier when I yelled at this scumbag. Went to bed around 11 pm, because I got home around 845, did laundry, argued, put it in dryer, and then went to bed. </t>
  </si>
  <si>
    <t xml:space="preserve">serving vanilla honey greek yogurt
(180.00	6.00	3.00	14.00	19.00	0.00	50.00)
3 servings gummy bears
(300	0	0	0	69	0	15)
1/3 chocolate Choceur candy bar
(360	24	10	8	28	4	40)
beyond meat patty
(260	18	5	20	5	2	350)
bun
(190.00	2.00	0.50	6.00	36.00	1.00	380.00)
3 servings baked cheddar sourcream Aldi brand potato chips
(480	27	6	6	45	3	540)
=180+300+360+260+190+480
=6+0+24+18+2+27
=3+0+10+5+0.5+6
=14+0+8+20+6+6
=19+69+28+5+36+45
=0+0+4+2+1+3
=50+15+40+350+380+540
</t>
  </si>
  <si>
    <t>cirroc peach</t>
  </si>
  <si>
    <t>Pot of Everything Legendary plant based meat with green bell pepper and 3 zucchini, makes 3-4 bowls:</t>
  </si>
  <si>
    <t>Oreida french fries, serving is 3 oz or 27 pieces</t>
  </si>
  <si>
    <t>motts fruit snacks, box of little bags holding about 6-7 fruit snack pcs, serving is 1 pouch:</t>
  </si>
  <si>
    <t>snack size bag baked cheetos</t>
  </si>
  <si>
    <t>snack size bag white cheddar popcorn</t>
  </si>
  <si>
    <t>Woke up at 630 am by alarm and leaving today assuming Mo gets the rental at the time she planned on it yesterday, today at noon. I need to get some paper towels and toilet paper and cat food for the house for the retard. He is almost out and never buys his own. He can't even sit still to see how to run the washing machine and will have a bunch of clothes piled up waiting for my return. Loser. Did the normal routine, fed Growly his stubborn butt his meds and the babies their food. He hasn't been eating his food right away for last few days but is up and ready to eat. I need to make sure I bring the necessities bc I plan on flying home. Want laptop, phone, charger for phone, tooth brush, soap, body soap, rubbing alchol, disinfecting spray and wipes, washcloths, pillow, small blanket, vitamins, checkbook balancing book, plain notepad for notes, underwear, bras, light shorts tshirt, scrubs both regular ones, shoes, makeup. Need the instant coffee, water, and mug too, and face masks. Some sandwhich baggies too. Also the weight scale and my tape measure and caliper measurer and a book, the R programming of genomics one. Easier to read or review the images. Measurements taken after a small BM and after eating my multivitamins with a serving of vanilla honey yogurt and after packing most of the things needed. Packed some little bottles and baggies of lotion and in the bottles dish soap, body wash, rubbing alcohol, shampoo and conditioner, got the toothbrush and toothepaste, some qtips, wash cloths, disinfecting wipes, 3 approx bottles some used up already, not completely filled, undies, socks, scrubs, massage gun infrared light hand held, guasha tools, bath towel. Quite a bit of stuff, about to shower and haven't spoken to my older sis or nieces since yesterday. Just Mo anyways. Not mom either. Hopefully she is good. About to make 3rd cup of coffee. Will bring instant coffee for trip. Mo cancelled bc she said that we couldn't see Mom in the hospital and we can't help with funeral arrangements or cremation until Mom gets better and gets her wedding license to get a TX license. Mom is in a hospital that has her on her stomach and giving her 5 doses of antivirals that make her really tired. She was in the hospital yesterday, but I called 1st of 3 hospitals that she was by chance in while waiting to start work and got her room number 242 in ICU that gave me her phone but it kept ringing. She didn't answer her cell phone in morning, and it went straight to voicemail on my break 3 hours later around 615 pm. Mo told me about her doseage and why she isn't answering the phone probably bc she called the ICU unit and they told her when she asked bc I asked if she knew about MOM and told her I knew her hospital and that it kept going to ICU charge station and ringing. They moved her to ICU from wherever she was yesterday, which is good, bc I talked to a doctor that said they make those calls and select those best able to survive to go to ICU. I have an appointment tomorrow at 6 pm, and work on Wed till 3 pm but am considering going down there WEd late and coming back Thur late on day off just to see how things are going with her, if I can see her. I ate a bunch of chips on my break. I had 1 cheese doritos, a white cheddar popcorn, a cheetos bakedd, and 3 motts fruit snacks, but before break and before work had 5 motts fruit snacks, 2 puffs chips, and a ranch doritos chips. After work, a full schedule even though they had to cancel all yesterday they were able to refill today and didn't check rest of the week. After work had another serving of that peach ciroque. The roommate has his little closet up and it looks like an old relic of past or something some hermit put together living somewhere like the guy living on property not his in New Jersey or close to it that was there for 30+ years and was 86 living off the land and collecting stuff and building a shack with little knick knacks that was 2 story high but burnt to ground while he was in jail for not vacating premises. Happened in last few months. It does hold up his clothes sturdily, he used a bit of the old clothes rack and built around it with wood parts he had from scrap of landlord's outside and his saw that he had. Yesterday I told him I didn't think he should be near things like that and worried for him before he gave me the cat food to feed kiki meow meow outside. and the fight/argument/sreaming festival/breaking mugs break. Growly escaped to the basement from it being wide open and he crawled in there to get him yesterday, but the landlord was over today and closed it up. There was a junk removal guy to inspect and give him an estimate. He told me the truck is $600. I told him to talk to the landlord who showed up a few minutes later before starting his work for the day on the other side of this duplex. Ate a lot of sodium foods today and ankles show it. Had to take off waist trimmer after 7 pm due to the pressure and broken grommets digging into my lower R side of back LB and around front too. Took it back home with me and didn't forget it in the ottoman at work that holds the day's linens/face cradles. Got home around 1030 pm and cleaned up a few spills and fed ms kiki meow meow, and saw her outside eating. She is a sweet cat. Not scared of Princess who alerted me to her presence after leaving the food bc of her constant barking. I brought them inside. I had that one serving of the peach cirroq alcohol while watching the last 20-30 minutes of The Third Day episode 3 that I actually didn't finish a few days ago and ate a bowl of the vegan meat and zucchini with pickles and tortilla round chips before going to bed around 1215 am.</t>
  </si>
  <si>
    <t>snack size cheetos puffs</t>
  </si>
  <si>
    <t>snack size doritos ranch</t>
  </si>
  <si>
    <t>snack size doritos cheese</t>
  </si>
  <si>
    <t xml:space="preserve">1/4 bowl of the PB EL meat zucc green peppers 
(64.19	4.35	1.13	4.13	2.05	0.49	84.71)
1 servings the french fries baked Orita Brand
(130	7	1	2	17	1	450)
5 bags motts fruit snacks
(400	0	0	0	95	0	150)
1 serving yogurt vanilla honey greek
(180.00	6.00	3.00	14.00	19.00	0.00	50.00)
1 snack bag white cheddar popcorn
(80	5	1	2	7	1	120)
1 snack sz baked cheetos
(120	4	0.5	2	18	1	210)
8 bags motts fruit snacks
(640.00	0.00	0.00	0.00	152.00	0.00	240.00)
2 cheetos puffs snack sz
(280	18	3	4	28	2	460)
1 ranch doritos snack
(150	8	1	2	18	1	190)
1 baked cheetos snack
(120	4	0.5	2	18	1	210)
1 white cheddar popcorn snack
(80	5	1	2	7	1	120)
1 doritos cheddar
(150	8	1	2	18	1	210)
1 bowl vegan meat zucc grn blppr
(342.33	23.20	6.03	22.03	10.93	2.60	451.80)
1 serving tortilla rounds
(140.00	7.00	0.50	2.00	16.00	1.00	80.00)
serving pickles
(30	0	0	0	8	1	150)
=64+130+400+180+80+120+640+280+150+120+80+150+342+140+30
=4.4+7+0+6+5+4+0+18+8+4+5+8+23+7+0
=1+1+0+3+1+1+0+3+1+1+1+1+6+1+0
=4+2+0+14+2+2+0+4+2+2+2+2+22+2+0
=2+17+95+19+7+18+152+28+18+18+7+18+7+18+11+16+8
=0.5+1+0+0+1+1+0+2+1+1+1+1+3+1+1
=85+450+150+50+120+210+240+460+190+210+120+210+452+80+150
</t>
  </si>
  <si>
    <t xml:space="preserve">1 bowl vegan meat zucc grn blppr
(342.33	23.20	6.03	22.03	10.93	2.60	451.80)
1 serving tortilla rounds
(140.00	7.00	0.50	2.00	16.00	1.00	80.00)
serving pickles
(30	0	0	0	8	1	150)
22 pizza rolls cheese totinos
(288.75	11	2.75	6.875	42.625	1.375	440)
2 sm avocados	
(322	29	4	4	17	18	14)
2 white cheddar popcorn snack sz
(160	10	2	4	14	2	240)
2 fruit snacks
(160	0	0	0	38	0	60)
1/2 bag gummy bears Haribo
(450	0	0	9	103.5	63	22.5)
1/2 choceur chocolate candy bar
(540	36	15	12	42	6	60)
1 bowl vegan meat zucc grn blppr
(342.33	23.20	6.03	22.03	10.93	2.60	451.80)
1 serving tortilla rounds
(140.00	7.00	0.50	2.00	16.00	1.00	80.00)
serving pickles
(30	0	0	0	8	1	150)
2 fruit snacks
(160	0	0	0	38	0	60)
cheetos puffs
(140.00	9.00	1.50	2.00	14.00	1.00	230.00)
=342+140+30+289+322+160+160+450+540+342+140+30+160+140
=23+7+0+11+29+10+0+0+36+23+7+0+0+9
=6+1+0+3+4+2+0+0+15+6+1+0+0+2
=22+2+0+7+4+4+0+9+12+22+2+0+0+2
=11+16+8+43+17+14+38+104+42+11+16+8+38+14
=3+1+1+1+18+2+0+63+6+3+1+1+0+1
=452+80+150+440+14+240+60+22.5+60+452+80+150+60+230
</t>
  </si>
  <si>
    <t>Woke up at 630 am by alarm, got out of bed at 7 am. Got about 7 hours sleep or 6.5 hours sleep, cleaned up a bunch of pet messes. Gave Growly his meds and only one water pill instead of double in morning, bc I noticed the roommate on my blink camera giving him meds yesterday and I think but didn't ask him if he is also giving him his meds. But he gave him his snack and that is how he puts Growly's meds to give him in a useable form by him. Made my 1st kcup coffee looked at the SCUHS documents for my cohort I didn't get around to yet. Pretty informative and clearly outlined. Can't wait to start. Had a sm BM after 1st cup coffee. Noticed spotty that started yesterday but didn't go away. I started spotting right before work but it increased only slightly at work but no light flow. It was so minimal before work I didn't think to put a pad on. Didn't need to at work. I might be starting my rag yesterday but will mark it and see if it is actually a full week of menstruation. I haven't had the med-heavy or heavy flow in a month or more. Had a 2nd cup of coffee and finished looking at the DC docs online and downloading them to save to the folder before finishing the cup of coffee. I also saw my financial aid went through and paid this term and I get back a little under $4k to help with expenses and will put on credit card to reduce interest and have for emergencies as needed. That's reassuring. I feel like I can do this and will do great in the program and they have a clear outline to move us along for each exam and making sure we understand all of what the exams go over. Had my 3 multivitamins with 3rd cup coffee kpod and bowl vegan meat and serving tortilla rounds chips with serving pickles. Called and checked on RV prices and saw one nearby for $720-750/month. Mom has a trailer pulled by a truck at least 250 power. The lady estimated 30 ft once I called her after speaking to mom a 2nd time. I am so happy and relieved she is doing well. After realizing I wouldn't be able to visit her bc she is in orange no visit unit and once moved to green then only face time and I will be too busy with school when it starts and work until Dec and in Dec travel is impacted and super expensive, I bought my 2nd half of textbooks, and have to wait up to 2 weeks for some of them. Measurements taken after a BM, breakfast, and 3 cups coffee. Had some pizza rolls and a couple small avocados for lunch and then snacked on the last half of gummy bears from a bag and last 1/2 chocolate almond candy bar of Choceur while looking at the facebook content to comment on current affairs in nation. Then while watching a new tv series on Hulu that has Steve Martin and Selena Gomez in it, the murders in the building or something like that, first 3 episodes, had 2 popcorn snack chips and 2 motts fruit snacks. Rearranged my desk bc the roommate keeps moving my bench and pushing the large table into it against the wall. Of course this asshole complains about it and wants me to fix it. He needs to be out of my desk and study space, he has no respect or decency , he never goes over there and now wants it avoided. I cannot stand this loser. He gets the larger room and has his boxes of toys and the boxes to package them stacked all over his room and the side room off that, and I have the little room and literally 1/4 the living room next to his room and it makes him so upset like a little bitch thats just got to have more than me and he cannot let my space be mine. He gets on my nerves so badly. I took a nap for 20-25 minutes at 3 pm but his loud video podcasts woke me, he always has them super loud. I have my alarm set for 5 pm to get ready for the 6 pm of the daughter of the client I had before whose house I went to last time and nobody showed up but the grandma let me set it up but it turns out my ringcentral app didn't notify me that I had a missed text from the client 4 hours before the appt to cancel it. I will check in with them 15 minutes before the appointment to make sure to drive out there. She gets out of class at 530 pm she said but I have to see if that was only Wed. Today is Tues. I broke a pair of earrings I literally bought yesterday at Macy's and returned them after my client at 6 pm. They are doing great, her mom was there. A lovely family. They wanted the MLD 10 massage pkg so I let them buy it. Thats cool, then after Macys, I actually got a refund of $3 and some change on card for Macys bc there was a better sale today when I returned/exchanged the earrings. Originally I was in line at the returns/exchanges but it took 10 minutes at least for one lady trying to get the only assistant there to try and find her package. I decided to go directly to the counter and bring the exact earrings as I didn't have actual packaging of the plastic and the individual receipt they place on it. I wasn't about to dig in trash with pet messes in it for the receipt. The lady understood. Then went to Winco to get the money orders for rent and put on porch, and had a drink of peach ciroq and did the laundry. Texted the landlord the rent is on the porch. They could be going out of town this week due to the Labor Day holiday. Not sure. The roommate let me transfer the money after he tried bitching at me some more about the amount of space I am taking up with my study space in this crammed place due to all his stuff. The guy who I sold the car to randomly texted me while I was massaging my client today too. I texted him and asked how he was doing too as a friend. So he doesn't try hitting on me again like he did some months ago. I also got a text from my chiropractic program advisor about the recorded zoom meetings of meet the Dean and EXXAT being available in the orientation links now with a passcode. I had the last bowl of vegan meat and pickles last of about 2 servings with a serving of tortilla rounds, and 2 fruit snacks, and last bit of the chocolate bar I didn't eat earlier that I already calculated in nutrition. Also had a snack size of cheetos puffs before going into Winco. My rag started getting more light than spotty before leaving to the client's house, so I put a thin pad on. Bed time after updating nutrition for day and having laundry in dryer. That was about 1045 pm.</t>
  </si>
  <si>
    <t>jack and coke</t>
  </si>
  <si>
    <t>snack sz baked BBQ potato chips</t>
  </si>
  <si>
    <t>snack sz baked potato chips</t>
  </si>
  <si>
    <t>reg frito lays cheetos not baked snack size chips</t>
  </si>
  <si>
    <t xml:space="preserve">3 servings pizza rolls totinos cheese
(630	24	6	15	93	3	960)
5 fruit snacks
(400	0	0	0	95	0	150)
1 sm avocado
(241.5	21.75	3	3	12.75	13.5	10.5)
1 BBQ baked snack sz potato chips
(110	3	0	2	19	1	125)
1 baked potato chips snack sz
(110	3	0	2	19	1	220)
3 cheetos snack sz
(480	30	4.5	6	45	3	750)
coca cola about 1.25 servings from a 2 L bottle or 1.25 of a mini size cola
(112.5	0	0	0	31.25	0	37.5)
=630+400+241.5+110+110+480+112.5
=24+0+21.75+3+3+30+0
=6+0+3+0+0+4.5+0
=15+0+3+2+2+6+0
=93+95+12.75+19+19+45+31.25
=3+0+13.5+1+1+3+0
=960+150+10.5+125+220+750+37.5
</t>
  </si>
  <si>
    <t xml:space="preserve">Woke up at 530 am by alarm, laid in bed while the roommate got home, cleaned pet messes, and did whatever, tried to nap but kept waking up every 5-10 minutes thinking I missed my alarm. Got out of bed a little before my 630 am alarm went off, did normal routine with coffee and feeding the babies with Growly his meds. Restarted dryer and had 1st cup of coffee, folded laundry made 2nd cup, took measurements, had lg BM, and got ready for work. I did have an MLD client after work I haven't seen in a month but she rescheduled for Thur 7 pm and today earlier it said it was going to rain 89% chance but now at 720 am says just cloudy. After a lg BM retook measurements and my waistline was 30. 75 and 32.25 and weight was 145.0 five minutes after taking measurements after 1st cup coffee and before breakfast. Yogurt for breakfast then multivitamins. Had about 15 cheese pizza rolls for breakfast on the way to work and 15 more approximately for lunch, and 3 bags of cheetos between lunch and on the drive home and cheese doritos. Left my nieces' gift cards with their step dad bc they weren't there like always to get them. So whatever. Went to Vons and got a bottle of Jack Daniels and a 2 L coca cola. Got home, the roommate was home and was feeding the babies and gave Growly one of his water pills. I will give him his other water pill and his heart pill in a few hours. Wanted to reorganize the room and my bedroom in particular and take out the litter box and put in the living room and move the shelfs around because of my little bitchy roommate bitching about me taking this study space as my own to study and getting in his way. Why can't he just shut his fucking mouth!? He always harrasses me and talks about me to his invisible racist misogynist friend out loudly like everything I do wrong. He is a loser. I wasn't able to speak with my mom when I called her cell phone and room at the hospital at lunch time. And checked the messages and the landlord did reply thanks yesterday at 920 pm approx. On the way home I saw a flattened possum by my house in road on 8th street by crosswalk of Grand BLvd. Made me think it was that cute little guy that climbed around at night a few weeks ago. It was so adorable. Poor little guy. I moved around furniture and fit my desk and bench in the bedroom of mine and emptied out the area in the living room by moving one of my 3 drawer laundry cabinets on top of another in the bedroom and moving the white moving table to block the sunroom and put the electronics for the video feeds of outdoor cams and the wifi and internet by 7 pm. Had 2 total jack daniels and coke all day at this point and made some french fried from Oreida about 2 servings. By 8 pm had the 3rd and final jack and coke and serving pizza rolls with 1 sm avocado a snack sized BBQ potato baked chips and reg baked potato chips snack sz. Went to bed by 12 am. After putting my laundry in the washer and whatever the roommate had rerunning on the dryer cycle on. Looked over a few of the med school text books on my new desk set up in my bedroom away from the roommate's negative energy. Just need a curtain to put up to keep him out of my vision. Watched a few movies while drinking and eating one Hotel Mumbai, good movie dramatic insane, and other The Nightingale about a bunch of scummy people and rape scenes and murder painting the Australian conquerers from England as rapists and murderers in one small faction that killed the aboriginal peoples and raped the convict women and aboriginal females and murdered them like rodents. Doesn't sit well with me on the other angle as I am female, had a criminal record of domestic violence, and am Filipino or a mix of south east asian islander that shares more satellite DNA with the aboriginals of that location when looking for those populations that share more Denisovan ( a type of neanderthal homonid that isn't related to each other but did mix at some point in the last millions of years). The white scumbags of the 1600-late 1800s were the most scummy, narcissistic, ignorant peoples of the world. They killed off, the soldiers in search of land and conquering, people like roadkill everywhere to get them off the land to bring in their own and the basic viking rape and pillage. But also the dialogue acting of the main character was kind of bad at some points. </t>
  </si>
  <si>
    <t xml:space="preserve">Woke up at 530 am when the roommate got home so that I could put in my clothes in the dryer without him touching them and dropping them on the ground then went back to bed, and turned off 630 am alarm. Started getting a slight headache from not having caffeine at normal time around 715 am and got up and out of bed by 730 am. Did the normal routine, the dryer was still running, made my kpod coffee and need more kpods, then fed Growly his meds with the babies' food. Then updated nutrition from yesterday and had a 2nd cup of coffee and a lg BM. Then took measurements. I haven't been on my rag, just a little light the other day, two days ago, but then just spotty. Last night not spotty at all. So not marking today as menstruation unless I start spotting more throughout the day. A weird cycle, might be going into premenopause early, and that can last 10 years. Had yogurt with my multivitamins afterwards while finishing my 2nd cup of coffee by 9 am. I also fed the cat around the time of doing the laundry 8 am the one outside, it wasn't waiting but I saw it on the camera a few minutes later eating the food and crossing the side house. I noticed the trash wasn't collected at 8 am and it is normally collected for waste trash not recyclables or lawn trash around 630 am. Later heard a few trash trucks but didn't check. Next week is a holiday, labor day, not this week. So thought that was odd. Had 3rd cup of coffee while putting away laundry. Spotty today on rag by later in the day. Had a serving pizza rolls and french fries later then a half serving or last of bag of pizza rolls and french fries an hour after that while watching the orientation video of EXXAT and meat the dean and putting away my chemistry supplies and throwing out the boxes, bc the mid shelf fell back again, and I just decided to not fasten it to the little plastic sides that aren't able to meet it as they don't touch exactly and laid it on top of the middle layer that it thankfully fit. It would be a great shelf if it didn't take long to put together the storage cabinet and the plastic didn't break. I also had the 3rd cup of coffee before watching the video I didn't get to finish bc I started it after 1030 am. and later had my 4th cup of coffee before the shower to get to the Murrieta appointment that took almost an hour to get to due to traffic. Snacked on a baked potato chips watching movie and had 1 sm avocado with first set of pizza cheese rolls and on the way to the client's house had a reg cheetos and doritos not baked either one full sodium and calories. The client was new and nice. The 7 pm rescheduled for Saturday after work. I got home did laundry had one jack and coke and one jack and just ice with water on side. Then ate an impossible frozen patty with some cinnomon bun english muffins and another sm avocado made in air fryer bc the avocado was too firm and with pickles. I also stopped by Target right after the client in Murrieta and before arriving home to start the laundry to get school supplies, sciccors, papertowels that they had cheap ones bc the roommate uses too many papertowels that aren't needed. Already out from an 8 pack of good quality paper towels after 2 days. They absorb much better than the cheap ones but he layers them on all the time like they aren't cheap. As long as he isn't buying them. I actually folded his clothes out the dryer too but not his boxers or socks because he is particular about how they need to be folded. </t>
  </si>
  <si>
    <t>Thomas' cinnamon bun english muffins</t>
  </si>
  <si>
    <t xml:space="preserve">serving yogurt
(180.00	6.00	3.00	14.00	19.00	0.00	50.00)
1.5 servings pizza cheese totino rolls
(315	12	3	7.5	46.5	1.5	480)
2 servings french fries
(260	14	2	4	34	2	900)
2 sm avocados
(322	29	4	4	17	18	14)
1 impossible frozen burger patty
(240	14	8	19	9	3	370)
1 set english muffins cinnabun flavor
(150	1.5	0.5	5	30	1	200)
4-5 pickles
(30	0	0	0	8	1	150)
1 bag baked potato chips
(110	3	0	2	19	1	220)
1 bag cheetos
(160	10	1.5	2	15	1	250)
1 bag doritos
(150	8	1	2	18	1	210)
mini coca cola for 1 jack and coke
(90	0	0	0	25	0	30)
=180+315+260+322+240+150+30+110+160+150+90
=6+12+14+29+14+1.5+0+3+10+8+0
=3+3+2+4+8+0.5+0+0+1.5+1+0
=14+7.5+4+4+19+5+0+2+2+2+0
=19+46.5+34+17+9+30+8+19+15+18+25
=0+1.5+2+18+3+1+1+1+1+1+0
=50+480+900+14+370+200+150+220+250+210+30
</t>
  </si>
  <si>
    <t xml:space="preserve">Woke up at 530 am by alarm, but slept till 630 am bc the roommate was in my way and just getting home. Did normal routine but Goody decided not to eat and Princess ate his food. He went outside to potty and took a while coming back in. I will feed him before leaving for the day. Restarted laundry in dryer, and updated nutrition. Still spotty and ankles still kind of swollen. Growly was given his meds in his food and ate it but not right away. Started the 1st cup of the vanilla bean flavored G&amp;G kpod coffee for 1st cup and started 2nd cup but had a lg BM after updating this nutrition database and other features and before folding laundry and eating breakfast with my multivitamins. Measurements taken after folding and putting away laundry and before breakfast and before 3rd cup of coffee but after 2nd cup of coffee. Had multivitamins with yogurt. The alarm went off before measurements and putting away laundry had to get ready for work. Last of the yogurt about 2/3 servings or 1/2 cup with multivitamins, at work had 4th cup coffee kpod carmel machiato G&amp;G, Had 2 vanilla Bean G&amp;G this morning with 1 carmel machiato G&amp;G for 4 total cups coffee, and 2 bags cheetos where 1 at breakfast before work and 1 at lunch with one bag each of the doritos ranch and cheddar and after work 1 doritos cheddar. AFter work a jack and ice water with serving of about 20 pizza rolls with last serving french fries airfryed. The 7 pm cancelled. Thats ok. She's a nice lady I told her as long as she cancels at least 2 hours before appointment not to worry. She is a nurse and probably has been picking up some shifts but also a mom of young children under 10, 3 of them. The roommate is probably the one who packed the trash cans filled with the junk. I know the junk people were over for estimate a few days ago, then were here again with landlord both times meeting him a few minutes later, but yesterday it looked like they didn't pick anything up and today it was cleaned but some junk left organized in piles. I just found out it was the junk people who packed our trash cans full of junk or the landlord or his workers but definitely not the roommate. He always claims any idiot thing he does and says not to go against it like its not an idiot thing to do as the trash won't come by until Friday instead of Thursday next week and all are filled, the waste, the recyclable, and the lawn of the junk wood pieces that were piled in the back. The junk people did organize the different types of junk into piles like laundry sorting, but dumb for filling our trash bins. Not cool. Had another drink of jack daniels over ice water and watched the 4th episode of The Third Day on HBO while snacking on a serving of pizza rolls and a small avocado made in the airfryer. Went to bed around 1015 pm but right when I was about to go to bed the neighbor revved up his motorcycle and kept at it intermittently until about 1115 1120 pm so I moved my van to the front where the horn faces their window and set off my alarm around 12 am, 2-4 am, 430 am and 530 am. If I don't get good sleep, neither do they. And they have a toddler. The neighbors are inconsiderate. </t>
  </si>
  <si>
    <t>back, machine rows mid trapz/deltoids/rhomboids 3 sets 12, 40 lbs
back, lower trapz/deltoids/latts/teres minor 3 sets 12, 50 lbs
inner thighs, 3 sets 12, 40 lbs
outer thighs, 3 sets 12, 40 lbs
quads leg extension/knee extension, 3 sets 12, 40 lbs
quads/glutes/hips squats barbell 3 sets 12, 55 lbs
pecs bench press barbell 3 sets 8, 55 lbs
hamstrings leg curls sitting machine, 3 sets 12, 40 lbs
glutes/LB/hips/hams deadlifts kettle bell, 3 sets 12, 20 kg or 44.09 lbs
stretches shoulders/hips/hams/quads/neck/triceps/deltoids/pecs</t>
  </si>
  <si>
    <t xml:space="preserve">baked cheddar sourcream chips
(110	3	0	2	19	1	125)
2 doritos
(300	16	2	4	36	2	420)
2 cheetos
(320	20	3	4	30	2	500)
1 ranch doritos
(150	8	1	2	18	1	190)
36 pizza rolls cheese totinos
(472.5	18	4.5	11.25	69.75	2.25	720)
1 small avocado
(241.5	21.75	3	3	12.75	13.5	10.5)
serving french fries
(130	7	1	2	17	1	450)
hasbro gummy bears bag
(2025	0	0	40.5	465.75	0	101.25)
=110+300+320+150+472.5+241.5+130+2025
=3+16+20+8+18+21.75+7+0
=0+2+3+1+4.5+3+1+0
=2+4+4+2+11.25+3+2+40.5
=19+36+30+18+69.75+12.75+17+465.75
=1+2+2+1+2.25+13.5+1+0
=125+420+500+190+720+10.5+450+101.25
</t>
  </si>
  <si>
    <t xml:space="preserve">baked potato chips
(110	3	0	2	19	1	220)
2 baked cheetos
(240	8	1	4	36	2	420)
1 impossible patty
(240	14	8	19	9	3	370)
1 Thomas English muffin cinnabon
(150	1.5	0.5	5	30	1	200)
1 serving pickles
(30	0	0	0	8	1	150)
1 Everything legendary plant based patty
(100.00	6.00	4.00	8.00	2.00	0.00	280.00)
1 Thomas English muffin cinnabon
(150	1.5	0.5	5	30	1	200)
1 serving pickles
(30	0	0	0	8	1	150)
1 baked cheetos
(120	4	0.5	2	18	1	210)
1 baked BBQ chips
(110	3	0	2	19	1	125)
20 cheese pizza rolls totino
(262.5	10	2.5	6.25	38.75	1.25	400)
=110+240+240+150+30+100+150+30+120+110+262.5
=3+8+14+1.5+0+6+1.5+0+4+3+10
=0+1+8+0.5+0+4+0.5+0+0.5+0+2.5
=2+4+19+5+0+8+5+0+2+2+6.25
=19+36+9+30+8+2+30+8+18+19+38.75
=1+2+3+1+1+0+1+1+1+1+1.25
=220+420+370+200+150+280+200+150+210+125+400
</t>
  </si>
  <si>
    <t xml:space="preserve">Woke up at 530 am by alarm, did normal routine after setting off alarm one last time. The roommate got home at that time and asked why I parked in the front instead. Didn't tell him why, but I do have better video of the vehicle. Gave Growly his meds by oral syringe, and noticed when cleaning the pet messes the ants are going after their poop and it was bloody in the mess the ants weren't on. Supposed to be a hot weekend. I guess I can predict that from the ants all over everything. They disappear when no food is there. Usually they don't go after dog poop. Just the canned cat food I leave outside. But also the radio hosts say it is going to be hot today and this weekend and Labor Day weekend. Got paid and paid some bills. and transferred money I didn't earn yet from prepaid accounts into savings. Keeping one lady's because she rescheduled the 2 appointments she made. Had a bag of baked chips with my multivitamins, making an impossible burger for lunch with chips. Thought I ate all the baked cheetos but still have 2 bags for lunch. Short day, long days start next weekend. Only ate 1/2 the bag of snack sized chips with vitamins, had a lg BM, then packed up the stuff for lunch and took measurements before taking a quick shower before work. At work I arrived a few minutes bc I forgot to set my waze back to allow freeways and it had me taking side streets and I didn't realize until half way to work that I could have taken the freeway. I called work at 735 to let them know 3 minutes late and they informed my regular who I have been 15 minutes late on before. Nice lady. I got there exactly 3 minutes after time to take client in for 8 am appt. Not too bad, but could have been avoided had I remembered to turn back on the app to allow freeways. After my 2nd client, she seemed so wise with the misogynist and toxic types as she divorced one too who didn't father her kids but spent many years with. They don't change, refuse to until too late and I think revert back even if they do for a little while bc they don't respect women and are misogynists that are entitled. She brought up the gym just to get dressed and show up even 20 minutes. So I decided I would go as my last appt was a no show but I got paid. Got there and planned on 20 minutes but of course turned into 45 min to an hour. Its ok, at least I worked out with machines and some barbells and did some stretching. It was hot today and checking right now it is 98 degrees. For lunch had the impossible patty, on a cinnabon Thomas english muffin with pickles and the rest of the baked potato chips and 2 of the baked cheetos. And a 4 th kpod coffee. Then after work, worked out from about 2 pm until 250 pm. Got home around 3 pm, and fed the babies and Growly his 2nd half of his meds. Didn't see any of my text books that are arriving in next 3 weeks. Found out by looking at one of the campus store orientation ppts in my dashboard that we will get our medical kits in 3 weeks after school starts and they will send out an email, to check our student emails to see if we have anything. I have most of my courses up on canvas. I need to look at the syllabus' of each course and see the exam dates and times and plan for blocking my side biz schedule to study for those exams to do well, and for major assignments that could be possible like in general chemistry 1A with assignments that took 5-7 hours in first few weeks for mastering chemistry homework questions. The workout earlier wasn't a total body workout so I put down 0.75 for the feature of that name. And indoors it was air conditioned, but outdoors around this time was 99 degrees. I had a jack and ice water at home after eating some pizza rolls. And looking at the few syllabus up for 2/5 classes. Not something to plan for exactly, bc need the exact date, but it has the week with two classes in one and a quiz, estimates 1-2 hours to study for each quiz. Still spotty today, and waited about 3 hours after 1st drink to have the 2nd drink around 740 pm. same jack and ice water watching some old stuff on tv hbo max westworld tried a few other shows didn't peak my interest. This one isn't either, but the Third Day is gross, has creeps and sickos in it and the material and carnage is yuck. </t>
  </si>
  <si>
    <t xml:space="preserve">bicep curls 3 sets 12 reps 15 lbs each arm
tricep kick backs, 3 sets 12 reps 15 lbs each arm
tricep pull downs, 3 sets 10 reps 30 lbs
deltoids side lifts, 3 sets 12 reps 5 lbs each arm
upper deltoids pectoralis major military press, 3 sets 12 reps 15 lbs each arm
deltoids upper trapz shoulder shrugs, 3 sets 12 reps 15 lbs each arm
obliques/deltoids side raises and lowering, 3 sets 12 reps 15 lbs each arm
obliques side twists, 1 set 12 reps 7.5 setting, 2 sets 12 reps 10.5 setting each side
</t>
  </si>
  <si>
    <t xml:space="preserve">baked chips
(110	3	0	2	19	1	220)
24 pizza cheese rolls totino
(315	12	3	7.5	46.5	1.5	480)
double poki salmon bowl, brown rice, ponzu sauce, cucumbers, ginger, misago, sesame seeds
(605.50	16.28	5.35	18.90	96.95	8.35	944.00)
EL PB patty
(100.00	6.00	4.00	8.00	2.00	0.00	280.00)
2 slices oat bread
(220.00	4.00	0.00	8.00	38.00	4.00	270.00)
1/4 cup mozz/parm
(100.00	6.00	4.00	8.00	2.00	0.00	280.00)
serving pickles
(30	0	0	0	8	1	150)
bag bbq chips
(110	3	0	2	19	1	125)
=110+315+605.5+100+220+100+30+110
=3+12+16.28+6+4+6+0+3
=0+3+5.35+4+0+4+0+0
=2+7.5+18.9+8+8+8+0+2
=19+46.5+96.95+2+38+2+8+19
=1+1.5+8.35+0+4+0+1+1
=220+480+944+280+270+280+150+125
</t>
  </si>
  <si>
    <t>Woke up by alarm at 530 am but was very tired, exhausted. I laid in bed until 615 am and got up to make my 1st cup of kpod coffee vanilla bean and make the babies their food and Growly his meds by oral syringe. The roommate was home last night and dishes of his are in the sink but it was empty when I went to bed. I have laundry in the dryer that I restarted. I watched the end of the Westworld series and finished it by about 1045 pm and went to bed by 11 pm. I was looking through my textbooks last night for first time on all of them. Seems interesting, more in debth, a bunch of anatomy. The models look like the same ones in some other books like the MBLEX test prep book and weird showing a bunch of the models' butt cracks in some texts. I forget which one. The photos look old like the 70s or 80s. I got about 6 1/2 hours sleep. My body is feeling tired from the workout yesterday and probably dehydrated. Feeling sore in my pecs/chest/anterior deltoids. I looked at my ankles and they're not swollen, but were when I went to bed last night. And still just spotting on menstruation. Haven't had an actual flow in a while. I should have an MLD client that is prepaid today after work, but will check with her to see. Measurements taken after a reg lg BM and 2 cups coffee. 3 cups coffee before leaving for work and after showering. Vitamins taken with a bag of baked chips. planned to have pizza rolls for lunch and breakfast on way to work. But ate all pizza rolls about 24 of them or 1 1/2 servings pizza rolls on the way to work. At lunch time had a double salmon poki bowl with brown rice, ponzu sauce, misago, cucumbers, ginger, and cream cheese and a 4th cup of kpod coffee. I sent the LMTs I had in my phone from Massage Heights Newport Beach Tierian, Elena, and Madison and the Massage Heights Chino Hills Dahlbert a photo of the sign saying to bring an LMT to get hired at my work and get $500 if full time and after 90 days or $250 if part time. And a previous text as group message added to the initial message sent the other day of work I think yesterday, and I finally got a reply from Dahlbert to stfu and that he and they get it that we need workers but to stop sending them stuff. I told him I was trying to help him out bc I know they don't make as much, aren't respected or treated civilly as human beings by making them use used toilet paper rolls instead of client toilet paper and having to wait 11 days after pay cycle and getting paid after holidays or weekends if the pay day falls on that day and also being yelled at by lead massage therapists at work, and that he can see how it seems I am bragging about being paid living wages instead of trying to help him and he also said its people I don't know or like, and he doesn't know them. One is a person I stay updated on instagram and facebook but rarely like any of his stuff Tiernan or get any likes on my posts by him that I didn't tell him. He can go fuck off for all I care. Trying to help some loser abused out and they do that to me, they can go fuck off. Not interested. He will be taken off my contacts. I just looked and he isn't in my contacts before taking him off of my contacts. But he shows up on the text. He also said that 'with my android ass' like that means I am cheap or don't make enough for an iphone, or everyone else has an iphone. Not sure what that means. I have stopped 'liking' photos of shares and posts on instagram and facebook because the feed of mine will only populate it with their posts if those are the only posts I 'like'. Time to take a break from that crap probably for a long time or near forever. Time consuming and negative for self esteem and not much added worth for social media aquired business. I tried to confirm over RingCentral app the 5pm today and didn't get a reply but it is confirmed in the app, but I have been to her house before and it wasn't a good outcome as I didn't get the message in time that she cancelled, and I set up and waited, but more importantly, the time there, preparing, setting up, waiting, then leaving took about an hour just for that. I don't want to waste my time. Tempted to refund all my clients just so I don't have to be obligated to keep their appointments. I don't know and have no way of knowing when she confirmed the appointment. It just says confirmed in the app for square and the no show policy is checked but its also the wrong service. She booked the one hour $60 when it should be the $0 prepaid already MLD massage. None of the appointments should have the no-show protection confirmed. She was all good. Her 2nd. Need to make SOAP notes and receipt for her. Very nice young lady and her mom. I went to work out after the client and did about a 35 minute workout of arms and obliques, the side twists with 10.5 setting at arms 90 degree at sides pulling, and the downward oblique side flex with some deltoid shoulder lifts 15 lbs each side 3 sets 12 for all exercises, except the triceps pull down for the 30 lb only 10 reps each set of 3, and the dumbbells for the deltoids side lifts 5 lb, the military press 30 lbs of dumbells 15 each side, and the tricep extension on bench making an arm kick back, and the shoulder shrugs upper trapz, and biceps, all 3 sets 12 reps with 15 lbs. Went to Winco next and got more canned cat food, another sweet but skittish kitten, black with yellow eyes has befriended us and the bigger more docile street savy black cat with green eyes. I fed it when I got home, the side diagonal neighbors are having a BBQ gathering and I smell their meat like brisket or something in a smoker, it was on before when leaving to clients and after but with people gathered about 10-15. I got 2 40 pack waters, two of the upgraded winco paper towels that are $4/6 pack instead of $3/6 pack, and 2 of their toilet papers, 3 rubbing alcohol 70% strength, some foil, some chocolate candy bars, Andes mints/Hersheys toffee almond, cadbury type choc almond large size candy bars and box of the small box Andes. Also some more cleaner spray and wipes and dish soap. Not the other two items I have been thinking about like the shower curtain rings and the dish soap that is mid size bw $9-11 instead of the small at $6-8 or the large at $14-18. They didn't have it, nor could I find the shower rings for curtain. The ones I got from Ross months ago suck and it has been on my mind to get the good regular ones that aren't 1/3 a circle and just big enough to not slide on the shower rod but get stuck in place and have to manually be babied to open and close or else they fall off. They were only $5 at the time, probably thought a $5 savings off an expected $10 for the no hassle kind. I didn't like the others and assumed I would like these when I replaced them before trying them out and that was a mistake to throw out the other ones as soon as I put these loser ones on. I also drank a drink after doing a bunch of dishes and fed the babies 1 tiny bit of the cadbury type chocolate with almonds. They can't have too much. I also gave Growly his meds when I got home from work before leaving for the client's house. When I went to the gym after the client's appointment around 6 pm it was still 103 degrees approximately and stayed that way pretty much all day bw 102 and 103. Also, a long time ago I was in a foxy boxing video where I learned to box, not proud of it, but will get defensive if any person tries to use that against me in trying to improve myself, the theme song for that video, look it up if you can and want to see me a sexy beast at age 22, I am now 39, anyways WGFC.net, the video last I checked was $10, Sabrina was who I made out with fourplay, not counted in my count as my husband is #40 ever, but three females I do believe are. Not my thing for permanent, it was just for thrill and in wild days. Very submissive to a point but easily reverse psychology sqeeze theorem controlled into doing things I would not have done had I a better more positive outlook on life and prospects for my future. Wild Girls Fight Club. I am Janice, as they spelled my name wrong, the only good looking one, wink wink, just kidding. This was 2003, I actually technically knocked out the video material for the 2nd DVD, but they didn't raise enough for this one so I end up as a win on one fight and a technical knockout on other, they called me Taz because I spin fist punched Sabrina, the girl I made out with, when she was punching me in the back of the head and back kicked her. She is actually the reason my jaw  made my front tooth slide out of alignment and stay that way for years. I was 111 lbs and she was 135 lbs and I wasn't experienced in boxing, but I got my experience in my break and next promo for the other 2 fights. You really only learn those skills in the ring in competition, bc its all for show and no momentum or balance or placement of feet until that point. Kind of like throwing a baby in the water to sink or swim. But your trained with basics before doing it. Anybody who brings that up to keep me who lost my virginity at 14.5 years old and has schizophrenia and autism can suck a duck, and get prepared for battle as I label you a misogynist, a sexist, a racist, extremist, etc. There is nobody who was hurt in that filming and I was paid $1500 for it and it was on camera. Kiss my ass but I don't tell anybody. Feel free to if you want to, nobody cares. And its only showing tits and R rated fourplay with another female. One of the producers tried really hard to get me to make out with him for the camera, but he was repulsive and I wasn't going to do that. He was like a misogynist who wants females at his mercy just like most guys who workout and don't do much with their lives. Lets stop there, the theme song was playing on the way into the gym like I was going to get ready to hit the bags after posting that instagram of that ex coworker who had the nerve to tell me to stfu. Loser! He wasn't enough to get me there. I still have muscle memory anyways, bc Princess got out the gate and as I was unloading the light stuff the roommate left the gate open and I heard him yell, 'Princess, get over here!' and she ran over and without any other action I kicked my foot out right when she almost ran into it. But she stopped and I got her in the house. She must have saw the little kitten run away. Poor little kitty. Its so cute. It meows for food, but hisses when I get too close to it when laying the food close to her. Didn't eat food after work, the client, the grocery trip and workout prior to that, and had the drink and putting in this updated notes. Went to bed around 1030 pm after putting laundry in the dryer having a PB based burger and a couple drinks.</t>
  </si>
  <si>
    <t xml:space="preserve">Woke up at 530 am by alarm. Had to get up bc I have to get ready by 630 am. Did normal routine and folded laundry. Had a lg BM after 2nd cup of coffee and made 3rd cup of coffee and pizza rolls to eat later. Took measurements after BM. Ankles are swollen and didn't notice any spotting over night but did spot yesterday. Didn't see if they were swollen last night before bed but didn't start the day swollen. Prob the ponzu poki bowl sauce high sodium yesterday at lunch. Started out a hot morning to comfort level. At work was labor day and started a full schedule but the middle cancelled not sure if paid for it but did get an hour booked in that 90 minute spot.For lunch had 85 degrees bakery but the milk tea in the bottle upset my stomach with gas and felt burpy and later just gas but felt like I was sick with that sharp gut pain gas gives. First time drinking milk tea had about 2/3 the bottle then when the client no-showed or cancelled and the other client getting out of a facial booked an hour massage 30 minutes later because the hour started already, I had a 4th cup kpod vanilla bean coffee, it made me sweat. After work started drinking and looking at Amazon and noticed even though I ordered the books by ISBN number ID the editions were wrong so I ordered the versions by edition in kindle and downloaded the kindle app to this laptop first time at PC 5 kindle, Over ten or so years. Thank fully not more than $40 for the two kindle versions to rent until 12/22/21, but the other 2 books are the correct ISBNs and no kindle version for them to rent. So I will see. I also ordered some shower curtain rings and another clock. I don't know what I did to my other little clock. I can't find it. I know I had it at the client in Murrieta but I didn't see it in the bag or at home in the cat tree or the RF machine cart in the back or the middle console. Not sure where it is. I also ordered a stylus. All 3 arrive tomorrow according to AMazon, and my first class in the DC program is at 10 am. I am lab B, and I did see the email that all labs meet at 10 am and log into the provided zoom link. I will have to do this at 945 am or so, bc it was stated discussed to do so in orientation or somewhere that I read in orientation material. I need to make the backdrop pro and conceal my bedroom and add a pro photo if I don't want my video to be on. I only have that one 2 hour class tomorro from 10 am - 12 pm. After doing the book searches and purchases, I still need 4 books to arrive between the 9th and 21st of this month. But I ate a PB patty on oat bread with mozz/parm and pickles and 6 pcs or 1/4 the cadbury chocolate candy bar, and had a total of 3 jack daniels and ice with water on the side. Also, that indigestion made me have 2 small BMs after work bw 3 and 5 pm. I am sore today from the workouts over last few days on my legs and chest and shoulders. And triceps. My legs just my hamstrings not my quads. </t>
  </si>
  <si>
    <t>cadbury chocolate almond candy bar, 5 pcs is  serving, 3.5 pcs per bar, serving:</t>
  </si>
  <si>
    <t>Milk Tea 85 degrees bakery, 2 servings per bottle, 1 serving:</t>
  </si>
  <si>
    <t>16 pcs cheese pizza rolls totino, a serving
(210.00	8.00	2.00	5.00	31.00	1.00	320.00)
2/3 bottle 85 degrees milk tea
(493.33	21.33	21.33	0.00	85.33	0.00	6.67)
salt butter bread 85 degrees bakery
(320	17	10	6	35	0	430)
bb muffin 85 degrees bakery
(600	8	3	15	120	0	600)
6 pcs or 1/3-1/4 cadbury chocolate almond candy bar
(180	9.6	4.8	3.6	19.2	1.2	30)
EL PB patty
(100.00	6.00	4.00	8.00	2.00	0.00	280.00)
2 slices oat bread
(220.00	4.00	0.00	8.00	38.00	4.00	270.00)
1/4 cup mozz/parm
(100.00	6.00	4.00	8.00	2.00	0.00	280.00)
serving pickles
(30	0	0	0	8	1	150)
=210+493+320+600+180+100+220+100+30
=8+21+17+8+10+6+4+6+0
=2+21+10+3+5+4+0+4+0
=5+0+6+15+4+8+8+8+0
=31+85+35+120+19+2+38+2+8
=1+0+0+0+1.2+0+4+0+1
=320+7+430+600+30+280+270+280+150</t>
  </si>
  <si>
    <t xml:space="preserve">9 cheese pizza bagel bites, serving is 4 bites, a pkg has 2 1/4 servings, 1 serving: </t>
  </si>
  <si>
    <t xml:space="preserve">Thomas English muffin cinnabon
(150	1.5	0.5	5	30	1	200)
EL PB patty
(100.00	6.00	4.00	8.00	2.00	0.00	280.00)
2 slices oat bread
(220.00	4.00	0.00	8.00	38.00	4.00	270.00)
1/4 cup mozz/parm
(100.00	6.00	4.00	8.00	2.00	0.00	280.00)
serving pickles
(30	0	0	0	8	1	150)
9 cheese pizza bagel bites
(405	11.25	6.75	13.5	63	2.25	810)
3 servings baked cheetos
(360	12	1.5	6	54	3	630)
3 pcs cadbury chocolate almond candy bar
(90	4.8	2.4	1.8	9.6	0.6	15)
=150+100+220+100+30+405+360+90
=1.5+6+4+6+0+11.25+12+4.8
=0.5+4+0+4+0+6.75+1.5+2.4
=5+8+8+8+0+13.5+6+1.8
=30+2+38+2+8+63+54+9.6
=1+0+4+0+1+2.25+3+0.6
=200+280+270+280+150+810+630+15
</t>
  </si>
  <si>
    <t>Woke up at 530 by alarm but laid in bed while roommate got home and unpacked his lunch stuff from night and got out of bed by 630 alarm and did normal routine, fed Growly by oral syringe, fed babies food, made my coffee, had a reg sm BM by 2nd cup coffee vanilla bean kpod, and another small one by 3rd cup. Then took measurements. Feels more warm lately than the weather is reporting at this time. I am comfortable but usually I am cold around 60-70 degrees or colder. Was looking at how much I spent on my Amazon account for my supplies and listed it out and bought a couple more kindle versions of text books that were pricey almost the same for one hard copy and more expensive for the other hard copy of the textbooks needed for my on campus lab of the chriopractic procedures. Am using my kindle fire to take to that on campus course on Wed/Thur afternoons. My ankles didn't start out swollen but had wrinkles where normally puffy and swollen, kind of unusual. Got about 1015 pm to 530 am sleep hours of about 7 hours bc I laid in bed a bit just resting not fully asleep before 630 am. I have 18 books, 2 are purchased hard copies and kindle copies bc they will arrive after school starts by 2-3 weeks, and there are 2 kindle editions that are the later editions needed, that the ISBN numbers didn't give with the correct typed edition and they are rentals only through Dec 22nd 2021. I spent $1732.35 on only the text books, and the study aids for biology and chemistry as this will improve my understanding with the microscope and slides, pippettes, beakers, blades needed, stethoscope and BP cuff, lab kits, disposable gloves, beakers and glass measureing tubes and containers was ... $482.40. So far I have spent $2,214.75 on supplies and study aides and all the text books for this term. Hopefully these books are used again next term. My advisor texted me to make sure I am checking into first class today, which is helpful. I plan on taking multivitamins with a Thomas's English muffin cinnabon flavor. Then showering and getting ready for first zoom meeting. Maybe working out with weights later. Body still sore. Not too much though. Went through the lecture and notetaking and then the readings and took the preclass quiz 1 finished by 745 pm just before 8 pm, and looked at the other 4 classes, much reading, will definitely be doing that for a while, no due dates on the courses and wrong dates from last term in two classes. Short videos in the 1 unit course. Finished previewing by 836, and saw the readings had links to the campus library to read the first assignements. My L foot and ankle were really swollen by 5 pm and I wore my waist trimmer from about 9 am until that time 5pm, but no compression socks. From being at desk reading with them at 90 degrees for many hours. Snacked on items I got at Smart &amp; Final earlier after the lecture ended at 12 pm. Fed the babies and gave Growly his meds. Breakfast was the Thomas cinnabon english muffin, then lunch after LE in GA or gen anatomy was the EL PB patty, oat bread, pickles, mozz/parm, had 4th kpod coffee at that time before the grocery trip. When I got back, looked at the prerecorded videos for 2.5-3 hours and then read the reading for the day from online source that is provided without being on book list. Because it wasn't and I didn't order it. The lectures synthesize whats in it. Had 3 pcs of the cadbury almond chocolate and shared with babies 1 pc each, then had the 9 cheese pizza bagel bites in a pkg, then later had a serving of cheese pizza rolls, and altogether snacks of 1 serving baked cheetos with bagel bites, then 2 servings baked cheetos later while taking the preclass quiz, 2 attempts, got 4/5 1st attempt and 5/5 2nd attempt, the avg was 4.5 for me. Had 5th cup coffee before reading the GA readings for the preclass quiz and after the prerecorded 2.5-3 hour LEs. It was a kono brand kpod on sale at Smart &amp; Final tastes just like instant tasters choice brand I use occasionally. Went to bed around 915 pm tired. Woke up a bit during night and went back to sleep.</t>
  </si>
  <si>
    <t>Sweet Earth bacon burger plant based hamburger patty</t>
  </si>
  <si>
    <t>Everything Bagels poppyseed, 1 bagel</t>
  </si>
  <si>
    <t>Mozzarella fancy shredded Smart&amp;Final brand, serving is 1/3 cup</t>
  </si>
  <si>
    <t>mustard French's brand, 1 tbs is a serving</t>
  </si>
  <si>
    <t>pickle slices serving is 5 chips</t>
  </si>
  <si>
    <t xml:space="preserve">5 servings cheetos
(600	20	2.5	10	90	5	1050)
3 servings pizza cheese rolls totino
(630	24	6	15	93	3	960)
1 bag doritos ranch
(150	8	1	2	18	1	190)
1 Sweet Earth vegan bacon burger patty
(330	18	9	26	16	2	420)
1 everything bagel
(240.00	2.00	0.50	8.00	46.00	2.00	630.00)
1/3 cup mozz on bagel
(80	5	3.5	6	2	0	190)
pickles
(0	0	0	0	1	0	260)
1 tbs mustard
(0.00	0.00	0.00	0.00	0.00	0.00	55.00)
=600+630+150+330+240+80+0+0
=20+24+8+18+2+5+0+0
=2.5+6+1+9+0.5+3.5+0+0
=10+15+2+26+8+6+0+0
=90+93+18+16+46+2+1+0
=5+3+1+2+2+0+0+0
=1050+960+190+420+630+190+260+55
</t>
  </si>
  <si>
    <t>Woke up at 530 am by alarm, got out at that time, cleaned some pet messes and prepared my coffee, Growly's meds, and the babies' food while the roommate was getting back home also at that time. Then looked at my checking and credit card balances. A couple books that weren't shipped yet from Amazon were charged to my card last night both over $100 and one regular client for couples booked a massage for this Sunday. That's cool. I will see if my other client that rescheduled her 2 appts last week will do the same with this one tonight at 7 pm when returning from my first on campus chiropractic and palpation techniques course. Got about 8 hours of sleep. Went to bed around 915 pm and woke up at 1 am to pee and went back to sleep, waking a couple times for a few minutes. Had a reg BM after 2nd cup of coffee and before 3rd cup of coffee, then took measurements. Had my multivitamins with cheetos. Ankles are already slightly swollen, went to bed with white cotton socks on instead of none or the normal compression socks I wear, and woke up with marks in my lower legs above foot and a little swollen in area above wear ankle socks end. Like it pushed fluid up above ankles but left marks in skin by ankles of the cotton elastic bands. I want to shower by 7 am so that I can get ready before the course starts at 8 am but checking in at 7:45 am, then have a 2 hour general anatomy course. Then drive to Whittier for my afternoon chiropractic and palpation techniques course. I am going to airfry some pizza rolls while I am in the shower to snack on in class and bw classes. They take forever to cool down too. So it works out bc its 653 am right now. Had my morning lectures and ate a couple servings along the way and about 2 servings baked cheetos, and a bag of doritos and cheetos on the way to campus, there was some traffic after 1130 am and delayed by 15 minutes. Had the courses for chiropractic and palpation, with a kn95 mask for everyone to where indoors all the time. Three of the tallest dudes are in my group, 6'2", 6'5", and 6'8" then me and a guy that's 5'7", most the people are 5'7" and my side of the bldg had 1 girl per group of 5 guys except one group had 2 girls. Not many females in program. They were all nice and friendly. Need a gown, and know the dress code. Mostly syllabus review for all classes other then general anatomy. Took side streets home and saw that the road Grand does meet up with a Brea Rd and The road behind the campus, not Imperial Highway but starts with an L, Lambert, Was able to go home give Growly half his heart meds and a water pill, but the roommate fed them so I didn't, I gave hime that before going to campus. Left for my 7 pm MLD prepaid client in Eastvale hadn't seen in a while. Nice lady. Then got home and gave Growly the other half of his pill and made some Sweet Earth vegan bacon hamburger patties and had one burger, saved other for tomorrow. Also had 4th cup of keurig kpod coffee on way to class made in my van before leaving to walk and repark my van after seeing I parked on wrong side of campus and could park much closer, but made a mess trying to make 5th one on way home with water spilling on passenger seat because the keurig tipped over and cleaned it with the soaking up of water, luckily only  1/3 bottle and soaked up about 1/3 the paper towels in front seat. Never poured the kpod so I made it at home and chilled after arriving home and before leaving for clients. Was updating this before making her SOAP notes and receipt and letting burger cool down. It was good. The babies like the part I gave them, 1/4 the uneaten one in 1/3 pieces each for them. Put laundry in dryer. Finished SOAP notes and receipt for client after eating and then put laundry in dryer. Tons of homework to do, but most not due until next week I think. Some courses have quizzes. I will be on top of it when I wake up at 530 am tomorrow. Possibly earlier. I don't want to push it bc I drive to campus later and have a different MLD client at 7 pm but I do get out of my Chiropractic Procedures course at 3 pm tomorrow. So enough time. Side roads only took about an hour and 10 minutes to get home, we got out early from the last course because not enough time to start a new topic. Bed by 1015 pm.</t>
  </si>
  <si>
    <t>back, machine rows mid trapz/deltoids/rhomboids 3 sets 12, 40 lbs
back, lower trapz/deltoids/latts/teres minor 3 sets 12, 50 lbs
inner thighs, 3 sets 12, 40 lbs
quads leg extension/knee extension, 3 sets 12, 40 lbs
quads/glutes/hips squats barbell 3 sets 12, 55 lbs
pecs bench press barbell 3 sets 8, 55 lbs
hamstrings leg curls sitting machine, 3 sets 12, 40 lbs
glutes/LB/hips/hams deadlifts kettle bell, 3 sets 12, 20 kg or 44.09 lbs
stretches shoulders/neck/triceps/pecs</t>
  </si>
  <si>
    <t>jack daniels and ice</t>
  </si>
  <si>
    <t xml:space="preserve">Andes 5pcs chocolate mints
(320	20.8	19.2	3.2	35.2	3.2	32)
1/2 sweet earth PB patty
(165	9	4.5	13	8	1	210)
1/2 everything bagel
(120	1	0.25	4	23	1	315)
1/4 mozz
(60	3.75	2.625	4.5	1.5	0	142.5)
1 serving pickles
(0	0	0	0	1	0	260)
1 tbs mustard
(0.00	0.00	0.00	0.00	0.00	0.00	55.00)
6 pizza bagel bites,burnt in airfryer and cut off most of the burnt part
(270	7.5	4.5	9	42	1.5	540)
5 servings baked cheetos
(600	20	2.5	10	90	5	1050)
1.5 servings cheese pizza rolls totino
(315	12	3	7.5	46.5	1.5	480)
=320+165+120+60+0+0+270+600+315
=20.8+9+1+3.75+0+0+7.5+20+12
=19.2+4.5+0.25+2.6+0+0+4.5+2.5+3
=3.2+13+4+4.5+0+0+9+10+7.5
=35.2+8+23+1.5+1+0+42+90+46.5
=3.2+1+1+0+0+0+1.5+5+1.5
=32+210+315+142.5+260+55+540+1050+480
</t>
  </si>
  <si>
    <t>Woke up at 530 am by alarm and laid in bed 10 minutes then did normal routine. My neck/collar bone and upper trapz/levator scapula ached and still do at almost 7 am. Gave Growly his meds by oral syringe, fed babies, had my coffee, warmed up the refrigerated one from yesterday. Then another one made in keurig and read the Langman's readings on embryology for GA but didn't finish the Wed. one and had a reg BM, then made the 3rd cup of coffee and finished the reading and decided to print the readings for the course that I could read later as pdf instead of logging onto the campus library, bc it limits the readers from 2-10 per item. And I might not get to log in to read it later. I made some pizza bites by microwave as much faster and had my vitamins with 1/2 serving of them when cooled down and my 3rd cup coffee. Still have laundry in the dryer to fold but restarted again 2x, once when waking and moving around the roommate as he got home, and then while making pizza bites. I am going to review the ppt of the 2 hour FABS course before it starts right after the 1 hour GA LE today. But want to shower and get ready by 730 am. Measurements taken after breakfast and a BM and before finishing 3rd cup of coffee around 7am. The chiropractic procedures class was cool, we got closer to physical adjustments, still going over procedures but reviewed the bony landmarks of hand and pelvis mostly sacrum area. Had 5th cup of coffee at school and 6th cup a little right before my 7 pm client and the rest at 810 pm right after that client. I got home from class today at about 410 pm, bc no IPA class at 3 pm and took side streets. Same or faster than traffic, what Waze recommended. After client's went to gym and did the leg and back workout and think I got all machines, same weight used. My R hamstring itches, probably from sitting in cleaning 409 spray I brought before it dried completely and hairs growing in when I shave a few days ago. Saw the roommate there and forgot he works out on that time every day except Sunday. He told me to stay out his way like always in past. I managed to squeeze in my routine but the gym was busy, had to leave to other parts of routine then come back to the machines in order. Did the back rows, back latt pull downs, the inner thighs, missed the outer thighs completely, went to the bench press, then to the dead lifts, squats with barbell, then the front leg extension quads, back leg curls hamstrings and left without really stretching. Did only an upper body quick stretch of Rotator cuff muscles and neck. Had a kink in my neck this morning and during the break of FA LE put some CBD and biofreeze and used massage cane on it. Worked but felt it later, And after class it felt ok, but I got tired when home, and it started hurting or aching again, and felt it during my workout some. I also felt kind of dizzy from wearing my face mask and probably not getting enough oxygen. Only afterwards and some during bench press or bending forward and getting up fast like when disinfecting machines. And when getting out of car, they closed the off ramp on 91 to Main street without a warning and had to go around, fed the kitty again. I think it must be partially blind or have poor vision, the black kitten, bc it doesn't go immediately to the food. Have an 8 am lecture in CP1 class, then the first Cell Tissue Anatomy and Physiology LE for 1.5 hours or so. from 1-230 pm. Bed time was late due to waiting to put clothes in dryer and needing to spin the wash before putting in dryer and they weren't ready at 1048 pm. I got home around 920 pm from the gym.</t>
  </si>
  <si>
    <t>First Street Spanakopita pastries, 12 pastries per pkg, 1 serving is 4 pieces:</t>
  </si>
  <si>
    <t>bicep curls 3 sets 12 reps 15 lbs each arm
tricep kick backs, 3 sets 12 reps 15 lbs each arm
tricep pull downs, 3 sets 10 reps 30 lbs
deltoids side lifts, 3 sets 12 reps 5 lbs each arm
upper deltoids pectoralis major military press, 3 sets 12 reps 15 lbs each arm
deltoids upper trapz shoulder shrugs, 3 sets 12 reps 15 lbs each arm
obliques side twists, 1 set 12 reps 7.5 setting, 2 sets 12 reps 10.5 setting each side
outer thighs, 3 sets 12, 40 lbs</t>
  </si>
  <si>
    <t>vlasic pickles, serving is 2.5 pickle chips</t>
  </si>
  <si>
    <t xml:space="preserve">spanakopita pkg 12
(630	36	13.5	18	51	0	1050)
2 servings cheese pizza rolls
(420	16	4	10	62	2	640)
1 serving 8pcs Andes mint chocolates
(200	13	12	2	22	2	20)
1 everything bagel
(240.00	2.00	0.50	8.00	46.00	2.00	630.00)
1/4 cup mozzarella
(80	5	3.5	6	2	0	190)
6 of the Vlasic pickles high sodium per 2.5 pickles is 400 mg
(11.5	0	0	0	2.3	0	920)
1 tbs mustard
(0.00	0.00	0.00	0.00	0.00	0.00	55.00)
=630+420+200+240+80+11.5+0
=36+16+13+2+5+0+0
=13.5+4+12+1+3.5+0+0
=18+10+2+8+6+0+0
=51+62+22+46+2+2.3+0
=0+2+2+2+0+0+0
=1050+640+20+630+190+920+55
</t>
  </si>
  <si>
    <t xml:space="preserve">Woke up at 530 am by alarm, upper R back,neck,shoulders still ache. Stayed in bed until 6 am and got out as the roommate was unpacking his stuff from his arrival from work a few minutes after 530 am. Did normal routine with feeding Growly by syringe in mouth his meds, the babies their food, my 1st cup of coffee, checked into the smartabase covid19 app and looked at announcements in my canvas dashboard and emails and my personal email. Happy that my financial aid was direct deposited last night. That is super cool. If I need to refund my clients' their money I can do it all on my default amount instead of theirs. Homework is manageable, but homework sleep balance not so much if I really do everything when due for ideal preparation before classes. Going to eat breakfast the spinach spanakopita frozen First Street brand pastries in airfryer I got from Smart&amp;Final the other day. My lecture on virtual is CP1 for an hour then three hours to review the readings for the first CTAP course, then an hour to get ready for work. Planning on showering before first lecture, but might just review the items of readings. Measurements taken before breakfast and a BM. Had a sm reg BM before breakfast, after measurements and after 2nd cup of coffee and before 3rd cup coffee. Snacked on the spanakopita pastries, too early to eat them all 12 pcs, took my multivitamins with them. I work tonight from 5 pm to 10 pm and get up early for work a long day, first long Saturday from 8 am to 5 pm. Had the lecture that went over by an hour and almost a half, bc she recorded the 2nd topic, very informative though. Learned that men have a longer less mobile pelvis and truck drivers get SI joint pain more than females like I have but athletes that are males get the SI joint pain, bc women usually sit on one leg when sitting it kinks their neck sideways to adjust eyes to screen level to see and gives a headache to them. As one possible reason from instructor of CP1 class. Then after that course I had time to workout but didn't bc I finished the definitions and then looked at some of the pdf ppts for the 2nd course and took a nap for about 10-15 minutes before class, getting up by alarm 15 minutes before it started. Felt refreshed. Had some pizza rolls and some more at work before starting. Full schedule and had a mini break, called mom but transferred to nurse's station but couldn't speak to the nurse bc of HIPPA as she was with another patient. I wanted to make sure she is doing well and getting better. Last time I spoke to her yesterday or the day before yesterday she said she still feels really tired and feels like she is getting better only slightly and hadn't talked to Mo. I got home around 1020 pm and made a drink of Jameson over ice with a water bottle on the side. My tongue is burning from all the cheetos I ate yesterday and day before, maybe all the sodium on my tongue when driving to the labs and not enough water. I worked out befor work too, from 315 pm to 4 pm and went to work. Got there about 430 pm. Had time to spare and ate the pizza bites then. No snack on my mini. After work, Growly was really huffing and puffing for air. Princess ate his food with meds in it but I gave him meds manually with the oral syringe after finding out. Princess is fine. She took a water pill and the heart med and acts the same. She didn't pee more than normal and she doesn't sleep with her eyes open staring like Growly does with the heart meds. Shes a chihuahua miniature pinture mix. Super hyper normally and still the same. Thats  good to know. I also had a serving of the Andes chocolates in the afternoon at the last virtual class while listening to him. He made sense with the cells, and we didn't discuss the fact that ribosomes, a bunch of them in the cell are creating proteins that maintain the cell, and the RER creates proteins that are excreted out the cell in my genetics or biology courses I just took this Spring and Summer. That is a cool fact. Amazon's vendor with one of the CP1 paper copy books refunded me money but didn't say why, maybe bc I bought the digital order and they are connected or bc they just charged me 2 days ago for it that was ordered at the end of August I think or early September, and decided they don't have it. But I didn't request a refund. I messaged them asking why. Not sure if they replied. But I do have the etextbook version forever as it was available to buy. Ankles were very swollen when I took off my socks and changed into my dress to sleep in before drinking the drink I made for self. Updated this data. I had a headache earlier after the first class and it started about 1/3 to 1/2 through the 2nd virtual course. I drank some coffee the 5th cup to make it go away around 145 pm. It was a blinding vision. I checked my email and the vendor replied and said they knew it would be confusing to me to find out but they had a log error and when pulling the book it wasn't in stock so they refunded me the money. No worries. Bed by 1130 pm. </t>
  </si>
  <si>
    <t>Lunch Buddies Aldis brand snack packs fruit snacks, serving is 1 pouch:</t>
  </si>
  <si>
    <t>Clancys Apple chips Aldi brand dehydrated red apple snack, sering is 1 oz, 12 chips</t>
  </si>
  <si>
    <t>inner thighs, 3 sets 12, 40 lbs
quads leg extension/knee extension, 3 sets 12, 40 lbs
quads/glutes/hips squats barbell 3 sets 12, 55 lbs
hamstrings leg curls sitting machine, 3 sets 12, 40 lbs
stretches shoulders/neck/triceps/pecs</t>
  </si>
  <si>
    <t>Celeste cheese pizza for one, Smart&amp;Final</t>
  </si>
  <si>
    <t xml:space="preserve">1 everything bagel
(240.00	2.00	0.50	8.00	46.00	2.00	630.00)
1/4 cup mozzarella
(80	5	3.5	6	2	0	190)
3 of the Vlasic pickles high sodium per 2.5 pickles is 400 mg
(5.75	0	0	0	1.15	0	460)
1 tbs mustard
(0.00	0.00	0.00	0.00	0.00	0.00	55.00)
1 everything bagel
(240.00	2.00	0.50	8.00	46.00	2.00	630.00)
8 fruit snacks little snack packs Aldis
(640.00	0.00	0.00	8.00	152.00	0.00	160.00)
16 pcs/slices dehydrated Aldis brand apple slices
(186.67	9.33	1.33	0.00	26.67	2.67	20.00)
Celest pizza for one Smart &amp; Final serving is 1 pizza
(380.00	17.00	9.00	9.00	48.00	3.00	880.00)
Andes chocolates 3 pcs
(75	4.875	4.5	0.75	8.25	0.75	7.5)
avocado small in airfryer on top of celeste cheese pizza
(241.5	21.75	3	3	12.75	13.5	10.5)
=240+80+5.75+0+240+640+187+380+75+242
=2+5+0+02+0+9+17+5+22
=1+3.5+0+0+1+0+1+9+5+3
=8+6+0+0+8+8+0+9+1+3
=46+2+1.15+0+46+152+27+48+8+13
=2+0+0+0+2+0+3+3+1+14
=630+190+460+55+630+160+20+880+8+11
</t>
  </si>
  <si>
    <t>Woke up at 530 am and got out of bed 10 minutes later. Made my 1st cup of coffee and gave Growly his meds by oral syringe then fed babies and did the dishes from yesterday of the roommate's and after babies done eating. I woke up and went to bed with that pain in upper right trapezius levator scapula area. The coffee helps make the pain go away. But still there, not sure what it is from. I have work from 8 am to 5 pm today. Took measurements after 1st cup of coffee and before a reg sm BM and after the BM only went down by 1/8" around abdominal area to 30 3/8" at BB and 32 1/8" at 2" below BB. Made a bagel with pickles mustard and mozzarella in airfryer with cheese only and had multivitamins after 630 alarm and then got ready for work. At work on my break for an hour had an everything bagel, called Mom's hospital. Couldn't speak to her but the charge nurse said, she has blood in her stool last 2 days and they are checking on it, and needs a colonoscopy but it could be hemorhoids or diverticulitis. Also, her white blood cells dropped which is good because they are at a healthy level not fighting infection and red blood cells and hemoglobin is at a 13 instead of a 6 or 7 range and that is good. She is tired though and can't talk too much. That's good, hopefully the blood is just something that can be fixed easily with meds or treatment. Hopefully she gets better soon. Love that lady. I need to check on my pops too, he's a cool dude I love too. Was going to do that after work but got home and wanted to do some cardio on the bags for a workout, no movtivation other than to sweat. Did that for 5 rounds 3 minutes with 1 minute rests and then did the machines for legs on inner/outer/quads with leg extensions/hamstrings with leg curls and the side lifts for obliques with 20 kg. 3 sets of 10-15 depending on weight. Ankles were slightly swollen with compression socks and new shorts that are spandex like volleyball player shorts. The roommate came in right when I was finishing up with stretches at the gym and looked upset I was there and I heard him say something and bro! and sigh. Its not his gym and he should have gotten there earlier bc they close at 8 pm on Saturdays and he checked in at 720 pm. Didn't eat any more after work, but on break did get some fruit snacks and apple chips and had about 16 apple chips bw lunch and drive home from work, and 5 fruit snacks at lunch and 3 after work and 5th cup kpod coffee after work, with 4th cup at lunch. Some dude, that was doing Thai Kwon Do wanted to offer me some tips into my 3rd round while resting the minute before it. And I said no thank you to him and its funny that he didn't see me working out with a timer that I had to tell him I have my own workout and may or may not have thanked him. But he's not my hero and I'm not his fan. Everyone has a style and I was doing boxing not legs today. Had another drink for 2 total then made a celeste cheese pizza in airfryer with last unripe avocado on top in airfryer. That was around 920 pm.Listened to country music once started drinking. I also had 2-3 pieces of Andes chocolates as I grabbed 5 pcs but shared with the babies. Went to bed after watching an episode of Only Murderers in the Building on Hulu. That was 1030 pm ish.</t>
  </si>
  <si>
    <t>Woke up at 530 am by alarm, got up a couple times in night to pee and when the roommate got home I thought it was 530 am but it was after 1145 pm but before 12 am. It woke me up but I laid in bed until I went to sleep a few minutes later. Got out of bed around 540 am and did normal routine, coffee, clean pet mess, Growly meds by syringe in mouth, need more of his meds real soon a few days like 4 more of the 24 hour pill left, all meds, fed babies their normal food, restarted dryer then had a 2nd cup of coffee. My roommate put a book on my desk in the morning that I didn't to check to see if it arrived. It was the last expected book as one book was refunded by vendor for not having it. I have it on kindle but would like the physical book. After 2nd cup of coffee put away clothes and made 3rd cup of coffee, had a BM, slightly diarhea a med amt. Then updated this database and took measurements before breakfast and vitamins. Then showered to get ready for work. Work 9am-5pm. Then a couples at 7 pm. Regular clients didn't see last month, they usually get massages on Friday at 5 pm. My availability changed bc of school and thats cool they could work with my schedule. Ankles were slightly swollen in the morning. Had about 11-13 cheese pizza rolls of course sharing with Princess. But microwaved to take multivitamins with. Washed the covers on bed too. But enough hot water to shower. Then at work for lunch had a double salmon poki bowl with brown rice, ginger, wasabi, masago, cucumbers, and ponzu sauce and cream cheese. Didn't taste the best, had that fish taste. But just ate more meninge burning wasabe in each bite. Had my 4th cup of kpod coffee at lunch and no 5th cup by the time I left work to go to my 6 pm couples massage in South Corona. I had 5 fruit snacks on the way there, and 1 more on the way back home from the couples massage and Target to get big headbands that could keep more of my stray hairs out my face and ears and eyes. After work had 2 Jameson whiskey on ice and 20 cheese pizza rolls microwaved. Had laundry in wash by 1030 pm, and finished pizza rolls by 1140 pm. Did the receipts for clients, and had 2 clients I massaged before want to book a massage, but I am busy with homework and keeping on top my studies. I can't take on more appointments. Like I said, busy when I need time to study, and slow AF when not in school or doing anything other than work. Went to bed at 1230 am and the roommate got home and made a little noise later around 1 am.</t>
  </si>
  <si>
    <t>Plain bagels, First Street Smart&amp;Final brand</t>
  </si>
  <si>
    <t>31 pizza rolls cheese totino
(420	16	4	10	62	2	640)
6 fruit snacks
(480	0	0	6	114	0	120)
2 servings apple chips
(280	14	2	0	40	4	30)
double salmon poke bowl with cucumbers, ginger, brown rice, ponzu sauce, masago
(578.5	11.075	2.15	17.7	101.75	8.25	1731)
cream cheese 1/8th a pkg in poke bowl
(51	5.1	3.2	1.1	0.4	0	43)
=420+480+280+579+51
=16+0+14+11+5
=4+0+2+2+3
=10+6+0+18+1
=62+114+40+102+0.4
=2+0+4+8+0
=640+120+30+1731+43</t>
  </si>
  <si>
    <t>battered zucchini sticks, Anchor Smart &amp; Final brand frozen foods, serving 5 pcs/sticks</t>
  </si>
  <si>
    <t>quads squats barbl +20, pec maj/ant delt milt prs +10, triceps chair dip body weight 147, triceps over head dumbell 20 lbs, deltoids shoulder flys lateral lifts dumbells +3 lbs, hamstrings deadlift +10 lbs dumbells</t>
  </si>
  <si>
    <t xml:space="preserve">quads squats barbell 1 set 12 reps 65 lbs, 2 sets 12 reps 85 lbs, +20 lbs
bicep curls 3 sets 12 reps 15 lbs each arm
tricep kick backs, 3 sets 12 reps 15 lbs each arm
deltoids side lifts, 3 sets 12 reps 8 lbs each arm, +3 lbs each deltoid
upper deltoids pectoralis major military press, 3 sets 12 reps 20 lbs each arm,+10 lbs total
deltoids upper trapz shoulder shrugs, 3 sets 12 reps 20 lbs each arm, +10 lbs total
hamstrings deadlifts dumbells, 3 sets/12 reps 40 lbs, +10 lbs 
rhomboids/lwr trapezius back row machine 40 lbs
lattisimus dorsi back pull down machine 1 set/12 reps 50 lbs, 2 sets/12 reps 60 lbs,+10 lbs
</t>
  </si>
  <si>
    <t xml:space="preserve">Woke up at 530 am by alarm but stayed in bed until 6 am tired. Got 5 hours sleep, did normal routine, need to get more wet cat food had 2 cans left after feeding babies will do on my break. First class at 10 am, texted Dad to ask how he was doing and tell him about Mom around 720 am. Gave Growly his meds first thing in the morning, and fed babies, folded laundry, sent out receipt and SOAP notes before that. Last night took my M-Th schedule for biz off availability. Because more clients are booking. I don't have the time to keep up, it takes time to get there, do the massage, time to pack up and get back home that takes from studying and doing well in my DC coursework. I am thankful to have them, but they can book on the weekend and the MLD pkg clients can get a refund. This is exactly why I plan to not take any more pkg clients bc of not having time right now. Last night I got back from clients and Target at around 1030 to 1045 pm. I got to the Target only 2 miles from them at 945 pm. It could have been earlier but my Square app wasn't working and this happened after logging off the client's wifi network. I was able to read a phone update about apps and check to use mobile data then go into range of a mobile data out front for Tmobile, but it took about 10-15 minutes extra time. Today after 2 cups of coffee and while doing the desk notes to clients and reviewing some emails and the school announcements, I had a reg BM, then made 3rd cup of coffee folded the linens and laundry, put the pillow and other blanket in dryer and started the roommate's laundry. I put the pillow and other blanket on the bed in the wash after the linens from client's before bed to wash last night. For breakfast had an airfryed plain bagel with 1/4 cup mozz over it in airfryer. Worked on the 3rd cup of coffee with the bagel and took my multivitamins with the bagel. Might work out today, since it would be a great habit/routine to start doing again. Would be back and arms or close to it and squats missed last workout. It will likely be after 3 pm if I do workout as my courses end but study time begins after 230 pm. I also have a break bw 12 pm and 130 pm bw FABS and CTAP courses for the day's LEs. Took measurements after a BM and after the breakfast and multivitamins about 20 minutes afterwards. Did the dishes then showered and got ready for the day. Was tired during 2nd LE of CTAP course and almost fell asleep but stayed in with camera off till last half hour. Worked out at gym bw 315-420 pm and added a few exercises I forgot about. Mostly arms, back, and quads/hams minimal. Added a few lbs to workout routines. Not busy but started getting busy near the end of my workout. Also, I forgot that I developed some sort of fungal foot infection of dermis between big toe and two little toes. Not sure when I got it and not sure if the shower sharing with the roommate or the sketchers shoes with open ankles that I wore without disinfecting with out socks that I bought about a month ago. I didn't find any athletes spray but went to my van and put some teatree oil with coconut oil on it 24 drops per 1 oz or so oil on it and it stopped itching but made a mess on my linens where I put my foot to put the teatree oil on it. I did that this morning after the shower. It feels better. I need to start doing that every morning and see if it helps it go away or makes it go away or at least the symptoms. I have it on my desk next to my vitamins, lotion, and books and clock. It didn't, it itched badly once I took my socks off, bc the tea tree oil was under light whole time and deactivated in oil, so I went to van and got the one that is essential oil not mixed in carrier oil and put on toes scratching them and kept it in drawer of desk, waited a while to stop itching, put on compression socks, ankles super swollen and itching low legs. Watched the pre-recorded video to take class quiz tomorrow on PNS in 2nd half of part 1 video of human birth defects carried over from week 1. This is now week 2 or module 2. Took notes, waited for itching in legs to go away but the toes stopped itching. I then made a grilled cheese in airfryer with serving of 3 Vlasic pickle chips and mustard with mozz cheese on a brioche bun from Smart&amp;Final. Then I watched the video for our assignment due in intro to phys assessment due tomorrow by 12 pm. Answered questions 4 while watching but didn't see/hear the answers from the Physician on Ted Talk. Got 2/4 right, but tbh one question was multiple check boxes and I picked one extra one but got 2 right, and didn't know that or hear that the guy that discovered percussion or invented it or used it was in Paris. I honestly listened 2x and didn't hear it come up, but that was a question. The assignment said only 1 attempt allowed, but the video asked to retake quiz so I did, and it picked my highest score after giving me the answers on the 1st quiz. So not sure if the highest score will be kept. Mine was a 4/4 on 2nd attempt and a 2/4 on 1st attempt. I had a Jameson and water when looking at the video a 2nd time and it made it more interesting to pay attention to. Was done by 9:45 pm. </t>
  </si>
  <si>
    <t>brioche Artesano brand Smart&amp;Final hamburger buns</t>
  </si>
  <si>
    <t xml:space="preserve">about 24 pizza rolls cheese totino
(315	12	3	7.5	46.5	1.5	480)
1 plain bagel
(230	1	0.5	8	46	2	400)
1/4 cup mozz
(60	3.75	2.625	4.5	1.5	0	142.5)
3 fruit snacks
(240	0	0	3	57	0	60)
2 servings fried zucchini sticks
(300	12	2	4	40	2	720)
1/4 cup mozzarella
(80	5	3.5	6	2	0	190)
3 of the Vlasic pickles high sodium per 2.5 pickles is 400 mg
(5.75	0	0	0	1.15	0	460)
1 tbs mustard
(0.00	0.00	0.00	0.00	0.00	0.00	55.00)
brioche bun
(220	4.5	2.5	7	39	1	280)
=315+230+60+240+300+80+6+0+220
=12+1+4+0+12+5+0+0+4.5
=3+1+3+0+2+3.5+0+0+2.5
=8+8+5+3+4+6+0+0+7
=47+46+2+57+40+2+1+0+39
=1.5+2+0+0+2+0+0+0+1
=480+400+143+60+720+190+460+55+280
</t>
  </si>
  <si>
    <t>inner thighs, 3 sets 12-15reps, 40-50 lbs
quads leg extension/knee extension, 3 sets 12, 40 lbs
outer thighs, 3 sets 12-15 reps, 40-50 lbs
hamstrings leg curls sitting machine, 3 sets 12-15 reps, 40 lbs
stretches shoulders/neck/triceps/pecs/hams/quads/chest/shoulders</t>
  </si>
  <si>
    <t>2 beyond patties
(520	36	10	40	10	4	700)
1/2 cup mozz
(120	7.5	5.25	9	3	0	285)
2 tbs mustard
(0	0	0	0	0	0	110)
6 vlasic pickles
(10	0	0	0	2	0	800)
1/2 pc Andes chocolate
(12.50	0.81	0.75	0.13	1.38	0.13	1.25)
1/8 lg hershey symphony chocolate about 1/3 a reg size candy bar
(400.00	24.00	13.33	8.00	45.33	2.67	133.33)
3 fruit snacks
(240	0	0	3	57	0	60)
1 plain bagel
(230	1	0.5	8	46	2	400)
1 brioche bun artesano 
(220	4.5	2.5	7	39	1	280)
1 plain bagel
(230	1	0.5	8	46	2	400)
=520+120+0+10+13+400+240+230+220+230
=36+8+0+0+1+24+0+1+5+1
=10+5+0+0+1+13+0+1+3+1
=40+9+0+0+0+8+3+8+7+8
=10+3+0+2+1+45+57+46+39+46
=4+0+0+0+0+3+0+2+1+2
=700+285+110+800+1+133+60+400+280+400</t>
  </si>
  <si>
    <t>Woke up at 530 am by alarm but went to bed until 630 alarm and got up and out of bed. Got about 6.5 hours sleep bc I went to bed at around 11 pm last night. Did normal routine in am, my coffee, pets pee outside, clean pet messes, Growly's meds, feed babies, had a reg BM after 1st cup of coffee and while starting the 2nd cup of coffee. Bw that time was looking at emails and making payments and checking orders and sent my older sister a birthday gift with gift receipt through Amazon that arrives tonight by 10 pm but her birthday is Monday. Also, noted in emails that I have 2 FABS quizzes next week. Time to start studying up and I already cleared my weekday availability but have an appointment today at 7 that is local thankfully but will drag my machine into it in an apartment complex by my gym. And one tomorrow at 7 pm. Actually, I keep her on rotation weekly. Bc I can park right in front of her house and she lives right off the fwy and I do too, and it takes just as long to get to her house as the apt nearby taking side streets and she tips me good every time. As of the moment I haven't decided to let anyone interfere with that schedule. Another great client wanted to add a family massage today, but not able to, it takes too long, practically all day. That is valuable study, relaxing, organizing, working out time. Took my measurements around 8 am after a reg BM and halfway through 2nd coffee. Want to shower before my 10 am class. I was able to prep for the LE material last night thankfully. Ankles weren't too swollen when I got up but by time I took measurements and looked at weight scale they started getting swollen right below the malleolas both legs. Finished 2nd cup coffee and had the 3rd cup and my 3 multivitatmin gummies while making and eating a plain bagel with mozz, mustard, pickles, and a beyond meat patty I made in airfryer for 20 minutes while doing the dishes and with its pair. 2 per pkg. Then fed the cats outside but was lazy and didn't bring gate key with me, when I was sliding the can uder the fence, the bigger cat crowded out the kitten or smaller one and tried to pull the cat food can towards her or him and accidentally caught my index finger on the side or lateral edge and gave me a little cut that bled. I cleaned it up with rubbing alcohol immediately then gave another can of wet cat food to the smaller cat under fence. I shared some of my burger with the babies. I am not eating while in GA1 again, bc last time I didn't eat my burger bc the LE included images of birth defects and genitalia when hormones in system of female like testosterone or androgens when pregnant from a adrenal gland tumor and labia shaped like testes were shown in an image I turned away not to see bc he said thats what it was. Ruined my appetite. That's why I didn't eat all of the burger and threw away 1/4 of it left when it was the 3/4 burger left over from night before as I shared 1/4 with babies the night before and only ate 1/2 of it that day during LE on Wed or Thur. Got my ear pods last night and charging them. They will be useful while working out as long as they don't fall out of my ear, and also at work to prevent my stray hairs from curling into my ear canal and making it itch/tickle uncomfortably while massaging someone. Raising my shoulder to deflect the hairs NEVER works. Always have to wipe my hands or use bottom sheet to pull hair aside. Its so annoying while massaging a client. Looked at my notes on prerecorded LE for today's class at 10 am then showered and got ready for the day. Worked out after the voluntary zoom health integrative rounds on reading radiology and case studies and getting into that 3 yr program with the DACBR-diplomat of American Chiropractic Board of Radiology, &lt;350 members are post DC radiologists. I got to gym before 130 pm, did the legs normal weights and the side twists obliques, all machines, inner/outer/quads extensions/hamstrings curls. Did squats yesterday, then did 7 3-minute rounds for a total workout time of 35-45 minutes cardio, but actually only 21 minutes movement of cardio. Broke a sweat, total body kickboxing. Only one there after a few minutes, worked out with my new air pods, was great, looked quiet in gym, and great for moderating. But the My Chemical Romance Station had some crappy songs to kickbox to, and some fast paced ones. Cooled down with stretches to country then exited. I went to the animal hospital in person after calling before my workout and getting an unfriendly and not helpful, more smart ass receptionist, Corrine, wanted me to list the names of the meds when I told her Growly needed all 3 and that she should expect a bad review. I gave the rvew in gym lot beofre workout 3 stars and why. Then after gym saw them only got 2 meds and had to call their 3rd party vendor to speak to a guy very friendly about the vetmedin. Dr Kermit Smith the same guy we saw at the ER for Growly a few months ago was there. But didn't say hi. Corrine I expected to be the red head obese receptionist, but was probably the obese dark haired 50's/70s grease the movie bad girl chick with all the tattoos like an XXL Betty Page that was at the desk. Didn't talk to her about my call and she didn't ask. Just signed in and was out in less than 25 minutes.  Went home and got a call from Dad when exiting Hidden Valley to take side streets because I told him about Mom's condition in hospital and having blood in stool yesterday morning when calling to check on him. He hasn't heard anything about it and was trying to talk to Mo but hasn't been able to get a hold of her. He still cares for my Mom and has always cared for her. He is lonely and many older white ladies probably remind him of his last wife who complained about her body all the time and how sick she is. I went home from vet after calling in their lot to secure the vetmedin and he said he would rush it but called me later at home and I ddin't get it but checked email and saw the missed call he sent about it. Called and he told me that he has to wait on their doctors to approve the change to 1.25 mg of the 5 in 4 parts on prescription. He said by tomorrow is good chance. They are in Riverside and close at 6 pm open at 9 am M-F. I watched part 2 and half of part 3 and need part 4 to study before tomorrows quiz. I forgot the prequiz means before class and missed out on 5 pts when I studied for it. I also refunded the two MLD clients I rarely massage their 180 and 225 balance through Square. I had to cancel one of their appts on Monday. Sent them an email and proof of cancelling and receipts of refund and explained why and when they could expect their cards to be refunded. Have a client at 7 pm up the street 10 minutes from me by my gym. She confirmed the appointment. Had 5th kpod kaui brand coffee at around 5 pm after it cooled off and while watching part3 of prerecorded lectures. Gave Growly his meds mixed with the stuff they gave me today, same pills, should be, at around 615 pm when I stopped the prerecorded LEs to get ready for 7 pm client. Before 10 am LE had a beyond patty on bagel with mozz/mustard/pickls, then a 4th kpod coffee, after the LEs and voluntary zoom intg health club, did the gym and errand, then got home and fed the cat and dogs 2nd time and had the 2nd beyond patty on brioche bun warmed in toaster and microwave with mozz/pickles/mustard. And about half a row or 1/6th the Hersheys lg toffee almond symphony candy bar I bought last week at Aldis I think. It has been in my drawer with the Andes chocolates. Had a 1/2 pc this morning of that and yesterday evening. They're all gone. Left for client's around 645 pm.</t>
  </si>
  <si>
    <t xml:space="preserve">Woke up at 530 am by alarm laid in bed until it went off again at 540 am, got out of bed, took babies outside, made my 1st cup of coffee, gave Growly his meds by mouth syringe, fed babies, folded laundry and put away from last night, and cleaned a pet mess I noticed by the table. Then had a 2nd cup of coffee and went to my laptop to update it and it was updating some Windows updates for 5 minutes of my time. I had a bagel with mozz last night and needed to add that into the nutrition for the day. Ankles weren't too swollen when I got up this moring or when updating this database before starting day. I called Mom around 630 am my time and spoke to her at 830 her time in the morning and she is doing better, is talking, can't sleep bc of steroids, Becky is in her trailer with her dog Cody. I told her Dad still cares about her and she said thats nice. She had a hemorhoid and that was why blood was in her poop. She hasn't been eating much either. But its not Filipino food could be another reason. She does eat American staples but always has at least some rice or fish or spam. I called Dad to let him know her condition and he asked about my older sister bc he hasn't spoken to her everytime he calls or texts no reply. He is worried about her. But I let him know she is very busy and probably can't talk and he probably knows they have odd hours, so when she calls him he is sleeping and when he calls her she is sleeping. I had a reg sm BM after talking to them and before checking out the Draw it To Know it, after 2nd cup of coffee. I tested out the pen and my HP laptop with the mouse pad attached for the finger is lousy, the edges make the movement go off the page or not stop and the pen doesn't work finely for turns, stopping, or emphasizing anything. It looks much worse than using pen and paper. Maybe I should buy an expensive device to help me out. Or a side drawing pad might work, not sure. Have to look into it. My older sister just called me right when I brought her up around 7 am and I had a pizza in airfryer, the personal size celeste cheese pizza. It was done by the time we ended the call. They are doing a celebration of life for my mom's deceased husband, he was actually 55, going to be 56 tomorrow, but due to side effects of obesity and not working out and stress at work and sitting long hours and flying, it caught up to him and he had a pace maker in his heart and kidney disease when he caught the Covid-Sars virus and died from organ failure. I can't make the date on a Saturday even if they do zoom bc I work until 5 pm and thats 7 pm their time and can't miss work, the only days I work. It is sad he died eary, and he was already living in a poor quality of health. Had my multivitamins with my pizza and 3rd cup coffee, and showered and got ready for zoom meeting. I have campus courses after the am courses to go to that start at 1 pm. I told Mo that Dad has been trying to reach her and she said she just talked to him before me and they both have odd hours and she doesn't accept private calls and she has texted him but he didn't reply. Measurements taken before eating the pizza and vitamins. did the courses in morning then travelled to the on campus courses, had an aura headache around 10 am that I had the 4th cup of coffee ready for while in that 2nd course of day virtually a couple hours before driving to campus, but let it cool while snacking on a plain bagel in air fryer with mozz cheese. Before that was a cheese celeste pizza. Drank the coffee and had to wait for the blinding aura migraine part to subside, but was able to participate, it started after the group extra credit project on ANS material of the pre and  postganglionic PNS. A different group member sent it in this time. We didn't see the solutions and I watched the lectures, at first, we had to combine all the other side knowledge to determine the lengths of the nerve fibers as long or short and if parasympathetic and sympathetic where are they located. Have a quiz on week 1 of the week1-8 human development tomorrow am, and got the examsoft software going late in evening after returning from client's house many hours later with laundry in wash. Took a serving of Jameson over ice while doing stressful things like cleaning a pee mess, setting aside the covers on bed the dogs peed on that were just washed to be washed after my linens from massage client earlier, my regular, super nice lady. Only one I am keeping on M-Th. Did the dishes of roommates and fed the kitten outside. I keep feeding her and she is still so skinny. She meows and its cute. The older or bigger cat likes her and they both eat the food I give them, not sure if they are related or how the kitten showed up but it did about 2-3 weeks ago. They get along oddly enough. The larger one is adopted by me and some other neighbors. Very friendly kitties. I have to study the material but wanted to alleviate stress. WE palpated in the on campus courses today and it was more difficult than I imagined finding the PSIS and other bony landmarks on other people and even myself and pubic bones. But we managed. When I got home around 608 pm Growly had another pass out seizure, shit and pee ran out him easily and he was out a few minutes and been coughing a lot with normal meds. He has been coughing more. Poor little guy, he woke up, and I couldn't keep him from passing out before feeding the small cat when returning from campus. I did normal massage from his chest to head to pull oxygenated blood up and out lung cavity but it didn't work today. He got up and was wobbly and out of it and tried to get off couch but fell and tried walking that helped him wake up but couldn't keep his balance and fell a few times. Then went under the bed, the roommate got him out and fed him some lunch meat, helped him out. Then I gave him his meds and went to client's. I had a bloated sick feeling in gut when there, probably from the 9-10 fruit snacks I ate in van on way to campus and back from campus total, the 5th cup kpod coffee vanilla last one left in van,  and the everything bagel not toasted and straight from the bag that was in the van 2-3 days since last I worked on Sunday. It is WEd. I did laundry and had a drink, downloaded the examplify software figured out while digesting the drink I had and it worked and was able to download the exam and wait for the passcode the instructor will give tomorrow. My first time having this sort of software for proctoring exams. We have to have a 2nd device on to view us and assure not cheating via zoom logged into Th LE with exam at 8 am, so no sleeping in past 530 am tomorrow and need to shower, dry hair, make up, brush teeth, etc before class and quiz on wk 1 starts. I think it is 20 minutes. and multiple choice. Also, while digesting the drink after the days activities other than studying for quiz 1. Made another celeste cheese pizza in airfryer but burned it at 9 minutes at 400 degrees. Just like the edges this morning. Went to bed around 11 pm, then woke up at 230 am and studied the ppt slides on the quiz material of wk 1, and went back to bed at 330 after studying while eating about 12 zucchini fingers. </t>
  </si>
  <si>
    <t xml:space="preserve">2 plain bagels
(460.00	2.00	1.00	16.00	92.00	4.00	800.00)
1/2 cup mozz
(120.00	7.50	5.25	9.00	3.00	0.00	285.00)
2 celeste cheese pizzas
(760.00	34.00	18.00	18.00	96.00	6.00	1760.00)
1 Everything Bagel
(240.00	2.00	0.50	8.00	46.00	2.00	630.00)
9 fruit snacks
(720.00	0.00	0.00	9.00	171.00	0.00	180.00)
1 bag Apple chips
(630.00	31.50	4.50	0.00	90.00	9.00	67.50)
12 pcs fried zucchini
(360.00	14.40	2.40	4.80	48.00	2.40	864.00)
=460+120+760+240+720+630+360
=2+7.5+34+2+0+31.5+14.4
=1+5.25+18+0.5+0+4.5+2.4
=16+9+18+8+9+0+4.8
=92+3+96+46+171+90+48
=4+0+6+2+0+9+2.4
=800+285+1760+630+180+67.5+864
</t>
  </si>
  <si>
    <t xml:space="preserve">2 plain bagel
(460.00	2.00	1.00	16.00	92.00	4.00	800.00)
1/2 cup mozz
(120.00	7.50	5.25	9.00	3.00	0.00	285.00)
16 fried zucchini
(480.00	19.20	3.20	6.40	64.00	3.20	1152.00)
8 fruit snacks
(640.00	0.00	0.00	8.00	152.00	0.00	160.00)
Brioche bun
(220	4.5	2.5	7	39	1	280)
1/8 hersheys or 1/3 normal sz hershey bar
(150	9	5	2	17	1	50)
brioche bun
(220	4.5	2.5	7	39	1	280)
1/3 mozz
(80	5	3.5	6	2	0	190)
9 pcs zucchini fingers
(270.00	10.80	1.80	3.60	36.00	1.80	648.00)
=460+120+480+640+220+150+220+80+270
=2+7.5+19.2+0+4.5+9+4.5+5+10.8
=1+5.25+3.2+0+2.5+5+2.5+3.5+1.8
=16+9+6.4+8+7+2+7+6+3.6
=92+3+64+152+39+17+39+2+36
=4+0+3.2+0+1+1+1+0+1.8
=800+285+1152+160+280+50+280+190+684
</t>
  </si>
  <si>
    <t xml:space="preserve">Woke up at 530 am, did normal routine, not much sleep last night, gave Growly his meds, fed babies, had 1st cup of coffee, restarted dryer, had 1st BM after 1st cup coffee then another after 2nd cup in am while studying before the quiz. I also had breakfast before taking measurements, a bagel with mozz cheese and about 9 pcs fried zucchine fingers in airfryer from freezer. Was tired and stressed. Had to set up the 2nd device for zoom to show me not cheating and fiddled with the laptop that was slow and missed a shower until break time at the 2nd LE of FABS1 around 954 am. I did good on quiz, 12/15, about what I expected to do, for the questions. And was tired. No nap, after the lectures, made zucchini during the 2nd LE of day FABS1 and ate on the way to campus LE on CP1. We did some more SI jt manipulations and palpated the bony landmarks but did the gapping and dynamic gapping ?? forget last name and didn't look at lab manual, just followed demo best. Our group all took turns on table with each other separately. On the way home had to go to Riverside to get Growly's meds, the guy is really nice, he made a liquid cold meds that has to be refrigerated, and I was going to workout my arms and back on way home but his meds might have spoiled in the van, so I dropped it home and had a serving of Jameson and another plain bagel with mozz and 3 pickles Vlasic brand in airfryer except pickles. I also had 4 fruit snacks on way to campus and 4 on the way to the pet pharmacy in Riverside. Paid cash with the cash a client gave me, $60 + my own. I stopped off to get fuel with my cash tips from work on the way to campus. I also had a brioche bun with mozz in airfryer in 2nd lecture when making zucchini to eat later. Took measurements around 945 before my quick shower because the break was at 954 am. Measurements taken after eating the 3am zucchini, the plain bagel and brioche bun with mozz, 2 sm BMs after the 3 am zucchini and before the real breakfast of day, and a serving of zucchini for breakfast before any of my courses started. At home had a serving of Jameson, watched the episode this week on hulu of Murderers in the Bldg, and another while watching it and then afterwards updated this listening to the usual spotify country station. I have a couple quizzes in FABS next week and no real time to study, but tomorrow and have a couple of LEs tomorrow then work from 5-10 pm and all day Sat and Sun from open to 5 pm and a client on Sunday at 7 pm. Watched that tv show of 1/2 hour, listened to country music and sang along then watched a romcom I bought for $4 or $5 a month ago that I didn't get around to watching on Vudu and finished the bottle with about 3 drinks in total or 3.5 drinks Jameson. Had some more zucchini fried fingers and a brioche bun and the bagel and mozz to unwind and prepare for my long weekend. No workout today. But will squeeze one in tomorrow if time allows before work. Just arms and maybe back. Nothing cardio. Don't want to sweat. </t>
  </si>
  <si>
    <t>Cheetos flavored popcorn, 2 cups is one serving</t>
  </si>
  <si>
    <t xml:space="preserve">Woke up at 530 am by alarm and snoozed for 10 minutes getting up at 540 am. Washed my clothes hanging up by bed bc Goody or Growly peed on edge of bed and got the long night gowns and dresses hanging up. That bastard! I also washed the linens and covers and mattress pad and replaced with fresh ones being careful to watch Goody. He is usually the one that prefers peeing on all the couches and bedding. Before doing that I did normal routine, no pet messes to clean surprisingly, since we all went to bed around 910 pm and I didn't take them outside since 8 pm. Gave Growly his meds and fed the babies, had my 1st cup of coffee and made a 2nd cup of coffee while roommate was coming in and I had the clothes in wash washing before that time and after feeding babies. Made a brioche bun with mozz for breakfast then had my vitamins 3 of them and the roommate kept announcing the shit he had to take, and realized I had to take one and had a sm BM before drinking my 2nd cup of coffee. Finished it and did the bedding on the bed replacing it and putting the old ones by wash to wash. I have a class LE in CP1 at 8 am for an hour, then CTAP for an hour and a half at 230 pm. I am going to use that bw time to workout at the gym. I should use it to study for quiz in FTABS on Monday, but I can't force myself to study all the time bc I get ADD and have to do that thing whatever it is until it goes away. Ankles weren't swollen when I woke up at all, maybe the sleep helped. Got plenty of it. Even though I ate a ton of sodium yesterday almost twice the daily limit. My ankles are wrinkled like a deflated balloon. They could swell up later. Had the 8-9 am LE then went to gym, chilly outside, and had to put on the heater in the van. Started my workout around 945 am and worked out until about 11 am. Back, arms, and some abs. 3 sets of 8-12 reps same weights overall. Then went to Stater Bros and got some groceries. Came home disinfected the groceries and then put away the dresses and lifted the bottoms onto the tops of hangers so the dogs won't pee on them next time. Put linens in dryer and covers and mattress pad and the roommate's laundry in the washer then had myself a 4th cup of coffee, was getting a blinding aura that reached around to my right eye while driving. It went away as soon as I drank it cold. Had a brioche bun with mozz in airfryer, 3 large bella mushrooms in airfryer before that, and 1 tbs mustard and 4 vlasic pickles on the brioche bun with 3 cups cheetos flavored popcorn. Have class at 1 pm, then when that's over will get ready for work, maybe take a nap since I work late tonight and get up early tomorrow for a long day from 8 am to 5 pm. </t>
  </si>
  <si>
    <t>bella mushroom 3 oz, calorieking.com</t>
  </si>
  <si>
    <t>back rows +10 to 50 lbs instead of 40 lbs, back latts pull down different machine 50 lbs, -10 lbs from 60 lbs last time muscle group worked</t>
  </si>
  <si>
    <t xml:space="preserve">bicep curls 3 sets 12 reps 15 lbs each arm
tricep kick backs, 3 sets 12 reps 15 lbs each arm
deltoids side lifts, 3 sets 12 reps 8 lbs each arm
upper deltoids pectoralis major military press, 3 sets 12 reps 20 lbs each arm
deltoids upper trapz shoulder shrugs, 3 sets 12 reps 20 lbs each arm
hamstrings deadlifts dumbells, 3 sets/12 reps 40 lbs 
rhomboids/lwr trapezius back row machine 50 lbs, +10 lbs
lattisimus dorsi back pull down machine 1 set/12 reps 50 lbs, 2 sets/12 reps 50 lbs,-10 lbs
abs sit ups 3 set 10 reps
abs lower leg lifts 3 sets 10 reps
tricep pull down 3 sets 10-12 reps 30-40 lbs can't read it but struggle, not easy
upr trpz shoulder shrugs 3 sets 12 reps 40 lbs
bench press 3 sets 12 reps 55 lbs
oblique side raises/lifts curls for obliques 3 sets 12 lbs 20 kg=44 lbs
</t>
  </si>
  <si>
    <t xml:space="preserve">chobani almond coco flip yogurt greek, serving 1 </t>
  </si>
  <si>
    <t>chobani vanilla greek yogurt serving 1</t>
  </si>
  <si>
    <t xml:space="preserve">2 brioche buns
(440.00	9.00	5.00	14.00	78.00	2.00	560.00)
3/4 mozz
(180.00	11.25	7.88	13.50	4.50	0.00	427.50)
4 pickles
(6.67	0.00	0.00	0.00	1.33	0.00	533.33)
1 tbs mustard
(0.00	0.00	0.00	0.00	0.00	0.00	55.00)
3 cups cheetos flavored popcorn
(240	16.5	3	4.5	19.5	3	390)
3 lg bella mushrooms
(19.00	0.30	0.10	1.80	3.30	1.10	8.00)
5 fruit snacks
(400	0	0	5	95	0	100)
vanilla chobani yogurt
(110	0	0	12	15	0	60)
3 cups cheetos popcorn
(240	16.5	3	4.5	19.5	3	390)
celeste cheese pizza personal sz
(380.00	17.00	9.00	9.00	48.00	3.00	880.00)
chobani flip almond coco yogurt
(200	9	4	9	20	2	80)
=440+180+7+0+240+19+400+110+240+380+200
=9+11+0+0+17+0+0+0+17+17+9
=5+8+0+0+3+0+0+0+3+9+4
=14+14+0+0+4.5+2+5+12+5+9+9
=78+5+1+0+20+3+95+15+20+48+20
=2+0+0+0+3+1+0+0+3+3+2
=560+428+533+55+390+8+100+60+390+880+80
</t>
  </si>
  <si>
    <t>boomin blueberry bagel Daves Killer brand</t>
  </si>
  <si>
    <t xml:space="preserve">all 3 sets 10-12 reps normal weights machines unless otherwise
quads extensions 40
hamstrings curls 40
inner thighs 50
outer thighs 60
squats dummbells while doind cardio bw sets and after 1 set 20 reps 3 sets 12 reps with 40 lbs of weight in the 20 lb dumbells
cardio 5 3-minute rounds with 1 minute break bw total of 15 minutes cardio kickboxing
</t>
  </si>
  <si>
    <t xml:space="preserve">Woke up at 4 am to give Growly his meds early bc he wouldn't stop coughing. Gave him the sweet syrup vetmedin syrring and the other 2 pills enamaril and lasix crushed in vanilla yogurt he ate willingly and then went to bed until alarm went off and snoozed 10 min to get up and out of bed at 540 am. Made babies their food, not pet messes to clean, and made my coffee. Looked at the news, and had a 2nd cup of coffee, took measurements 1/2 through 2nd cup of coffee and roommate got home. Finished 2nd cup of coffee and had a reg BM. Then made breakfast, yogurt the almond coco flip greek yogurt of chobani with my multivitamins and got ready for work. No drinks last night when I got home bc didn't feel like it and drank all the Jameson. Went to bed with compression socks on but could see by my shoes that my ankles were protruding some so they're swollen. I went to work, the front desk Nicky said something about my 3rd client who is impatient and the only one I have had that wants me to be there to get her right on the dot or ask, so Nicky told me to give her her fully time. And I always do. I asked the client when massaging her and she told me that alls she told Nicky was that if I come to get her that if she could tell me she went to the bathroom and that she only waited 4 minutes. I told her the clients getting out on time isn't something we control and the back to back her being the 3rd is expected to start a few minutes after the hour after disinfecting and getting room ready. I thought it was a shitty thing for Nicky to say, bc she didn't even say she went to the bathroom but asked if I was ready bc she was waiting. Like intentionally trying to stress me out and not help. Just pile on shit to my day. She is unhelpful most the time. Nicky is. For lunch had a yogurt, a bagel and the last of the popcorn and some fruit snacks and 4th cup coffee. Then after work I had a 5th cup coffee and another bagel and went home, gave Growly his meds and went to gym for legs and 15 minutes cardio kickboxing after the leg workout and doing dumbell squats during and after. Then went home started my laundry, did some studying of FABS1 first LE, made a sandwhich with the Good Earth brand burger patties from Aldis that remind me of BBQing someone's shit and couldn't eat it, gave to pups. Even after airfrying it is the consistency of soft mush. Gross! I just ate the brioche bun with pickles and mustard and mozz cheese. Then got tired studying 2nd ppt on vertebral column and went to bed at 930 pm, woke up and laid in bed around 10 pm and went back to bed until a little after 5 am. </t>
  </si>
  <si>
    <t xml:space="preserve">vanilla chobani greek yogurt
(110	0	0	12	15	0	60)
2 Dave's Killer brand blueberry bagle boomin blueberry
(520	5	0	22	96	6	760)
4 cups cheetos popcorn
(320	22	4	6	26	4	520) 
almond coco chobani greek yogurt
(200	9	4	9	20	2	80)
4 fruit snacks
(320	0	0	4	76	0	80)
8 pcs fried zucchini
(240	9.6	1.6	3.2	32	1.6	576)
brioche bun
(220	4.5	2.5	7	39	1	280)
4 vlasik pickles
(8	0	0	0	1.6	0	640)
1 tbs mustard
(0.00	0.00	0.00	0.00	0.00	0.00	55.00)
1/3 cup mozz
(80	5	3.5	6	2	0	190)
=110+520+320+200+320+240+220+8+0+80
=0+5+22+9+0+10+5+0+0+5
=0+0+4+4+0+2+3+0+0+3.5
=12+22+6+9+4+3+7+0+0+6
=15+96+26+20+76+32+39+2+0+2
=0+6+4+2+0+1.6+1+0+0+0
=60+760+520+80+80+576+280+640+55+190
</t>
  </si>
  <si>
    <t xml:space="preserve">Woke up at 515 am and got out of bed when the alarm went off at 530 am, gave Growly his meds while roommate cleaning pet messes as he got home around 510 am. I accidentally knocked over the refrigerated meds I just got for $65 from the pet pharmacy in Riverside and only have a little bit left. I probably knocked over at least half of it while holding Growly so he wouldn't hide under the bed and trying to put him in the other arm while giving him his meds and him refusing it as always. That sucks! Great day to start a morning, not! And thats not used since the 90s. The phrase. Made my coffee and fed the babies. Updated this data base after looking at some of the study material in FABS1, didn't realize that I was supposed to write into the ppt lectures where the arrows were. I know I took separate notes in my notebook and drew what I could while he talked but I might have to go back and review the recorded zoom LEs to fill in. Had a 2nd cup of coffee and didn't start it while it cooled. My ankles I noticed when checking the swollen ankles aren't that swollen to start the day. Won't be working out today bc they close early and I would have if they stayed open bc I have a client at 7 pm and will be done at 8 pm. But do need to study a bunch of memorization of body skeletal and vertebral bodies for quiz tomorrow at 10 am. Also, set aside time to get examplify to take exam if that is what we are doing. Had a reg BM then washed hands and felt cramps in my abdomen and had a 2nd sm BM after washing hands then washed hands again. I started getting the cramping yesterday after my cardio workout at the gym. Measurements taken after a couple BMs and before breakfast and after finishing 2nd cup of coffee. Had the last almond coco greek yogurt Chobani brand with my multivitamins for breakfast. Throughout the day had 7 mushrooms airfryed, 2 brioche buns, 1/2 cup mozz, 1 tbs mustard, 1 BB bagel, 12 vlasic pickles, 1 vanilla chobani yogurt, 3 fruit snacks, 1 slice Amercn cheese, 5 crisscut fries sweet potato, 1 hot cocoa and went to bed around 1115 pm after studying by filling in my pdf slides for the class while viewing the recorded LEs. My 7 pm client rescheduled for next Sunday same time. Also after work, stopped at Ralphs and got some liquor. A Jameson and Patron to replace the roommate's that I drank over time and one for my self. I thought it was a classic Kettle One but realized at the register its a lemon citron flavored Kettle One and all were on sale and party size or large bottles. Didn't have any alcohol but thought about it, but saw all the notifications for my five classes and didn't want to be scatter brained in the morning and forget something important. </t>
  </si>
  <si>
    <t>hot cocoa with marshmallows packets in a box</t>
  </si>
  <si>
    <t>sweet potato fries, crisscut, serving 1 cup</t>
  </si>
  <si>
    <t>kettle one citron flavor</t>
  </si>
  <si>
    <t xml:space="preserve">almond choco greek yogurt chobani brand
(200	9	4	9	20	2	80)
7 bella mushrooms
(38	0.6	0.2	3.6	6.6	2.2	16)
2 brioche buns
(440	9	5	14	78	2	560)
1/2 cup mozz
(120	7.5	5.25	9	3	0	285)
2 tbs mustard
(0	0	0	0	0	0	110)
12 vlasic pickles
(16	0	0	0	3.2	0	1280)
vanilla greek yogurt chobani brand
(110	0	0	12	15	0	60)
3 fruit snacks
(240	0	0	3	57	0	60)
5 crisscut fries about 3/4 cup
(97.5	3.75	0	1.5	15	2.25	247.5)
hot cocoa
(110	1	0.5	1	24	0	150)
blueberry bagel Daves Killer brand
(260	2.5	0	11	48	3	380)
1 slice processed American cheese of roommate's
(70	5	3	4	1	0	250)
=200+38+440+120+0+16+110+240+98+110+260+70
=9+1+9+8+0+0+0+0+4+1+3+5
=4+0+5+5+0+0+0+0+0+1+0+3
=9+4+14+9+0+0+12+3+2+1+11+4
=20+7+78+3+0+3+15+57+15+24+48+1
=2+2+2+0+0+0+0+0+2+0+3+0
=80+16+560+285+110+1280+60+60+248+150+380+250
</t>
  </si>
  <si>
    <t>Daves Killer Brand everything bagels, 1 bagel</t>
  </si>
  <si>
    <t xml:space="preserve">bicep curls 3 sets 10 reps 15 lbs each arm
deltoids side lifts, 3 sets 12 reps 8 lbs each arm
upper deltoids pectoralis major military press, 3 sets 8 reps 20 lbs each arm
deltoids upper trapz shoulder shrugs, 3 sets 12 reps 20 lbs each arm
hamstrings deadlifts dumbells, 3 sets/12 reps 40 lbs 
rhomboids/lwr trapezius back row machine 50-&gt; 60 lbs, +10 lbs
lattisimus dorsi back pull down machine 3/10 reps 50-&gt;60-&gt;70 lbs
abs sit ups 3 set 10 reps
abs lower leg lifts 3 sets 10 reps
tricep pull down 3 sets 10 reps 30-40 lbs can't read it but struggle, not easy
</t>
  </si>
  <si>
    <t xml:space="preserve">brioche bun
(220	4.5	2.5	7	39	1	280)
mozz 1/2 cup
(120	7.5	5.25	9	3	0	285)
2 hot chocolate
(220	2	1	2	48	0	300)
2 beyond patties
(520	36	10	40	10	4	700)
8 pickles
(16	0	0	0	3.2	0	1280)
2 tbs mustard
(0	0	0	0	0	0	110)
5 fruit snacks
(400	0	0	5	95	0	100)
2 everything bagels Dave's Killer brand
(520	10	1	26	88	10	700)
3 fruit snacks
(240	0	0	3	57	0	60)
3 boiled eggs
(210	15	4.5	18	0	0	210)
3 pickles vlasic
(6	0	0	0	1.2	0	480)
=220+120+220+520+16+0+400+520+240+210+6
=4.5+7.5+2+36+0+0+0+10+0+15+0
=2.5+5+1+10+0+0+0+1+0+4.5+0
=7+9+2+40+0+0+5+26+3+18+0
=39+3+48+10+3+0+95+88+57+0+1.2
=1+0+0+4+0+0+0+10+0+0+0
=280+285+300+700+1280+110+100+700+60+210+480
</t>
  </si>
  <si>
    <t>Woke up at a little bit after 435 am and laid in bed, thinking it was 530 and the alarm didn't go off bc my little non LED clock had arms viewable that looked like about 535. When I got out of bed there were some little turn poop messes of the babies on the floor scattered that I left after seeing the time as 435 am and laid in bed. Got up realizing I still have more studying to do and cleaned the pet messes, made my keuring 1st cup coffee in my bedroom and gave Growly his meds no messes and fed the babies. The roommate was on the phone with someone last night loud and yelling about Biden and sales tax and blaming him for everything. He was really loud and I asked him to keep it down. He left his dishes in the sink. I went to bed at 1115 pm approximately and woke up at around 430 am, so thats about 5 hours of sleep. My last class gets out at 230 pm and my quiz is at 10 am and a 2 hour LE course. Will be lab at some point when we catch up on the ppt pdf slides. Did some review of the last pdf slides needed for quiz 1 to study and had a brioche bun with mozz in the airfryer and my multivitamins after 1st cup of coffee and a reg BM and then another 2nd tiny BM with abdominal cramping associated with these BMs. Probably the Greek yogurt bc that is a different addition to my diet. I usually don't have any abdominal cramping before a BM, but the cramping also started yesterday after working out in the gym, immediately after leaving the bag area after stretching. It could also be a slight flu or my side effects from being vaccinated for COVID but having some other strain in the gym. I am just getting paranoid, but good to note just in case someing gets amplified later. I took my measurements after the BMs and while the brioche bun and mozz was in airfryer 3 minutes and cooling. around 630 am. When eating breakfast I called my mom to check in on her. and couldn't get a hold of her, the nurse in charge said bc they hand out meds at this time 830 their time and the nurse handling Mom will call me back and she took my phone number and 1st name. Also, just want to note when I took Goody outside to potty and other babies, the moon was visible in distance beyond neighbors Maria house as a full moon that was orange in color as the sun rise took place or was about to around 5 am. I also texted my sister to wish her happy birthday later while drinking first cup of coffee. Did some studying then updated this db. Going to shower before taking the quiz. Checked Canvas and emails, nothing new other than an ad from Draw it to Know it. Had the quiz, but while studying before 3rd cup had 3rd tiny BM. Took a shower around 730 am after my 3 BMs for day. No stomach cramping afterwards. Not sure why but the last two were practically tiny and probably part of first dump but body cleaning out rectum. Probably should drink more water since I am drinking 5-6 cups of coffee a day. Snacked all day, then had to resend a group lab that my group partner in CP1 and This group today of FABS1 had technical errors sending. I got the email late after the 2nd and last LE of day. Something interesting about stem cells and the cell replication is that the prolotherapy for athletes to repair tendon damage in 6 wks instead of 6 months, isn't part of cell division, it is entirely stem cells that somehow don't need to divide and go through the cell cycle. This is from the expert, and he later explained it briefly in the next ppt after answering my group chat question. I thought it was cell division but with stem cells. This needs a thorough walk through of how it works. I need to know this. Because I connected my information in genetics and biology to understand that it is cell replication that is going on in that tissue that is repairing the damaged low to no vascular tissue. Its not meiosis. Maybe he was not understanding the overall question. He just referenced the same bit of info I know about the morula and embryo and embryonic tissue in early development specifically bw 3-7 days without mentioning it precisely. This would be huge to have this medical procedure available to the public instead of just those super millionaire athletes that can afford to pay a million + USD for the procedure. I worked out at the gym in my black knit christmas tree sequence sweater from Macys and it was great, sat right next to a male who looked possibly Down's Syndrome but maybe on a spectrum that kept him from being incapacitated, though he did sit at the bench a while. He was trained great. Asian Filipino too, had muscle, not my type, even though my current ex husband is a mentally retarded person, he doesn't look it. It takes a while to discover it and is masked by his misogyny and racism so it is hard to tell at first. But he is told what to think and do. He was bitching out loud on the phone to someone who was listening about sales tax for example (for christ's sake is not my language and is a cliche). Nobody is my type. I am an asexual now. Stages of being a CA native feminist. For my workout I did arms, abs, back, but not all exercises and increased my weight some. Had a drink of that kettle one citron over ice. Gave me gas and made me think I had to have a BM but it was just gas. Must have a lot of sugar in it. It tasted good though. I was updating this for the part since the 3rd BM while drinking it, its gone. I have to add in the nutrition for yesterday and today's food. I am hungry. I want beyond nachos the way I make them. If I had money to waste I would buy a shop and make fast food with ONLY beyond meat of the best staples like In-N-Out cheeseburgers and nachos that didn't burn or leave black carcinogenic residue like most fast food places do when cooking beyond patties quick. Other than fat burger that uses impossible meat and soy. Beyond meat is pea protein and it is possible that some people are allergic to peas. But they would know that on the store window. To me, food that is cooked with beyond meat is bomb as in delicious AF. But the animal meat eating folks don't yet devote their life to being dependent on only meat substitute. Especially when bad actors like Aldi's vegetarian and vegan beef patties make the meat substitute selections taste, look, and feel like shit, any mammalian shit. Or just gross. Case in point: Dr. Praeger's vegan meat patties and their Good Earth brand. Disgusting! Its like tasting sushi for the first time at a buffet that kept the sushi rolls out on the floor all day. Just not appealing or representative of the way sushi is supposed to taste and satisfy. Updating this then had a beyond burger on everything bagel by Dave's Killer brand. Got my Amazon order earlier, the winter coat is a snowboarding coat and it is super warm. As soon as I put it on I knew I would be warm in it when the weather starts getting cold. It is already chilly in the morning. I had the burger then decided to continue updating this db and had a 2nd drink. Didn't have gas with this one. Watched 'Spell' a 2020 horror film about voodoo and had a 3rd drink and 3 boiled eggs and 3 pickles and 3 fruit snacks before the former by about 40 minutes. Poured a 4th drink but never drank it. I didn't have any snacks to snack on like chips so thats why i made the boilded eggs with pepper and paprika whole and pickles. After the movie I edited the pdf ppt version of the plain text group work for our lab around 930 pm sent it by email to the professor. But not sure if he got it bc he doesn't reply. Its odd but I have emailed him a question and no reply and also when chatting directly to confirm test finished he didn't reply but another doctor or colleague of his but a dr replied. Maybe its against his religion not to have direct contact I don't know. Its weird. He did email us in the afternoon about it. I will ask Max tomorrow about it. I have his number but didn't ask him about it. I have him in my CP1 class too. Went to bed around 1015 pm.</t>
  </si>
  <si>
    <t xml:space="preserve">Woke up at 530 am but got up an hour before that to pee and my lower back hurt a little bit. I went to sleep with shorts on that had a waistband and its probably why my lower back hurt a little. I usually don't sleep with anything on my waist pressing on it. I got up after the 530 alarm went off. I want to do some studying before my 10 am class and watch the prerecorded video and do some studying of my FABS1 quiz#2 this Thursday at 9 am. Did normal routine, gave Growly his meds after making my coffee, fed the babies and took them outside and fed the kitten. She is so adorable. Took measurements early today, before finishing 1st cup of coffee, a BM, and before breakfast. Ankles weren't that swollen when I woke up, not swollen for the most part other than some by lateral malleola L ankle. Had my LE online and it was a group lab, I only watched part 1 before class and it took me from 7 am to 920 am to take notes on a 1 hr and 40 minute prerecorded LE. Fortunately, there were a few others that saw the part 2 prerecorded LE. The announcements only said to watch the part 1 &amp; 2 before the pre-class quiz today which I took after working out after the LE and after watching part 2 and part 3 of prerecorded LE after the LE ended that were about 25-30 minutes each in time length and about 40 minutes each to take notes on. I have been using the ppt to write notes in but for the actual LE when he starts the LE I will be using my pen to handwrite instead as the digital pen notetaking gives my hand a cramp due to this embedded notebook mouse pad that sucks and doesn't pick up the pen in certain parts of the pad like the outer edges and sometimes dead center of it. When I got back from working out I had a drink and another bagel but with 1 of the boiled eggs, same as for breakfast which was an everything bagel of DK brand with a boiled egg, mustard and 3 pickles and about 1/4 cup mozz cheese, same for lunch right after the LE ended and when viewing the prerecorded part 2 and 3 LEs. I reviewed my notes on top of the ppt of the pectoral and thoracic muscle regions then took the five question quiz. I saw our group lab work was graded as a 4/5 and the quiz I got the same 4/5. We did miss the last few questions and I communicated with Tori and Stevie via email and used Tori's answers she posted image of after trying my own solutions and uploaded as a new submission with Tori's answers. Seemed reasonable. I was the one sharing my screen bc everybody else had a tablet or didn't want to. I don't have any weird stuff on my computer like ads. My instructor is funny. His prerecorded LE on part 1 shows him sharing his screen and an ad came up on his computer desktop for gay men, men searching gay men, wink wink gay men, etc. Then some lady's mic interrupted shortly after telling somebody that if they did it again and walked by some area 'no carwash!' and she means it, then cut back to the LE. I guess its little kids she has to watch while at home on the virtual and that the car wash must have some really fun stuff for kids. I did go to Target immediately after the gym (legs mostlyinner/outer/squats/quad ext./ham curls/dumbell rows rhombs/side lifts obliques/ bench press pec majr and 15 minutes of cardio kickboxing with 30 second rest intervals instead of 60 minute rest intervals) and got some more wash rags, curtain liner, cotton underwear because mine have blood stains all over them, and wanted to get some pkgs of bottle watter the 16 oz size, but believe it or not the Target in Dos Lagos didn't have any pkgs of bottled water. I went to STater Bros up street on cajalco and got their brand 35 pk water a couple of them and snagged a $20 bag of chocolate candy bars designed for Trick or Treaters on Halloween. But won't be used for that. After the quiz I reviewed the short videos on skin and Lymph for my on campus class on IPA, and put clothes in dryer then went to bed. Only 1 drink. It made me groggy and it was a hot day today. 100 degrees is what the weather said for pretty much any time of day. Bed time was about 1015-1030 pm. I also made a pot of nachos with beyond meat that I burned some of the vegan meat and yellow and orange bell peppers with, but most could be salvaged. It was just the pan side as I kept it on medium heat covered for 20 minutes and didn't stir it even once but did put olive oil in it. I didn't eat any of the nachos bc I had the 3rd egg pickle mustard mozz everything bagel while it was cooking. But I will probably have some for lunch. Picked up some beyond and impossible burger patties from Target as well more toothpaste, tooth brushes, qtips, and cleaning spray and bagels. </t>
  </si>
  <si>
    <t xml:space="preserve">3 everything bagels
(780	15	1.5	39	132	15	1050)
4 eggs boiled and sliced
(280	20	6	24	0	0	280)
3/4 cup mozz
(180	11.25	7.875	13.5	4.5	0	427.5)
2 tbs mustard
(0	0	0	0	0	0	110)
12 pickles vlasic
(20	0	0	0	4	0	1600)
2 fruit snacks
(160	0	0	2	38	0	40)
=780+280+180+0+20+160
=15+20+11+0+0+0
=2+6+8+0+0+0
=39+24+14+0+0+2
=132+0+5+0+4+38
=15+0+0+0+0+0
=1050+280+428+110+1600+40
</t>
  </si>
  <si>
    <t>inner thighs machine 50 lbs
outer thighs machine 50 lbs
quads leg extensions 50 lbs
hamstrings curls 50 lbs
pec mjr bench press inclined bench 65 lbs
rhomboids upr trpz dumbell rows bench 35 lb wt disk +15 lbs
obliques side lifts 35 lb wt disk, 20 kg=44 lbs norm. -9 lbs
quads squats barbell 25 lbs each side 95 lbs +10 lbs
all 3 sets of 8-12 reps each</t>
  </si>
  <si>
    <t xml:space="preserve">Woke up at 530 am and snoozed 10 minutes till 540 am then got out of bed did normal routine, my coffee, Growly's meds, fed babies and outdoor cat/kitten, studied for quiz 2 in FABS, and showered by 735 am. Had GA1 first, instructor is super smart and knows a lot about the body, but he didn't say anything about my client's ticklis ESM that never goes away when asked 2 min before class at 758 am. Just that he gets ticklish and when adjusted by Dr. Bui he gets ticklish but it never goes away and to use something to distract clients nervous system like hot packs to add pressure. He is nice though. I was expecting a really in depth informational underlying explanation for why the client has the ticklish spot similar to how people with sweaty palms get treated by having botox injections in palms to prevent the ANS from causing the sweating or before that cut or severing of the efferent C7:C8 nerves. Took quiz on examplify and used the acer alternate lap top that is super slow even though it has 4 gb RAM. It should be fine. Retarded it is though. ANd super slow. It worked though. And the cell phone, I cannot access the chat menu and do not know how to get to it on the android cell zoom app. The chat is where the instructor Professor Bui sends the examplify pass code.  Left at 11 am, cutting out of Dr Bui's class at 11 am. He was still talking, but for answering questions. Made it on time to class after putting fuel in my van. $40. Measurements taken after 2nd tiny BM after a 1st BM 20 minutes earlier after drinking 1st cup coffee and halfway through 2nd cup coffee. Had 4 cups coffee by 930 am and then 5th before leaving for campus and  6th cup coffee on the way back from campus. I went there for open lab with JP, Max, and Mario. Ali was going to go, and she got there early but didn't know where to go and didn't consequently and didn't have our numbers. She transferred from a 10 term track to 12 track. No BS or BA just had enough credits, same for Mario. I thought it was a requirement, but learned the other day that it isn't a requirement, bc as long as you have more than 90 units or 3 yrs college credits and all the science courses they will consider you for the Doctoral of Chiropractic program. For breakfast was same as late dinner last night, airfryed cinnamon bagel with pickles mustard parmesan instead of mozz and is really flavorful to me with last of beyond meat and bell peppers, for lunch at campus or on the way to campus had one of the two impossible patties that was on a bottom of cinnamon and top of blueberry Daves Killer bread brand with parmesan cheese shredded, pickles, and mustard. Had 1/4 for the pups and cut two of those into quarters, and after work had 2 of those and gave other 1/4 to the babies. Growly was outside and wasn't hyperventilating but passed out with a seizure on the dirt and got messy. I gave him a shower in sink  with warm water and washed off the pee and dirt from him and did laundry of my clothes and the babies' couch blanket and the towels used for babies and drying Growly. had 1st vodka lemon drink at 430 pm, arriving home at 4 pm from campus. Watched another episode made available on Only Murderers in the Bldg on Hulu. It doesn't show on my recommender system with hulu like they don't think it is locking me in to stay tuned and consequently keep monthly subscription. I had to add it to mystuff in Hulu. There is another tv series on FX on Hulu called Last Man that looks interesting, bc w/ this vaccine, if it does sterilize people who get it, only the males would be affected as their gametes are the only ones that carry on the DNA changes, as female's DNA is already made and stored in a vault of their ovaries until their monthly cycle and undergoes 2nd meiosis and crossing over and randomization of DNA genes with male when fertilizing if fertilized. So it makes sense that it could be the end of males if they cannot any longer produce human beings or procreate. Interesting play on evolution. Thats not what the series is about, but that is why I have an interest, mindlessly, in it. I did score well enough on my FABS quiz 2. 7/8 is better than the minimum of C. I find these courses so interesting as they are and am learning quite a bit. This system takes away the retarding stress of trying to be an elitest in succeeding not having to get a B or A but just not a D or lower. Measurements taken before breakfast and after 2 MBs. </t>
  </si>
  <si>
    <t>Act II butter Lovers pkg 2.5 servings per pkg, serving</t>
  </si>
  <si>
    <t>Stater Bros Parmesan shredded cheese, 1 serving 1/4 cup</t>
  </si>
  <si>
    <t>Cinnamon Raisin Daves Killer Brand Bagel, 1 serving is 1 bagel</t>
  </si>
  <si>
    <t>milky way mini, 4 pcs</t>
  </si>
  <si>
    <t xml:space="preserve">m&amp;ms 2 pkg mini </t>
  </si>
  <si>
    <t>mini snickers 3 pcs</t>
  </si>
  <si>
    <t>twix mini 3 pcs</t>
  </si>
  <si>
    <t>3 musketeers mini 5 pcs</t>
  </si>
  <si>
    <t>beyond meat 2 yellow/orange bell peppers 2 tbs olive oil, pot makes 4 bowls</t>
  </si>
  <si>
    <t>1 1/2 bowls beyond and bell peppers and olive oil
(500.25	37.50	9.00	30.75	12.00	3.75	526.50)
3 cinnamon raisin bagels Dave Killer bread brand
(810.00	9.00	0.00	36.00	153.00	9.00	1200.00)
1/2 parm cheese
(220.00	14.00	9.00	20.00	4.00	0.00	740.00)
5 fruit snacks
(400.00	0.00	0.00	5.00	95.00	0.00	100.00)
mini chocolate halloween candy 
3 mini milky way
(112.50	4.50	2.63	0.75	18.00	0.00	37.50)
4 mini m&amp;Ms snax
(260	10	6	2	38	2	40)
2 mini snickers
(86.67	10.00	6.00	2.00	38.00	2.00	40.00)
4 twix mini
(200.00	9.33	5.33	1.33	26.67	0.00	80.00)
2 blueberry bagels Daves Killer bread brand
(520.00	5.00	0.00	22.00	96.00	6.00	760.00)
8 vlasic pickels
(15.00	0.00	0.00	0.00	3.00	0.00	1200.00)
2 tbs mustard
(0.00	0.00	0.00	0.00	0.00	0.00	110.00)
=500+810+220+400+113+260+87+200+520+15+0
=38+9+14+0+5+10+10+9+5+0+0
=9+0+9+0+3+6+6+5+0+0+0
=31+36+20+5+1+2+2+1+22+0+0
=12+153+4+95+18+38+38+27+96+3+0
=4+9+0+0+0+2+2+0+6+0+0
=527+1200+740+100+38+40+40+80+760+1200+110</t>
  </si>
  <si>
    <t>Woke up at 530 am by alarm. Had the AC on bc it was hot. Restarted dryer, gave Growly his meds, fed the babies, made my coffee, updated this database first thing before jumping into reviewing study materials or class material before class. Quiz in FABS1 tomorrow on Biomechanics of spine LE. I haven't reviewed at all bc catching up on GA1 or preparing for the preclass quiz that I completely forgot to take before class last week and was determined not to forget to take it ever again. Got about 6.5 hours sleep and my ankles were still swollen this morning when I woke up. Had a reg lg BM before finishing my 2nd cup of coffee then took measurements immediately afterwards. Finished my 2nd cup of coffee while folding the laundry before getting ready for my 8 am class at 730 am by showering and putting makeup on and breakfast and multivitamins. Time goes by fast. I also have my regular 7 pm client tonight and studying after getting back from my campus courses on site that end at 5 pm. Updated the next day from notebook, I studied when I got home from my clients 7 pm appt, she's cool, my regular and her cat, after driving home from on campus chiropractic adjustments and palpations CP1 course and intro to phys assessment IPA1. Studied after eating more bagels. Had a blinding part of HA migraine, but the HA never hit bc I had some instant coffee for 6th cup coffee after course. And it fixed the problem, but got the blinding line of like a split in the atmosphere in my vision Went away after 10 min after drinking the coffee. Munched on halloween candy on the way home slightly melted. Ate the bagel late for energy that didn't really work but was good. Was able to study for quiz #2 in FABS 1 and went to bed about 1015 pm, not too late.</t>
  </si>
  <si>
    <t>1 1/2 impossible patties
(360.00	21.00	12.00	28.50	13.50	4.50	555.00)
1 bowls beyond and bell peppers and olive oil
(333.50	25.00	6.00	20.50	8.00	2.50	351.00)
1 cinnamon raisin bagels Dave Killer bread brand
(270	3	0	12	51	3	400)
1 blueberry bagel Dave Killer Bread brand
(260	2.5	0	11	48	3	380)
1/2 parm cheese
(220.00	14.00	9.00	20.00	4.00	0.00	740.00)
2 fruit snacks
(160.00	0.00	0.00	2.00	38.00	0.00	40.00)
mini chocolate halloween candy 
3 mini milky way
(112.50	4.50	2.63	0.75	18.00	0.00	37.50)
2 twix mini
(100.00	4.67	2.67	0.67	13.33	0.00	40.00)
2 mini m&amp;Ms snax
(130	5	3	1	19	1	20)
2 twix
(100.00	4.67	2.67	0.67	13.33	0.00	40.00)
6 vlasic pickels
(10.00	0.00	0.00	0.00	2.00	0.00	800.00)
2 tbs mustard
(0.00	0.00	0.00	0.00	0.00	0.00	110.00)
popcorn movie theater brand BUtter Lovers ActII
(140	7	3	2	20	3	310)
=360+334+270+260+220+160+113+100+130+100+10+0+140
=21+25+3+3+14+0+5+5+5+5+0+0+7
=12+6+0+0+9+0+3+3+3+3+0+0+3
=29+21+12+11+20+2+1+1+1+1+0+0+2
=14+8+51+48+4+38+18+13+19+13+2+0+20
=5+3+3+3+0+0+0+0+1+0+0+0+3
=555+351+400+380+740+40+38+40+20+40+800+110+310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</si>
</sst>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name val="Calibri"/>
      <family val="2"/>
      <scheme val="minor"/>
    </font>
    <font>
      <sz val="9"/>
      <color indexed="81"/>
      <name val="Tahoma"/>
      <family val="2"/>
    </font>
    <font>
      <b/>
      <sz val="9"/>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21">
    <xf numFmtId="0" fontId="0" fillId="0" borderId="0" xfId="0"/>
    <xf numFmtId="2" fontId="0" fillId="0" borderId="0" xfId="0" applyNumberFormat="1" applyAlignment="1">
      <alignment horizontal="center"/>
    </xf>
    <xf numFmtId="2" fontId="0" fillId="0" borderId="0" xfId="0" applyNumberFormat="1" applyAlignment="1">
      <alignment horizontal="center" vertical="top"/>
    </xf>
    <xf numFmtId="0" fontId="0" fillId="0" borderId="0" xfId="0" applyFill="1"/>
    <xf numFmtId="1" fontId="0" fillId="0" borderId="0" xfId="0" applyNumberFormat="1" applyFill="1"/>
    <xf numFmtId="2" fontId="0" fillId="0" borderId="0" xfId="0" applyNumberFormat="1" applyFill="1" applyAlignment="1">
      <alignment horizontal="center"/>
    </xf>
    <xf numFmtId="2" fontId="0" fillId="0" borderId="0" xfId="0" applyNumberFormat="1" applyFill="1" applyAlignment="1">
      <alignment horizontal="center" vertical="top"/>
    </xf>
    <xf numFmtId="1" fontId="0" fillId="0" borderId="0" xfId="0" applyNumberFormat="1" applyFill="1" applyAlignment="1">
      <alignment horizontal="center" vertical="top"/>
    </xf>
    <xf numFmtId="14" fontId="0" fillId="0" borderId="0" xfId="0" applyNumberFormat="1" applyFill="1"/>
    <xf numFmtId="18" fontId="0" fillId="0" borderId="0" xfId="0" applyNumberFormat="1" applyFill="1"/>
    <xf numFmtId="0" fontId="0" fillId="0" borderId="0" xfId="0" applyFill="1" applyAlignment="1">
      <alignment wrapText="1"/>
    </xf>
    <xf numFmtId="2" fontId="0" fillId="0" borderId="0" xfId="0" applyNumberFormat="1" applyFill="1"/>
    <xf numFmtId="2" fontId="0" fillId="0" borderId="0" xfId="0" applyNumberFormat="1" applyFill="1" applyAlignment="1">
      <alignment horizontal="center" wrapText="1"/>
    </xf>
    <xf numFmtId="0" fontId="0" fillId="0" borderId="0" xfId="0" applyFill="1" applyAlignment="1">
      <alignment horizontal="left" vertical="top"/>
    </xf>
    <xf numFmtId="1" fontId="0" fillId="0" borderId="0" xfId="0" applyNumberFormat="1" applyFill="1" applyAlignment="1">
      <alignment horizontal="left" vertical="top"/>
    </xf>
    <xf numFmtId="2" fontId="0" fillId="0" borderId="0" xfId="0" applyNumberFormat="1" applyFill="1" applyAlignment="1">
      <alignment horizontal="left" vertical="top"/>
    </xf>
    <xf numFmtId="0" fontId="0" fillId="0" borderId="0" xfId="0" applyAlignment="1">
      <alignment horizontal="left" vertical="top"/>
    </xf>
    <xf numFmtId="2" fontId="0" fillId="0" borderId="0" xfId="0" applyNumberFormat="1"/>
    <xf numFmtId="2" fontId="0" fillId="0" borderId="0" xfId="0" applyNumberFormat="1" applyFill="1" applyAlignment="1">
      <alignment horizontal="right"/>
    </xf>
    <xf numFmtId="2" fontId="0" fillId="0" borderId="0" xfId="0" applyNumberFormat="1" applyFill="1" applyAlignment="1">
      <alignment horizontal="right" vertical="top"/>
    </xf>
    <xf numFmtId="1" fontId="0" fillId="0" borderId="0" xfId="0" applyNumberFormat="1" applyFill="1" applyAlignment="1">
      <alignment horizontal="center"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45FD9-B711-476E-9B85-1CFF4D19B5BA}">
  <dimension ref="A1:I600"/>
  <sheetViews>
    <sheetView workbookViewId="0">
      <pane ySplit="1" topLeftCell="A588" activePane="bottomLeft" state="frozen"/>
      <selection pane="bottomLeft" activeCell="B600" sqref="B600:H600"/>
    </sheetView>
  </sheetViews>
  <sheetFormatPr defaultRowHeight="14.4" x14ac:dyDescent="0.3"/>
  <cols>
    <col min="1" max="1" width="92.5546875" style="16" customWidth="1"/>
    <col min="4" max="4" width="19.109375" customWidth="1"/>
    <col min="5" max="6" width="16.109375" customWidth="1"/>
    <col min="7" max="7" width="17.33203125" customWidth="1"/>
  </cols>
  <sheetData>
    <row r="1" spans="1:8" x14ac:dyDescent="0.3">
      <c r="A1" s="16" t="s">
        <v>34</v>
      </c>
      <c r="B1" s="1" t="s">
        <v>33</v>
      </c>
      <c r="C1" s="2" t="s">
        <v>26</v>
      </c>
      <c r="D1" s="2" t="s">
        <v>27</v>
      </c>
      <c r="E1" s="2" t="s">
        <v>28</v>
      </c>
      <c r="F1" s="2" t="s">
        <v>88</v>
      </c>
      <c r="G1" s="2" t="s">
        <v>29</v>
      </c>
      <c r="H1" s="2" t="s">
        <v>32</v>
      </c>
    </row>
    <row r="2" spans="1:8" x14ac:dyDescent="0.3">
      <c r="A2" s="16" t="s">
        <v>35</v>
      </c>
      <c r="B2">
        <v>180</v>
      </c>
      <c r="C2">
        <v>2</v>
      </c>
      <c r="D2">
        <v>0</v>
      </c>
      <c r="E2">
        <v>6</v>
      </c>
      <c r="F2">
        <v>32</v>
      </c>
      <c r="G2">
        <v>2</v>
      </c>
      <c r="H2">
        <v>380</v>
      </c>
    </row>
    <row r="3" spans="1:8" x14ac:dyDescent="0.3">
      <c r="A3" s="16" t="s">
        <v>36</v>
      </c>
      <c r="B3">
        <v>140</v>
      </c>
      <c r="C3">
        <v>10</v>
      </c>
      <c r="D3">
        <v>3</v>
      </c>
      <c r="E3">
        <v>12</v>
      </c>
      <c r="F3">
        <v>0</v>
      </c>
      <c r="G3">
        <v>0</v>
      </c>
      <c r="H3">
        <v>140</v>
      </c>
    </row>
    <row r="4" spans="1:8" x14ac:dyDescent="0.3">
      <c r="A4" s="16" t="s">
        <v>37</v>
      </c>
      <c r="B4">
        <v>92</v>
      </c>
      <c r="C4">
        <v>0</v>
      </c>
      <c r="D4">
        <v>0</v>
      </c>
      <c r="E4">
        <v>2</v>
      </c>
      <c r="F4">
        <v>24</v>
      </c>
      <c r="G4">
        <v>2</v>
      </c>
      <c r="H4">
        <v>0</v>
      </c>
    </row>
    <row r="5" spans="1:8" x14ac:dyDescent="0.3">
      <c r="A5" s="16" t="s">
        <v>38</v>
      </c>
      <c r="B5">
        <v>120</v>
      </c>
      <c r="C5">
        <v>3</v>
      </c>
      <c r="D5">
        <v>2</v>
      </c>
      <c r="E5">
        <v>6</v>
      </c>
      <c r="F5">
        <v>19</v>
      </c>
      <c r="G5">
        <v>2</v>
      </c>
      <c r="H5">
        <v>330</v>
      </c>
    </row>
    <row r="6" spans="1:8" x14ac:dyDescent="0.3">
      <c r="A6" s="16" t="s">
        <v>279</v>
      </c>
      <c r="B6">
        <v>60</v>
      </c>
      <c r="C6">
        <v>5</v>
      </c>
      <c r="D6">
        <v>3.5</v>
      </c>
      <c r="E6">
        <v>1</v>
      </c>
      <c r="F6">
        <v>2</v>
      </c>
      <c r="G6">
        <v>0</v>
      </c>
      <c r="H6">
        <v>15</v>
      </c>
    </row>
    <row r="7" spans="1:8" x14ac:dyDescent="0.3">
      <c r="A7" s="16" t="s">
        <v>39</v>
      </c>
      <c r="B7">
        <v>81</v>
      </c>
      <c r="C7">
        <v>0</v>
      </c>
      <c r="D7">
        <v>0</v>
      </c>
      <c r="E7">
        <v>2</v>
      </c>
      <c r="F7">
        <v>21</v>
      </c>
      <c r="G7">
        <v>4</v>
      </c>
      <c r="H7">
        <v>2</v>
      </c>
    </row>
    <row r="8" spans="1:8" x14ac:dyDescent="0.3">
      <c r="A8" s="16" t="s">
        <v>332</v>
      </c>
      <c r="B8">
        <v>40</v>
      </c>
      <c r="C8">
        <v>0.2</v>
      </c>
      <c r="D8">
        <v>0.1</v>
      </c>
      <c r="E8">
        <v>0.6</v>
      </c>
      <c r="F8">
        <v>10.1</v>
      </c>
      <c r="G8">
        <v>1.4</v>
      </c>
      <c r="H8">
        <v>2</v>
      </c>
    </row>
    <row r="9" spans="1:8" x14ac:dyDescent="0.3">
      <c r="A9" s="16" t="s">
        <v>40</v>
      </c>
      <c r="B9">
        <v>15</v>
      </c>
      <c r="C9">
        <v>0</v>
      </c>
      <c r="D9">
        <v>0</v>
      </c>
      <c r="E9">
        <v>1</v>
      </c>
      <c r="F9">
        <v>3</v>
      </c>
      <c r="G9">
        <v>1</v>
      </c>
      <c r="H9">
        <v>290</v>
      </c>
    </row>
    <row r="10" spans="1:8" x14ac:dyDescent="0.3">
      <c r="A10" s="16" t="s">
        <v>41</v>
      </c>
      <c r="B10">
        <v>280</v>
      </c>
      <c r="C10">
        <v>7</v>
      </c>
      <c r="D10">
        <v>1</v>
      </c>
      <c r="E10">
        <v>8</v>
      </c>
      <c r="F10">
        <v>42</v>
      </c>
      <c r="G10">
        <v>8</v>
      </c>
      <c r="H10">
        <v>360</v>
      </c>
    </row>
    <row r="11" spans="1:8" x14ac:dyDescent="0.3">
      <c r="A11" s="16" t="s">
        <v>56</v>
      </c>
      <c r="B11">
        <v>210</v>
      </c>
      <c r="C11">
        <v>5.25</v>
      </c>
      <c r="D11">
        <v>0.75</v>
      </c>
      <c r="E11">
        <v>6</v>
      </c>
      <c r="F11">
        <v>31.5</v>
      </c>
      <c r="G11">
        <v>6</v>
      </c>
      <c r="H11">
        <v>270</v>
      </c>
    </row>
    <row r="12" spans="1:8" x14ac:dyDescent="0.3">
      <c r="A12" s="16" t="s">
        <v>57</v>
      </c>
      <c r="B12">
        <v>140</v>
      </c>
      <c r="C12">
        <v>3.5</v>
      </c>
      <c r="D12">
        <v>0.5</v>
      </c>
      <c r="E12">
        <v>4</v>
      </c>
      <c r="F12">
        <v>21</v>
      </c>
      <c r="G12">
        <v>4</v>
      </c>
      <c r="H12">
        <v>180</v>
      </c>
    </row>
    <row r="13" spans="1:8" x14ac:dyDescent="0.3">
      <c r="A13" s="16" t="s">
        <v>42</v>
      </c>
      <c r="B13">
        <v>161</v>
      </c>
      <c r="C13">
        <v>14.5</v>
      </c>
      <c r="D13">
        <v>2</v>
      </c>
      <c r="E13">
        <v>2</v>
      </c>
      <c r="F13">
        <v>8.5</v>
      </c>
      <c r="G13">
        <v>6.5</v>
      </c>
      <c r="H13">
        <v>7</v>
      </c>
    </row>
    <row r="14" spans="1:8" x14ac:dyDescent="0.3">
      <c r="A14" s="16" t="s">
        <v>52</v>
      </c>
      <c r="B14">
        <v>322</v>
      </c>
      <c r="C14">
        <v>29</v>
      </c>
      <c r="D14">
        <v>4</v>
      </c>
      <c r="E14">
        <v>4</v>
      </c>
      <c r="F14">
        <v>17</v>
      </c>
      <c r="G14">
        <v>18</v>
      </c>
      <c r="H14">
        <v>14</v>
      </c>
    </row>
    <row r="15" spans="1:8" x14ac:dyDescent="0.3">
      <c r="A15" s="16" t="s">
        <v>167</v>
      </c>
      <c r="B15">
        <f>0.75*322</f>
        <v>241.5</v>
      </c>
      <c r="C15">
        <f>29*0.75</f>
        <v>21.75</v>
      </c>
      <c r="D15">
        <f>4*0.75</f>
        <v>3</v>
      </c>
      <c r="E15">
        <f>4*0.75</f>
        <v>3</v>
      </c>
      <c r="F15">
        <f>17*0.75</f>
        <v>12.75</v>
      </c>
      <c r="G15">
        <f>18*0.75</f>
        <v>13.5</v>
      </c>
      <c r="H15">
        <f>14*0.75</f>
        <v>10.5</v>
      </c>
    </row>
    <row r="16" spans="1:8" x14ac:dyDescent="0.3">
      <c r="A16" s="16" t="s">
        <v>43</v>
      </c>
      <c r="B16">
        <v>150</v>
      </c>
      <c r="C16">
        <v>0</v>
      </c>
      <c r="D16">
        <v>0</v>
      </c>
      <c r="E16">
        <v>3</v>
      </c>
      <c r="F16">
        <v>14</v>
      </c>
      <c r="G16">
        <v>3</v>
      </c>
      <c r="H16">
        <v>30</v>
      </c>
    </row>
    <row r="17" spans="1:8" x14ac:dyDescent="0.3">
      <c r="A17" s="16" t="s">
        <v>45</v>
      </c>
      <c r="B17">
        <v>100</v>
      </c>
      <c r="C17">
        <v>0</v>
      </c>
      <c r="D17">
        <v>0</v>
      </c>
      <c r="E17">
        <v>2</v>
      </c>
      <c r="F17">
        <v>9</v>
      </c>
      <c r="G17">
        <v>2</v>
      </c>
      <c r="H17">
        <v>20</v>
      </c>
    </row>
    <row r="18" spans="1:8" x14ac:dyDescent="0.3">
      <c r="A18" s="16" t="s">
        <v>44</v>
      </c>
      <c r="B18">
        <v>130</v>
      </c>
      <c r="C18">
        <v>3</v>
      </c>
      <c r="D18">
        <v>2</v>
      </c>
      <c r="E18">
        <v>0</v>
      </c>
      <c r="F18">
        <v>19</v>
      </c>
      <c r="G18">
        <v>3</v>
      </c>
      <c r="H18">
        <v>670</v>
      </c>
    </row>
    <row r="19" spans="1:8" x14ac:dyDescent="0.3">
      <c r="A19" s="16" t="s">
        <v>46</v>
      </c>
      <c r="B19">
        <v>80</v>
      </c>
      <c r="C19">
        <v>5</v>
      </c>
      <c r="D19">
        <v>3.5</v>
      </c>
      <c r="E19">
        <v>6</v>
      </c>
      <c r="F19">
        <v>1</v>
      </c>
      <c r="G19">
        <v>0</v>
      </c>
      <c r="H19">
        <v>190</v>
      </c>
    </row>
    <row r="20" spans="1:8" x14ac:dyDescent="0.3">
      <c r="A20" s="16" t="s">
        <v>48</v>
      </c>
      <c r="B20">
        <v>290</v>
      </c>
      <c r="C20">
        <v>12</v>
      </c>
      <c r="D20">
        <v>6</v>
      </c>
      <c r="E20">
        <v>7</v>
      </c>
      <c r="F20">
        <v>39</v>
      </c>
      <c r="G20">
        <v>3</v>
      </c>
      <c r="H20">
        <v>1150</v>
      </c>
    </row>
    <row r="21" spans="1:8" x14ac:dyDescent="0.3">
      <c r="A21" s="16" t="s">
        <v>49</v>
      </c>
      <c r="B21">
        <v>60</v>
      </c>
      <c r="C21">
        <v>0.5</v>
      </c>
      <c r="D21">
        <v>0</v>
      </c>
      <c r="E21">
        <v>2</v>
      </c>
      <c r="F21">
        <v>11</v>
      </c>
      <c r="G21">
        <v>7</v>
      </c>
      <c r="H21">
        <v>0</v>
      </c>
    </row>
    <row r="22" spans="1:8" x14ac:dyDescent="0.3">
      <c r="A22" s="16" t="s">
        <v>451</v>
      </c>
      <c r="B22">
        <v>70</v>
      </c>
      <c r="C22">
        <v>1</v>
      </c>
      <c r="D22">
        <v>0</v>
      </c>
      <c r="E22">
        <v>2</v>
      </c>
      <c r="F22">
        <v>17</v>
      </c>
      <c r="G22">
        <v>9</v>
      </c>
      <c r="H22">
        <v>0</v>
      </c>
    </row>
    <row r="23" spans="1:8" x14ac:dyDescent="0.3">
      <c r="A23" s="16" t="s">
        <v>50</v>
      </c>
      <c r="B23">
        <v>42</v>
      </c>
      <c r="C23">
        <v>0</v>
      </c>
      <c r="D23">
        <v>0</v>
      </c>
      <c r="E23">
        <v>1</v>
      </c>
      <c r="F23">
        <v>13</v>
      </c>
      <c r="G23">
        <v>2</v>
      </c>
      <c r="H23">
        <v>1</v>
      </c>
    </row>
    <row r="24" spans="1:8" x14ac:dyDescent="0.3">
      <c r="A24" s="16" t="s">
        <v>51</v>
      </c>
      <c r="B24">
        <v>120</v>
      </c>
      <c r="C24">
        <v>3</v>
      </c>
      <c r="D24">
        <v>2</v>
      </c>
      <c r="E24">
        <v>6</v>
      </c>
      <c r="F24">
        <v>19</v>
      </c>
      <c r="G24">
        <v>2</v>
      </c>
      <c r="H24">
        <v>330</v>
      </c>
    </row>
    <row r="25" spans="1:8" x14ac:dyDescent="0.3">
      <c r="A25" s="16" t="s">
        <v>53</v>
      </c>
      <c r="B25">
        <v>8.5</v>
      </c>
      <c r="C25">
        <v>0</v>
      </c>
      <c r="D25">
        <v>0</v>
      </c>
      <c r="E25">
        <v>0</v>
      </c>
      <c r="F25">
        <v>36</v>
      </c>
      <c r="G25">
        <v>0</v>
      </c>
      <c r="H25">
        <v>1</v>
      </c>
    </row>
    <row r="26" spans="1:8" x14ac:dyDescent="0.3">
      <c r="A26" s="16" t="s">
        <v>54</v>
      </c>
      <c r="B26">
        <v>25</v>
      </c>
      <c r="C26">
        <v>0</v>
      </c>
      <c r="D26">
        <v>0</v>
      </c>
      <c r="E26">
        <v>0</v>
      </c>
      <c r="F26">
        <v>6</v>
      </c>
      <c r="G26">
        <v>1</v>
      </c>
      <c r="H26">
        <v>0</v>
      </c>
    </row>
    <row r="27" spans="1:8" x14ac:dyDescent="0.3">
      <c r="A27" s="16" t="s">
        <v>55</v>
      </c>
      <c r="B27">
        <v>8</v>
      </c>
      <c r="C27">
        <v>0.6</v>
      </c>
      <c r="D27">
        <v>0</v>
      </c>
      <c r="E27">
        <v>0.25</v>
      </c>
      <c r="F27">
        <v>0.25</v>
      </c>
      <c r="G27">
        <v>0.25</v>
      </c>
      <c r="H27">
        <v>40</v>
      </c>
    </row>
    <row r="28" spans="1:8" x14ac:dyDescent="0.3">
      <c r="A28" s="16" t="s">
        <v>58</v>
      </c>
      <c r="B28">
        <v>57</v>
      </c>
      <c r="C28">
        <v>0</v>
      </c>
      <c r="D28">
        <v>0</v>
      </c>
      <c r="E28">
        <v>0</v>
      </c>
      <c r="F28">
        <v>15</v>
      </c>
      <c r="G28">
        <v>3</v>
      </c>
      <c r="H28">
        <v>1</v>
      </c>
    </row>
    <row r="29" spans="1:8" x14ac:dyDescent="0.3">
      <c r="A29" s="16" t="s">
        <v>306</v>
      </c>
      <c r="B29">
        <v>62</v>
      </c>
      <c r="C29">
        <v>0.1</v>
      </c>
      <c r="D29">
        <v>0</v>
      </c>
      <c r="E29">
        <v>0.3</v>
      </c>
      <c r="F29">
        <v>14.9</v>
      </c>
      <c r="G29">
        <v>2.5</v>
      </c>
      <c r="H29">
        <v>0</v>
      </c>
    </row>
    <row r="30" spans="1:8" x14ac:dyDescent="0.3">
      <c r="A30" s="16" t="s">
        <v>59</v>
      </c>
      <c r="B30">
        <v>30</v>
      </c>
      <c r="C30">
        <v>0</v>
      </c>
      <c r="D30">
        <v>0</v>
      </c>
      <c r="E30">
        <v>0</v>
      </c>
      <c r="F30">
        <v>8</v>
      </c>
      <c r="G30">
        <v>1</v>
      </c>
      <c r="H30">
        <v>150</v>
      </c>
    </row>
    <row r="31" spans="1:8" x14ac:dyDescent="0.3">
      <c r="A31" s="16" t="s">
        <v>60</v>
      </c>
      <c r="B31">
        <v>70</v>
      </c>
      <c r="C31">
        <v>5</v>
      </c>
      <c r="D31">
        <v>3</v>
      </c>
      <c r="E31">
        <v>4</v>
      </c>
      <c r="F31">
        <v>1</v>
      </c>
      <c r="G31">
        <v>0</v>
      </c>
      <c r="H31">
        <v>250</v>
      </c>
    </row>
    <row r="32" spans="1:8" x14ac:dyDescent="0.3">
      <c r="A32" s="16" t="s">
        <v>61</v>
      </c>
      <c r="B32">
        <v>270</v>
      </c>
      <c r="C32">
        <v>7</v>
      </c>
      <c r="D32">
        <v>1</v>
      </c>
      <c r="E32">
        <v>6</v>
      </c>
      <c r="F32">
        <v>46</v>
      </c>
      <c r="G32">
        <v>3</v>
      </c>
      <c r="H32">
        <v>55</v>
      </c>
    </row>
    <row r="33" spans="1:8" x14ac:dyDescent="0.3">
      <c r="A33" s="16" t="s">
        <v>62</v>
      </c>
      <c r="B33">
        <v>25</v>
      </c>
      <c r="C33">
        <v>0</v>
      </c>
      <c r="D33">
        <v>0</v>
      </c>
      <c r="E33">
        <v>0</v>
      </c>
      <c r="F33">
        <v>6</v>
      </c>
      <c r="G33">
        <v>1</v>
      </c>
      <c r="H33">
        <v>0</v>
      </c>
    </row>
    <row r="34" spans="1:8" x14ac:dyDescent="0.3">
      <c r="A34" s="16" t="s">
        <v>63</v>
      </c>
      <c r="B34">
        <v>150</v>
      </c>
      <c r="C34">
        <v>8</v>
      </c>
      <c r="D34">
        <v>1</v>
      </c>
      <c r="E34">
        <v>2</v>
      </c>
      <c r="F34">
        <v>17</v>
      </c>
      <c r="G34">
        <v>1</v>
      </c>
      <c r="H34">
        <v>170</v>
      </c>
    </row>
    <row r="35" spans="1:8" x14ac:dyDescent="0.3">
      <c r="A35" s="16" t="s">
        <v>64</v>
      </c>
      <c r="B35">
        <f>SUM(B36:B39)</f>
        <v>528</v>
      </c>
      <c r="C35">
        <f>SUM(C36:C39)</f>
        <v>19.34</v>
      </c>
      <c r="D35">
        <f t="shared" ref="D35:G35" si="0">SUM(D36:D39)</f>
        <v>5.04</v>
      </c>
      <c r="E35">
        <f t="shared" si="0"/>
        <v>28</v>
      </c>
      <c r="F35">
        <f>SUM(F36:F39)</f>
        <v>62</v>
      </c>
      <c r="G35">
        <f t="shared" si="0"/>
        <v>7</v>
      </c>
      <c r="H35">
        <f>SUM(H36:H39)</f>
        <v>385.03</v>
      </c>
    </row>
    <row r="36" spans="1:8" x14ac:dyDescent="0.3">
      <c r="A36" s="16" t="s">
        <v>562</v>
      </c>
      <c r="B36">
        <v>200</v>
      </c>
      <c r="C36">
        <v>1</v>
      </c>
      <c r="D36">
        <v>0</v>
      </c>
      <c r="E36">
        <v>4</v>
      </c>
      <c r="F36">
        <v>44</v>
      </c>
      <c r="G36">
        <v>1</v>
      </c>
      <c r="H36">
        <v>0</v>
      </c>
    </row>
    <row r="37" spans="1:8" x14ac:dyDescent="0.3">
      <c r="A37" s="16" t="s">
        <v>180</v>
      </c>
      <c r="B37">
        <v>260</v>
      </c>
      <c r="C37">
        <v>18</v>
      </c>
      <c r="D37">
        <v>5</v>
      </c>
      <c r="E37">
        <v>20</v>
      </c>
      <c r="F37">
        <v>5</v>
      </c>
      <c r="G37">
        <v>2</v>
      </c>
      <c r="H37">
        <v>350</v>
      </c>
    </row>
    <row r="38" spans="1:8" x14ac:dyDescent="0.3">
      <c r="A38" s="16" t="s">
        <v>65</v>
      </c>
      <c r="B38">
        <v>31</v>
      </c>
      <c r="C38">
        <v>0.34</v>
      </c>
      <c r="D38">
        <v>0.04</v>
      </c>
      <c r="E38">
        <v>3</v>
      </c>
      <c r="F38">
        <v>6</v>
      </c>
      <c r="G38">
        <v>2</v>
      </c>
      <c r="H38">
        <v>30.03</v>
      </c>
    </row>
    <row r="39" spans="1:8" x14ac:dyDescent="0.3">
      <c r="A39" s="16" t="s">
        <v>66</v>
      </c>
      <c r="B39">
        <v>37</v>
      </c>
      <c r="C39">
        <v>0</v>
      </c>
      <c r="D39">
        <v>0</v>
      </c>
      <c r="E39">
        <v>1</v>
      </c>
      <c r="F39">
        <v>7</v>
      </c>
      <c r="G39">
        <v>2</v>
      </c>
      <c r="H39">
        <v>5</v>
      </c>
    </row>
    <row r="40" spans="1:8" x14ac:dyDescent="0.3">
      <c r="A40" s="16" t="s">
        <v>115</v>
      </c>
      <c r="B40">
        <v>40</v>
      </c>
      <c r="C40">
        <v>0</v>
      </c>
      <c r="D40">
        <v>0</v>
      </c>
      <c r="E40">
        <v>1</v>
      </c>
      <c r="F40">
        <v>10</v>
      </c>
      <c r="G40">
        <v>3</v>
      </c>
      <c r="H40">
        <v>0</v>
      </c>
    </row>
    <row r="41" spans="1:8" x14ac:dyDescent="0.3">
      <c r="A41" s="16" t="s">
        <v>278</v>
      </c>
      <c r="B41">
        <v>27</v>
      </c>
      <c r="C41">
        <v>0</v>
      </c>
      <c r="D41">
        <v>0</v>
      </c>
      <c r="E41">
        <v>1</v>
      </c>
      <c r="F41">
        <v>6</v>
      </c>
      <c r="G41">
        <v>1</v>
      </c>
      <c r="H41">
        <v>2</v>
      </c>
    </row>
    <row r="42" spans="1:8" x14ac:dyDescent="0.3">
      <c r="A42" s="16" t="s">
        <v>67</v>
      </c>
      <c r="B42">
        <v>105</v>
      </c>
      <c r="C42">
        <v>0</v>
      </c>
      <c r="D42">
        <v>0</v>
      </c>
      <c r="E42">
        <v>1</v>
      </c>
      <c r="F42">
        <v>27</v>
      </c>
      <c r="G42">
        <v>3</v>
      </c>
      <c r="H42">
        <v>1</v>
      </c>
    </row>
    <row r="43" spans="1:8" x14ac:dyDescent="0.3">
      <c r="A43" s="16" t="s">
        <v>68</v>
      </c>
      <c r="B43">
        <f>SUM(B44:B46)+SUM(B38:B39)</f>
        <v>528</v>
      </c>
      <c r="C43">
        <f t="shared" ref="C43:H43" si="1">SUM(C44:C46)+SUM(C38:C39)</f>
        <v>17.84</v>
      </c>
      <c r="D43">
        <f t="shared" si="1"/>
        <v>7.04</v>
      </c>
      <c r="E43">
        <f>SUM(E44:E46)+SUM(E38:E39)</f>
        <v>47</v>
      </c>
      <c r="F43">
        <f>SUM(F44:F46)+SUM(F38:F39)</f>
        <v>57</v>
      </c>
      <c r="G43">
        <f t="shared" si="1"/>
        <v>22</v>
      </c>
      <c r="H43">
        <f t="shared" si="1"/>
        <v>1025.03</v>
      </c>
    </row>
    <row r="44" spans="1:8" x14ac:dyDescent="0.3">
      <c r="A44" s="16" t="s">
        <v>69</v>
      </c>
      <c r="B44">
        <v>180</v>
      </c>
      <c r="C44">
        <v>3.5</v>
      </c>
      <c r="D44">
        <v>0</v>
      </c>
      <c r="E44">
        <v>24</v>
      </c>
      <c r="F44">
        <v>20</v>
      </c>
      <c r="G44">
        <v>13</v>
      </c>
      <c r="H44">
        <v>0</v>
      </c>
    </row>
    <row r="45" spans="1:8" x14ac:dyDescent="0.3">
      <c r="A45" s="16" t="s">
        <v>70</v>
      </c>
      <c r="B45">
        <v>220</v>
      </c>
      <c r="C45">
        <v>13</v>
      </c>
      <c r="D45">
        <v>7</v>
      </c>
      <c r="E45">
        <v>17</v>
      </c>
      <c r="F45">
        <v>12</v>
      </c>
      <c r="G45">
        <v>3</v>
      </c>
      <c r="H45">
        <v>570</v>
      </c>
    </row>
    <row r="46" spans="1:8" x14ac:dyDescent="0.3">
      <c r="A46" s="16" t="s">
        <v>71</v>
      </c>
      <c r="B46">
        <v>60</v>
      </c>
      <c r="C46">
        <v>1</v>
      </c>
      <c r="D46">
        <v>0</v>
      </c>
      <c r="E46">
        <v>2</v>
      </c>
      <c r="F46">
        <v>12</v>
      </c>
      <c r="G46">
        <v>2</v>
      </c>
      <c r="H46">
        <v>420</v>
      </c>
    </row>
    <row r="47" spans="1:8" x14ac:dyDescent="0.3">
      <c r="A47" s="16" t="s">
        <v>73</v>
      </c>
      <c r="B47">
        <v>104</v>
      </c>
      <c r="C47">
        <v>0</v>
      </c>
      <c r="D47">
        <v>0</v>
      </c>
      <c r="E47">
        <v>1</v>
      </c>
      <c r="F47">
        <v>27</v>
      </c>
      <c r="G47">
        <v>1</v>
      </c>
      <c r="H47">
        <v>3</v>
      </c>
    </row>
    <row r="48" spans="1:8" x14ac:dyDescent="0.3">
      <c r="A48" s="16" t="s">
        <v>74</v>
      </c>
      <c r="B48">
        <v>90</v>
      </c>
      <c r="C48">
        <v>3.5</v>
      </c>
      <c r="D48">
        <v>1</v>
      </c>
      <c r="E48">
        <v>3</v>
      </c>
      <c r="F48">
        <v>12</v>
      </c>
      <c r="G48">
        <v>3</v>
      </c>
      <c r="H48">
        <v>460</v>
      </c>
    </row>
    <row r="49" spans="1:8" x14ac:dyDescent="0.3">
      <c r="A49" s="16" t="s">
        <v>114</v>
      </c>
      <c r="B49">
        <v>20</v>
      </c>
      <c r="C49">
        <v>1.5</v>
      </c>
      <c r="D49">
        <v>1</v>
      </c>
      <c r="E49">
        <v>2</v>
      </c>
      <c r="F49">
        <v>0</v>
      </c>
      <c r="G49">
        <v>0</v>
      </c>
      <c r="H49">
        <v>100</v>
      </c>
    </row>
    <row r="50" spans="1:8" x14ac:dyDescent="0.3">
      <c r="A50" s="16" t="s">
        <v>75</v>
      </c>
      <c r="B50">
        <v>120</v>
      </c>
      <c r="C50">
        <v>14</v>
      </c>
      <c r="D50">
        <v>2</v>
      </c>
      <c r="E50">
        <v>0</v>
      </c>
      <c r="F50">
        <v>0</v>
      </c>
      <c r="G50">
        <v>0</v>
      </c>
      <c r="H50">
        <v>0</v>
      </c>
    </row>
    <row r="51" spans="1:8" x14ac:dyDescent="0.3">
      <c r="A51" s="16" t="s">
        <v>76</v>
      </c>
      <c r="B51">
        <v>190</v>
      </c>
      <c r="C51">
        <v>0</v>
      </c>
      <c r="D51">
        <v>0</v>
      </c>
      <c r="E51">
        <v>6</v>
      </c>
      <c r="F51">
        <v>41</v>
      </c>
      <c r="G51">
        <v>7</v>
      </c>
      <c r="H51">
        <v>1450</v>
      </c>
    </row>
    <row r="52" spans="1:8" x14ac:dyDescent="0.3">
      <c r="A52" s="16" t="s">
        <v>77</v>
      </c>
      <c r="B52">
        <v>107</v>
      </c>
      <c r="C52">
        <v>0</v>
      </c>
      <c r="D52">
        <v>0</v>
      </c>
      <c r="E52">
        <v>1</v>
      </c>
      <c r="F52">
        <v>28</v>
      </c>
      <c r="G52">
        <v>3</v>
      </c>
      <c r="H52">
        <v>3</v>
      </c>
    </row>
    <row r="53" spans="1:8" x14ac:dyDescent="0.3">
      <c r="A53" s="16" t="s">
        <v>78</v>
      </c>
      <c r="B53">
        <v>140</v>
      </c>
      <c r="C53">
        <v>7</v>
      </c>
      <c r="D53">
        <v>5</v>
      </c>
      <c r="E53">
        <v>2</v>
      </c>
      <c r="F53">
        <v>18</v>
      </c>
      <c r="G53">
        <v>2</v>
      </c>
      <c r="H53">
        <v>90</v>
      </c>
    </row>
    <row r="54" spans="1:8" x14ac:dyDescent="0.3">
      <c r="A54" s="16" t="s">
        <v>79</v>
      </c>
      <c r="B54">
        <v>200</v>
      </c>
      <c r="C54">
        <v>9</v>
      </c>
      <c r="D54">
        <v>9</v>
      </c>
      <c r="E54">
        <v>12</v>
      </c>
      <c r="F54">
        <v>1</v>
      </c>
      <c r="G54">
        <v>0</v>
      </c>
      <c r="H54">
        <v>340</v>
      </c>
    </row>
    <row r="55" spans="1:8" x14ac:dyDescent="0.3">
      <c r="A55" s="16" t="s">
        <v>80</v>
      </c>
      <c r="B55">
        <v>340</v>
      </c>
      <c r="C55">
        <v>5</v>
      </c>
      <c r="D55">
        <v>0</v>
      </c>
      <c r="E55">
        <v>17</v>
      </c>
      <c r="F55">
        <v>57</v>
      </c>
      <c r="G55">
        <v>16</v>
      </c>
      <c r="H55">
        <v>1670</v>
      </c>
    </row>
    <row r="56" spans="1:8" x14ac:dyDescent="0.3">
      <c r="A56" s="16" t="s">
        <v>81</v>
      </c>
      <c r="B56">
        <v>150</v>
      </c>
      <c r="C56">
        <v>1</v>
      </c>
      <c r="D56">
        <v>0</v>
      </c>
      <c r="E56">
        <v>3</v>
      </c>
      <c r="F56">
        <v>33</v>
      </c>
      <c r="G56">
        <v>2</v>
      </c>
      <c r="H56">
        <v>280</v>
      </c>
    </row>
    <row r="57" spans="1:8" x14ac:dyDescent="0.3">
      <c r="A57" s="16" t="s">
        <v>90</v>
      </c>
      <c r="B57">
        <v>100</v>
      </c>
      <c r="C57">
        <v>1</v>
      </c>
      <c r="D57">
        <v>0</v>
      </c>
      <c r="E57">
        <v>2</v>
      </c>
      <c r="F57">
        <v>21</v>
      </c>
      <c r="G57">
        <v>2</v>
      </c>
      <c r="H57">
        <v>20</v>
      </c>
    </row>
    <row r="58" spans="1:8" x14ac:dyDescent="0.3">
      <c r="A58" s="16" t="s">
        <v>106</v>
      </c>
      <c r="B58">
        <v>200</v>
      </c>
      <c r="C58">
        <v>13</v>
      </c>
      <c r="D58">
        <v>12</v>
      </c>
      <c r="E58">
        <v>2</v>
      </c>
      <c r="F58">
        <v>22</v>
      </c>
      <c r="G58">
        <v>2</v>
      </c>
      <c r="H58">
        <v>20</v>
      </c>
    </row>
    <row r="59" spans="1:8" x14ac:dyDescent="0.3">
      <c r="A59" s="16" t="s">
        <v>108</v>
      </c>
      <c r="B59">
        <v>160</v>
      </c>
      <c r="C59">
        <v>7</v>
      </c>
      <c r="D59">
        <v>2</v>
      </c>
      <c r="E59">
        <v>2</v>
      </c>
      <c r="F59">
        <v>21</v>
      </c>
      <c r="G59">
        <v>2</v>
      </c>
      <c r="H59">
        <v>0</v>
      </c>
    </row>
    <row r="60" spans="1:8" x14ac:dyDescent="0.3">
      <c r="A60" s="16" t="s">
        <v>109</v>
      </c>
      <c r="B60">
        <f>0.66*160</f>
        <v>105.60000000000001</v>
      </c>
      <c r="C60">
        <f>0.66*7</f>
        <v>4.62</v>
      </c>
      <c r="D60">
        <f>0.66*2</f>
        <v>1.32</v>
      </c>
      <c r="E60">
        <f>0.66*2</f>
        <v>1.32</v>
      </c>
      <c r="F60">
        <f>0.66*21</f>
        <v>13.860000000000001</v>
      </c>
      <c r="G60">
        <f>0.66*2</f>
        <v>1.32</v>
      </c>
      <c r="H60">
        <v>0</v>
      </c>
    </row>
    <row r="61" spans="1:8" x14ac:dyDescent="0.3">
      <c r="A61" s="16" t="s">
        <v>110</v>
      </c>
      <c r="B61">
        <v>330</v>
      </c>
      <c r="C61">
        <v>2.5</v>
      </c>
      <c r="D61">
        <v>0.5</v>
      </c>
      <c r="E61">
        <v>23</v>
      </c>
      <c r="F61">
        <v>61</v>
      </c>
      <c r="G61">
        <v>11</v>
      </c>
      <c r="H61">
        <v>0</v>
      </c>
    </row>
    <row r="62" spans="1:8" x14ac:dyDescent="0.3">
      <c r="A62" s="16" t="s">
        <v>111</v>
      </c>
      <c r="B62">
        <v>90</v>
      </c>
      <c r="C62">
        <v>2</v>
      </c>
      <c r="D62">
        <v>2</v>
      </c>
      <c r="E62">
        <v>3</v>
      </c>
      <c r="F62">
        <v>18</v>
      </c>
      <c r="G62">
        <v>4</v>
      </c>
      <c r="H62">
        <v>500</v>
      </c>
    </row>
    <row r="63" spans="1:8" x14ac:dyDescent="0.3">
      <c r="A63" s="16" t="s">
        <v>119</v>
      </c>
      <c r="B63">
        <v>123</v>
      </c>
      <c r="C63">
        <v>0</v>
      </c>
      <c r="D63">
        <v>0</v>
      </c>
      <c r="E63">
        <v>0</v>
      </c>
      <c r="F63">
        <v>4</v>
      </c>
      <c r="G63">
        <v>0</v>
      </c>
      <c r="H63">
        <v>6</v>
      </c>
    </row>
    <row r="64" spans="1:8" x14ac:dyDescent="0.3">
      <c r="A64" s="16" t="s">
        <v>123</v>
      </c>
      <c r="B64">
        <f>123*5</f>
        <v>615</v>
      </c>
      <c r="C64">
        <v>0</v>
      </c>
      <c r="D64">
        <v>0</v>
      </c>
      <c r="E64">
        <v>0</v>
      </c>
      <c r="F64">
        <f>4*5</f>
        <v>20</v>
      </c>
      <c r="G64">
        <v>0</v>
      </c>
      <c r="H64">
        <f>6*5</f>
        <v>30</v>
      </c>
    </row>
    <row r="65" spans="1:8" x14ac:dyDescent="0.3">
      <c r="A65" s="16" t="s">
        <v>282</v>
      </c>
      <c r="B65">
        <v>5</v>
      </c>
      <c r="C65">
        <v>0</v>
      </c>
      <c r="D65">
        <v>0</v>
      </c>
      <c r="E65">
        <v>0</v>
      </c>
      <c r="F65">
        <v>1</v>
      </c>
      <c r="G65">
        <v>0</v>
      </c>
      <c r="H65">
        <v>0</v>
      </c>
    </row>
    <row r="66" spans="1:8" x14ac:dyDescent="0.3">
      <c r="A66" s="16" t="s">
        <v>121</v>
      </c>
      <c r="B66">
        <v>100</v>
      </c>
      <c r="C66">
        <v>0</v>
      </c>
      <c r="D66">
        <v>0</v>
      </c>
      <c r="E66">
        <v>0</v>
      </c>
      <c r="F66">
        <v>25</v>
      </c>
      <c r="G66">
        <v>2</v>
      </c>
      <c r="H66">
        <v>0</v>
      </c>
    </row>
    <row r="67" spans="1:8" x14ac:dyDescent="0.3">
      <c r="A67" s="16" t="s">
        <v>122</v>
      </c>
      <c r="B67">
        <v>200</v>
      </c>
      <c r="C67">
        <v>0</v>
      </c>
      <c r="D67">
        <v>0</v>
      </c>
      <c r="E67">
        <v>0</v>
      </c>
      <c r="F67">
        <v>50</v>
      </c>
      <c r="G67">
        <v>4</v>
      </c>
      <c r="H67">
        <v>0</v>
      </c>
    </row>
    <row r="68" spans="1:8" x14ac:dyDescent="0.3">
      <c r="A68" s="16" t="s">
        <v>133</v>
      </c>
      <c r="B68">
        <v>42</v>
      </c>
      <c r="C68">
        <v>0.4</v>
      </c>
      <c r="D68">
        <v>0</v>
      </c>
      <c r="E68">
        <v>1</v>
      </c>
      <c r="F68">
        <v>10</v>
      </c>
      <c r="G68">
        <v>2.2000000000000002</v>
      </c>
      <c r="H68">
        <v>412</v>
      </c>
    </row>
    <row r="69" spans="1:8" x14ac:dyDescent="0.3">
      <c r="A69" s="16" t="s">
        <v>134</v>
      </c>
      <c r="B69">
        <v>22.1</v>
      </c>
      <c r="C69">
        <v>0.2</v>
      </c>
      <c r="D69">
        <v>0</v>
      </c>
      <c r="E69">
        <v>1.1000000000000001</v>
      </c>
      <c r="F69">
        <v>4.8</v>
      </c>
      <c r="G69">
        <v>1.5</v>
      </c>
      <c r="H69">
        <v>6.2</v>
      </c>
    </row>
    <row r="70" spans="1:8" x14ac:dyDescent="0.3">
      <c r="A70" s="16" t="s">
        <v>135</v>
      </c>
      <c r="B70">
        <v>190</v>
      </c>
      <c r="C70">
        <v>18</v>
      </c>
      <c r="D70">
        <v>1.5</v>
      </c>
      <c r="E70">
        <v>4</v>
      </c>
      <c r="F70">
        <v>4</v>
      </c>
      <c r="G70">
        <v>2</v>
      </c>
      <c r="H70">
        <v>0</v>
      </c>
    </row>
    <row r="71" spans="1:8" x14ac:dyDescent="0.3">
      <c r="A71" s="16" t="s">
        <v>136</v>
      </c>
      <c r="B71">
        <v>100</v>
      </c>
      <c r="C71">
        <v>8</v>
      </c>
      <c r="D71">
        <v>5</v>
      </c>
      <c r="E71">
        <v>7</v>
      </c>
      <c r="F71">
        <v>0</v>
      </c>
      <c r="G71">
        <v>0</v>
      </c>
      <c r="H71">
        <v>170</v>
      </c>
    </row>
    <row r="72" spans="1:8" x14ac:dyDescent="0.3">
      <c r="A72" s="16" t="s">
        <v>151</v>
      </c>
      <c r="B72">
        <v>100</v>
      </c>
      <c r="C72">
        <v>8</v>
      </c>
      <c r="D72">
        <v>4.5</v>
      </c>
      <c r="E72">
        <v>5</v>
      </c>
      <c r="F72">
        <v>2</v>
      </c>
      <c r="G72">
        <v>0</v>
      </c>
      <c r="H72">
        <v>360</v>
      </c>
    </row>
    <row r="73" spans="1:8" x14ac:dyDescent="0.3">
      <c r="A73" s="16" t="s">
        <v>154</v>
      </c>
      <c r="B73">
        <v>240</v>
      </c>
      <c r="C73">
        <v>2</v>
      </c>
      <c r="D73">
        <v>0</v>
      </c>
      <c r="E73">
        <v>2</v>
      </c>
      <c r="F73">
        <v>54</v>
      </c>
      <c r="G73">
        <v>1</v>
      </c>
      <c r="H73">
        <v>490</v>
      </c>
    </row>
    <row r="74" spans="1:8" x14ac:dyDescent="0.3">
      <c r="A74" s="16" t="s">
        <v>155</v>
      </c>
      <c r="B74">
        <f>240*6</f>
        <v>1440</v>
      </c>
      <c r="C74">
        <v>12</v>
      </c>
      <c r="D74">
        <v>0</v>
      </c>
      <c r="E74">
        <v>12</v>
      </c>
      <c r="F74">
        <f>54*6</f>
        <v>324</v>
      </c>
      <c r="G74">
        <v>6</v>
      </c>
      <c r="H74">
        <f>490*6</f>
        <v>2940</v>
      </c>
    </row>
    <row r="75" spans="1:8" x14ac:dyDescent="0.3">
      <c r="A75" s="16" t="s">
        <v>157</v>
      </c>
      <c r="B75">
        <v>100</v>
      </c>
      <c r="C75">
        <v>8</v>
      </c>
      <c r="D75">
        <v>4.5</v>
      </c>
      <c r="E75">
        <v>5</v>
      </c>
      <c r="F75">
        <v>2</v>
      </c>
      <c r="G75">
        <v>1</v>
      </c>
      <c r="H75">
        <v>360</v>
      </c>
    </row>
    <row r="76" spans="1:8" x14ac:dyDescent="0.3">
      <c r="A76" s="16" t="s">
        <v>163</v>
      </c>
      <c r="B76">
        <v>130</v>
      </c>
      <c r="C76">
        <v>3</v>
      </c>
      <c r="D76">
        <v>0</v>
      </c>
      <c r="E76">
        <v>3</v>
      </c>
      <c r="F76">
        <v>23</v>
      </c>
      <c r="G76">
        <v>2</v>
      </c>
      <c r="H76">
        <v>620</v>
      </c>
    </row>
    <row r="77" spans="1:8" x14ac:dyDescent="0.3">
      <c r="A77" s="16" t="s">
        <v>169</v>
      </c>
      <c r="B77">
        <v>60</v>
      </c>
      <c r="C77">
        <v>4</v>
      </c>
      <c r="D77">
        <v>2.5</v>
      </c>
      <c r="E77">
        <v>5</v>
      </c>
      <c r="F77">
        <v>1</v>
      </c>
      <c r="G77">
        <v>0</v>
      </c>
      <c r="H77">
        <v>140</v>
      </c>
    </row>
    <row r="78" spans="1:8" x14ac:dyDescent="0.3">
      <c r="A78" s="16" t="s">
        <v>168</v>
      </c>
      <c r="B78">
        <v>80</v>
      </c>
      <c r="C78">
        <v>6</v>
      </c>
      <c r="D78">
        <v>4</v>
      </c>
      <c r="E78">
        <v>5</v>
      </c>
      <c r="F78">
        <v>0</v>
      </c>
      <c r="G78">
        <v>0</v>
      </c>
      <c r="H78">
        <v>130</v>
      </c>
    </row>
    <row r="79" spans="1:8" x14ac:dyDescent="0.3">
      <c r="A79" s="16" t="s">
        <v>172</v>
      </c>
      <c r="B79">
        <v>330</v>
      </c>
      <c r="C79">
        <v>2.5</v>
      </c>
      <c r="D79">
        <v>0.5</v>
      </c>
      <c r="E79">
        <v>23</v>
      </c>
      <c r="F79">
        <v>61</v>
      </c>
      <c r="G79">
        <v>11</v>
      </c>
      <c r="H79">
        <v>0</v>
      </c>
    </row>
    <row r="80" spans="1:8" x14ac:dyDescent="0.3">
      <c r="A80" s="16" t="s">
        <v>173</v>
      </c>
      <c r="B80">
        <v>8</v>
      </c>
      <c r="C80">
        <v>0</v>
      </c>
      <c r="D80">
        <v>0</v>
      </c>
      <c r="E80">
        <v>0.77</v>
      </c>
      <c r="F80">
        <v>1.1000000000000001</v>
      </c>
      <c r="G80">
        <v>0.5</v>
      </c>
      <c r="H80">
        <v>8</v>
      </c>
    </row>
    <row r="81" spans="1:8" x14ac:dyDescent="0.3">
      <c r="A81" s="16" t="s">
        <v>178</v>
      </c>
      <c r="B81">
        <f>SUM(B68*2,B50*4,B40,B39,B70*4)/4</f>
        <v>350.25</v>
      </c>
      <c r="C81">
        <f t="shared" ref="C81:H81" si="2">SUM(C68*2,C50*4,C40,C39,C70*4)/4</f>
        <v>32.200000000000003</v>
      </c>
      <c r="D81">
        <f t="shared" si="2"/>
        <v>3.5</v>
      </c>
      <c r="E81">
        <f t="shared" si="2"/>
        <v>5</v>
      </c>
      <c r="F81">
        <f t="shared" si="2"/>
        <v>13.25</v>
      </c>
      <c r="G81">
        <f t="shared" si="2"/>
        <v>4.3499999999999996</v>
      </c>
      <c r="H81">
        <f t="shared" si="2"/>
        <v>207.25</v>
      </c>
    </row>
    <row r="82" spans="1:8" x14ac:dyDescent="0.3">
      <c r="A82" s="16" t="s">
        <v>179</v>
      </c>
      <c r="B82">
        <f>SUM(B37,B62*3)/4</f>
        <v>132.5</v>
      </c>
      <c r="C82">
        <f t="shared" ref="C82:H82" si="3">SUM(C37,C62*3)/4</f>
        <v>6</v>
      </c>
      <c r="D82">
        <f t="shared" si="3"/>
        <v>2.75</v>
      </c>
      <c r="E82">
        <f t="shared" si="3"/>
        <v>7.25</v>
      </c>
      <c r="F82">
        <f t="shared" si="3"/>
        <v>14.75</v>
      </c>
      <c r="G82">
        <f t="shared" si="3"/>
        <v>3.5</v>
      </c>
      <c r="H82">
        <f t="shared" si="3"/>
        <v>462.5</v>
      </c>
    </row>
    <row r="83" spans="1:8" x14ac:dyDescent="0.3">
      <c r="A83" s="16" t="s">
        <v>181</v>
      </c>
      <c r="B83">
        <v>118</v>
      </c>
      <c r="C83">
        <v>0</v>
      </c>
      <c r="D83">
        <v>0</v>
      </c>
      <c r="E83">
        <v>2</v>
      </c>
      <c r="F83">
        <v>28</v>
      </c>
      <c r="G83">
        <v>4</v>
      </c>
      <c r="H83">
        <v>9</v>
      </c>
    </row>
    <row r="84" spans="1:8" x14ac:dyDescent="0.3">
      <c r="A84" s="16" t="s">
        <v>191</v>
      </c>
      <c r="B84">
        <v>100</v>
      </c>
      <c r="C84">
        <v>1</v>
      </c>
      <c r="D84">
        <v>0</v>
      </c>
      <c r="E84">
        <v>2</v>
      </c>
      <c r="F84">
        <v>21</v>
      </c>
      <c r="G84">
        <v>2</v>
      </c>
      <c r="H84">
        <v>60</v>
      </c>
    </row>
    <row r="85" spans="1:8" x14ac:dyDescent="0.3">
      <c r="A85" s="16" t="s">
        <v>192</v>
      </c>
      <c r="B85">
        <v>60</v>
      </c>
      <c r="C85">
        <v>5</v>
      </c>
      <c r="D85">
        <v>3.5</v>
      </c>
      <c r="E85">
        <v>1</v>
      </c>
      <c r="F85">
        <v>0</v>
      </c>
      <c r="G85">
        <v>1</v>
      </c>
      <c r="H85">
        <v>15</v>
      </c>
    </row>
    <row r="86" spans="1:8" x14ac:dyDescent="0.3">
      <c r="A86" s="16" t="s">
        <v>253</v>
      </c>
      <c r="B86">
        <v>36</v>
      </c>
      <c r="C86">
        <v>0</v>
      </c>
      <c r="D86">
        <v>0</v>
      </c>
      <c r="E86">
        <v>1</v>
      </c>
      <c r="F86">
        <v>7</v>
      </c>
      <c r="G86">
        <v>1</v>
      </c>
      <c r="H86">
        <v>18</v>
      </c>
    </row>
    <row r="87" spans="1:8" x14ac:dyDescent="0.3">
      <c r="A87" s="16" t="s">
        <v>258</v>
      </c>
      <c r="B87">
        <v>40</v>
      </c>
      <c r="C87">
        <v>3</v>
      </c>
      <c r="D87">
        <v>0</v>
      </c>
      <c r="E87">
        <v>1</v>
      </c>
      <c r="F87">
        <v>2</v>
      </c>
      <c r="G87">
        <v>1</v>
      </c>
      <c r="H87">
        <v>180</v>
      </c>
    </row>
    <row r="88" spans="1:8" x14ac:dyDescent="0.3">
      <c r="A88" s="16" t="s">
        <v>259</v>
      </c>
      <c r="B88">
        <v>200</v>
      </c>
      <c r="C88">
        <v>20</v>
      </c>
      <c r="D88">
        <v>2</v>
      </c>
      <c r="E88">
        <v>5</v>
      </c>
      <c r="F88">
        <v>4</v>
      </c>
      <c r="G88">
        <v>2</v>
      </c>
      <c r="H88">
        <v>0</v>
      </c>
    </row>
    <row r="89" spans="1:8" x14ac:dyDescent="0.3">
      <c r="A89" s="16" t="s">
        <v>367</v>
      </c>
      <c r="B89">
        <v>10</v>
      </c>
      <c r="C89">
        <v>0.5</v>
      </c>
      <c r="D89">
        <v>0</v>
      </c>
      <c r="E89">
        <v>1</v>
      </c>
      <c r="F89">
        <v>3</v>
      </c>
      <c r="G89">
        <v>1</v>
      </c>
      <c r="H89">
        <v>0</v>
      </c>
    </row>
    <row r="90" spans="1:8" x14ac:dyDescent="0.3">
      <c r="A90" s="16" t="s">
        <v>265</v>
      </c>
      <c r="B90">
        <f>SUM(B91:B96)</f>
        <v>788</v>
      </c>
      <c r="C90">
        <f t="shared" ref="C90:H90" si="4">SUM(C91:C96)</f>
        <v>24.34</v>
      </c>
      <c r="D90">
        <f t="shared" si="4"/>
        <v>6.54</v>
      </c>
      <c r="E90">
        <f t="shared" si="4"/>
        <v>51</v>
      </c>
      <c r="F90">
        <f t="shared" si="4"/>
        <v>101</v>
      </c>
      <c r="G90">
        <f t="shared" si="4"/>
        <v>23</v>
      </c>
      <c r="H90">
        <f t="shared" si="4"/>
        <v>845.03</v>
      </c>
    </row>
    <row r="91" spans="1:8" x14ac:dyDescent="0.3">
      <c r="A91" s="16" t="s">
        <v>264</v>
      </c>
      <c r="B91">
        <v>330</v>
      </c>
      <c r="C91">
        <v>2.5</v>
      </c>
      <c r="D91">
        <v>0.5</v>
      </c>
      <c r="E91">
        <v>23</v>
      </c>
      <c r="F91">
        <v>61</v>
      </c>
      <c r="G91">
        <v>11</v>
      </c>
      <c r="H91">
        <v>0</v>
      </c>
    </row>
    <row r="92" spans="1:8" x14ac:dyDescent="0.3">
      <c r="A92" s="16" t="s">
        <v>65</v>
      </c>
      <c r="B92">
        <v>31</v>
      </c>
      <c r="C92">
        <v>0.34</v>
      </c>
      <c r="D92">
        <v>0.04</v>
      </c>
      <c r="E92">
        <v>3</v>
      </c>
      <c r="F92">
        <v>6</v>
      </c>
      <c r="G92">
        <v>2</v>
      </c>
      <c r="H92">
        <v>30.03</v>
      </c>
    </row>
    <row r="93" spans="1:8" x14ac:dyDescent="0.3">
      <c r="A93" s="16" t="s">
        <v>66</v>
      </c>
      <c r="B93">
        <v>37</v>
      </c>
      <c r="C93">
        <v>0</v>
      </c>
      <c r="D93">
        <v>0</v>
      </c>
      <c r="E93">
        <v>1</v>
      </c>
      <c r="F93">
        <v>7</v>
      </c>
      <c r="G93">
        <v>2</v>
      </c>
      <c r="H93">
        <v>5</v>
      </c>
    </row>
    <row r="94" spans="1:8" x14ac:dyDescent="0.3">
      <c r="A94" s="16" t="s">
        <v>115</v>
      </c>
      <c r="B94">
        <v>40</v>
      </c>
      <c r="C94">
        <v>0</v>
      </c>
      <c r="D94">
        <v>0</v>
      </c>
      <c r="E94">
        <v>1</v>
      </c>
      <c r="F94">
        <v>10</v>
      </c>
      <c r="G94">
        <v>3</v>
      </c>
      <c r="H94">
        <v>0</v>
      </c>
    </row>
    <row r="95" spans="1:8" x14ac:dyDescent="0.3">
      <c r="A95" s="16" t="s">
        <v>180</v>
      </c>
      <c r="B95">
        <v>260</v>
      </c>
      <c r="C95">
        <v>18</v>
      </c>
      <c r="D95">
        <v>5</v>
      </c>
      <c r="E95">
        <v>20</v>
      </c>
      <c r="F95">
        <v>5</v>
      </c>
      <c r="G95">
        <v>2</v>
      </c>
      <c r="H95">
        <v>350</v>
      </c>
    </row>
    <row r="96" spans="1:8" x14ac:dyDescent="0.3">
      <c r="A96" s="16" t="s">
        <v>266</v>
      </c>
      <c r="B96">
        <v>90</v>
      </c>
      <c r="C96">
        <v>3.5</v>
      </c>
      <c r="D96">
        <v>1</v>
      </c>
      <c r="E96">
        <v>3</v>
      </c>
      <c r="F96">
        <v>12</v>
      </c>
      <c r="G96">
        <v>3</v>
      </c>
      <c r="H96">
        <v>460</v>
      </c>
    </row>
    <row r="97" spans="1:8" x14ac:dyDescent="0.3">
      <c r="A97" s="16" t="s">
        <v>267</v>
      </c>
      <c r="B97">
        <v>60</v>
      </c>
      <c r="C97">
        <v>0</v>
      </c>
      <c r="D97">
        <v>0</v>
      </c>
      <c r="E97">
        <v>0</v>
      </c>
      <c r="F97">
        <v>17</v>
      </c>
      <c r="G97">
        <v>0</v>
      </c>
      <c r="H97">
        <v>0</v>
      </c>
    </row>
    <row r="98" spans="1:8" x14ac:dyDescent="0.3">
      <c r="A98" s="16" t="s">
        <v>274</v>
      </c>
      <c r="B98">
        <v>70</v>
      </c>
      <c r="C98">
        <v>5</v>
      </c>
      <c r="D98">
        <v>3</v>
      </c>
      <c r="E98">
        <v>5</v>
      </c>
      <c r="F98">
        <v>0</v>
      </c>
      <c r="G98">
        <v>0</v>
      </c>
      <c r="H98">
        <v>170</v>
      </c>
    </row>
    <row r="99" spans="1:8" x14ac:dyDescent="0.3">
      <c r="A99" s="16" t="s">
        <v>277</v>
      </c>
      <c r="B99">
        <v>30</v>
      </c>
      <c r="C99">
        <v>0</v>
      </c>
      <c r="D99">
        <v>0</v>
      </c>
      <c r="E99">
        <v>2</v>
      </c>
      <c r="F99">
        <v>6</v>
      </c>
      <c r="G99">
        <v>2</v>
      </c>
      <c r="H99">
        <v>5</v>
      </c>
    </row>
    <row r="100" spans="1:8" x14ac:dyDescent="0.3">
      <c r="A100" s="16" t="s">
        <v>280</v>
      </c>
      <c r="B100">
        <f>SUM(B99*8,B40,B41,B37*4,B50,B62)</f>
        <v>1557</v>
      </c>
      <c r="C100">
        <f t="shared" ref="C100:H100" si="5">SUM(C99*8,C40,C41,C37*4,C50,C62)</f>
        <v>88</v>
      </c>
      <c r="D100">
        <f t="shared" si="5"/>
        <v>24</v>
      </c>
      <c r="E100">
        <f t="shared" si="5"/>
        <v>101</v>
      </c>
      <c r="F100">
        <f t="shared" si="5"/>
        <v>102</v>
      </c>
      <c r="G100">
        <f t="shared" si="5"/>
        <v>32</v>
      </c>
      <c r="H100">
        <f t="shared" si="5"/>
        <v>1942</v>
      </c>
    </row>
    <row r="101" spans="1:8" x14ac:dyDescent="0.3">
      <c r="A101" s="16" t="s">
        <v>284</v>
      </c>
      <c r="B101">
        <f>122*8/5</f>
        <v>195.2</v>
      </c>
      <c r="C101">
        <v>0</v>
      </c>
      <c r="D101">
        <v>0</v>
      </c>
      <c r="E101">
        <v>0</v>
      </c>
      <c r="F101">
        <f>4*8/5</f>
        <v>6.4</v>
      </c>
      <c r="G101">
        <v>0</v>
      </c>
      <c r="H101">
        <v>0</v>
      </c>
    </row>
    <row r="102" spans="1:8" x14ac:dyDescent="0.3">
      <c r="A102" s="16" t="s">
        <v>285</v>
      </c>
      <c r="B102">
        <f>122*12/5</f>
        <v>292.8</v>
      </c>
      <c r="C102">
        <v>0</v>
      </c>
      <c r="D102">
        <v>0</v>
      </c>
      <c r="E102">
        <v>0</v>
      </c>
      <c r="F102">
        <f>4*12/5</f>
        <v>9.6</v>
      </c>
      <c r="G102">
        <v>0</v>
      </c>
      <c r="H102">
        <v>0</v>
      </c>
    </row>
    <row r="103" spans="1:8" x14ac:dyDescent="0.3">
      <c r="A103" s="16" t="s">
        <v>286</v>
      </c>
      <c r="B103">
        <v>110</v>
      </c>
      <c r="C103">
        <v>0.5</v>
      </c>
      <c r="D103">
        <v>0</v>
      </c>
      <c r="E103">
        <v>2</v>
      </c>
      <c r="F103">
        <v>25</v>
      </c>
      <c r="G103">
        <v>1</v>
      </c>
      <c r="H103">
        <v>310</v>
      </c>
    </row>
    <row r="104" spans="1:8" x14ac:dyDescent="0.3">
      <c r="A104" s="16" t="s">
        <v>287</v>
      </c>
      <c r="B104">
        <f>110*3</f>
        <v>330</v>
      </c>
      <c r="C104">
        <f>3*0.5</f>
        <v>1.5</v>
      </c>
      <c r="D104">
        <v>0</v>
      </c>
      <c r="E104">
        <f>3*2</f>
        <v>6</v>
      </c>
      <c r="F104">
        <f>3*25</f>
        <v>75</v>
      </c>
      <c r="G104">
        <f>3*1</f>
        <v>3</v>
      </c>
      <c r="H104">
        <f>3*310</f>
        <v>930</v>
      </c>
    </row>
    <row r="105" spans="1:8" x14ac:dyDescent="0.3">
      <c r="A105" s="16" t="s">
        <v>292</v>
      </c>
      <c r="B105">
        <f>290*5</f>
        <v>1450</v>
      </c>
      <c r="C105">
        <f>1.5*5</f>
        <v>7.5</v>
      </c>
      <c r="D105">
        <f>0*5</f>
        <v>0</v>
      </c>
      <c r="E105">
        <f>21*5</f>
        <v>105</v>
      </c>
      <c r="F105">
        <f>50*5</f>
        <v>250</v>
      </c>
      <c r="G105">
        <f>5*5</f>
        <v>25</v>
      </c>
      <c r="H105">
        <f>0*5</f>
        <v>0</v>
      </c>
    </row>
    <row r="106" spans="1:8" x14ac:dyDescent="0.3">
      <c r="A106" s="16" t="s">
        <v>293</v>
      </c>
      <c r="B106">
        <f>70*5</f>
        <v>350</v>
      </c>
      <c r="C106">
        <f>1.5*5</f>
        <v>7.5</v>
      </c>
      <c r="D106">
        <f>0*5</f>
        <v>0</v>
      </c>
      <c r="E106">
        <f>3*5</f>
        <v>15</v>
      </c>
      <c r="F106">
        <f>10*5</f>
        <v>50</v>
      </c>
      <c r="G106">
        <f>1*5</f>
        <v>5</v>
      </c>
      <c r="H106">
        <f>360*5</f>
        <v>1800</v>
      </c>
    </row>
    <row r="107" spans="1:8" x14ac:dyDescent="0.3">
      <c r="A107" s="16" t="s">
        <v>294</v>
      </c>
      <c r="B107">
        <f>SUM(B105,B106,B99*3)</f>
        <v>1890</v>
      </c>
      <c r="C107">
        <f t="shared" ref="C107:G107" si="6">SUM(C105,C106,C99*3)</f>
        <v>15</v>
      </c>
      <c r="D107">
        <f t="shared" si="6"/>
        <v>0</v>
      </c>
      <c r="E107">
        <f t="shared" si="6"/>
        <v>126</v>
      </c>
      <c r="F107">
        <f t="shared" si="6"/>
        <v>318</v>
      </c>
      <c r="G107">
        <f t="shared" si="6"/>
        <v>36</v>
      </c>
      <c r="H107">
        <f>SUM(H105,H106,H99*3)</f>
        <v>1815</v>
      </c>
    </row>
    <row r="108" spans="1:8" x14ac:dyDescent="0.3">
      <c r="A108" s="16" t="s">
        <v>305</v>
      </c>
      <c r="B108">
        <v>70</v>
      </c>
      <c r="C108">
        <v>1.5</v>
      </c>
      <c r="D108">
        <v>0.5</v>
      </c>
      <c r="E108">
        <v>2</v>
      </c>
      <c r="F108">
        <v>11</v>
      </c>
      <c r="G108">
        <v>1</v>
      </c>
      <c r="H108">
        <v>480</v>
      </c>
    </row>
    <row r="109" spans="1:8" x14ac:dyDescent="0.3">
      <c r="A109" s="16" t="s">
        <v>304</v>
      </c>
      <c r="B109">
        <f>SUM(B108*5,B94/4,B41/4,B37*4,B36*4)</f>
        <v>2206.75</v>
      </c>
      <c r="C109">
        <f t="shared" ref="C109:H109" si="7">SUM(C108*5,C94/4,C41/4,C37*4,C36*4)</f>
        <v>83.5</v>
      </c>
      <c r="D109">
        <f t="shared" si="7"/>
        <v>22.5</v>
      </c>
      <c r="E109">
        <f t="shared" si="7"/>
        <v>106.5</v>
      </c>
      <c r="F109">
        <f t="shared" si="7"/>
        <v>255</v>
      </c>
      <c r="G109">
        <f t="shared" si="7"/>
        <v>18</v>
      </c>
      <c r="H109">
        <f t="shared" si="7"/>
        <v>3800.5</v>
      </c>
    </row>
    <row r="110" spans="1:8" x14ac:dyDescent="0.3">
      <c r="A110" s="16" t="s">
        <v>307</v>
      </c>
      <c r="B110">
        <f>B109/4</f>
        <v>551.6875</v>
      </c>
      <c r="C110">
        <f t="shared" ref="C110:H110" si="8">C109/4</f>
        <v>20.875</v>
      </c>
      <c r="D110">
        <f t="shared" si="8"/>
        <v>5.625</v>
      </c>
      <c r="E110">
        <f t="shared" si="8"/>
        <v>26.625</v>
      </c>
      <c r="F110">
        <f t="shared" si="8"/>
        <v>63.75</v>
      </c>
      <c r="G110">
        <f t="shared" si="8"/>
        <v>4.5</v>
      </c>
      <c r="H110">
        <f t="shared" si="8"/>
        <v>950.125</v>
      </c>
    </row>
    <row r="111" spans="1:8" x14ac:dyDescent="0.3">
      <c r="A111" s="16" t="s">
        <v>313</v>
      </c>
      <c r="B111">
        <v>190</v>
      </c>
      <c r="C111">
        <v>1</v>
      </c>
      <c r="D111">
        <v>0</v>
      </c>
      <c r="E111">
        <v>4</v>
      </c>
      <c r="F111">
        <v>44</v>
      </c>
      <c r="G111">
        <v>2</v>
      </c>
      <c r="H111">
        <v>0</v>
      </c>
    </row>
    <row r="112" spans="1:8" x14ac:dyDescent="0.3">
      <c r="A112" s="16" t="s">
        <v>312</v>
      </c>
      <c r="B112">
        <v>110</v>
      </c>
      <c r="C112">
        <v>11</v>
      </c>
      <c r="D112">
        <v>6</v>
      </c>
      <c r="E112">
        <v>2</v>
      </c>
      <c r="F112">
        <v>2</v>
      </c>
      <c r="G112">
        <v>0</v>
      </c>
      <c r="H112">
        <v>390</v>
      </c>
    </row>
    <row r="113" spans="1:8" x14ac:dyDescent="0.3">
      <c r="A113" s="16" t="s">
        <v>314</v>
      </c>
      <c r="B113">
        <f>SUM(B112*7,B111*6,B94,B93,B95*4.5,B50*2)</f>
        <v>3397</v>
      </c>
      <c r="C113">
        <f t="shared" ref="C113:H113" si="9">SUM(C112*7,C111*6,C94,C93,C95*4.5,C50*2)</f>
        <v>192</v>
      </c>
      <c r="D113">
        <f t="shared" si="9"/>
        <v>68.5</v>
      </c>
      <c r="E113">
        <f t="shared" si="9"/>
        <v>130</v>
      </c>
      <c r="F113">
        <f t="shared" si="9"/>
        <v>317.5</v>
      </c>
      <c r="G113">
        <f t="shared" si="9"/>
        <v>26</v>
      </c>
      <c r="H113">
        <f t="shared" si="9"/>
        <v>4310</v>
      </c>
    </row>
    <row r="114" spans="1:8" x14ac:dyDescent="0.3">
      <c r="A114" s="16" t="s">
        <v>315</v>
      </c>
      <c r="B114">
        <f>B113/5</f>
        <v>679.4</v>
      </c>
      <c r="C114">
        <f t="shared" ref="C114:H114" si="10">C113/5</f>
        <v>38.4</v>
      </c>
      <c r="D114">
        <f t="shared" si="10"/>
        <v>13.7</v>
      </c>
      <c r="E114">
        <f t="shared" si="10"/>
        <v>26</v>
      </c>
      <c r="F114">
        <f t="shared" si="10"/>
        <v>63.5</v>
      </c>
      <c r="G114">
        <f t="shared" si="10"/>
        <v>5.2</v>
      </c>
      <c r="H114">
        <f t="shared" si="10"/>
        <v>862</v>
      </c>
    </row>
    <row r="115" spans="1:8" x14ac:dyDescent="0.3">
      <c r="A115" s="16" t="s">
        <v>320</v>
      </c>
      <c r="B115" s="17">
        <v>70</v>
      </c>
      <c r="C115" s="17">
        <v>1.5</v>
      </c>
      <c r="D115" s="17">
        <v>0.5</v>
      </c>
      <c r="E115" s="17">
        <v>2</v>
      </c>
      <c r="F115" s="17">
        <v>11</v>
      </c>
      <c r="G115" s="17">
        <v>1</v>
      </c>
      <c r="H115" s="17">
        <v>480</v>
      </c>
    </row>
    <row r="116" spans="1:8" x14ac:dyDescent="0.3">
      <c r="A116" s="16" t="s">
        <v>321</v>
      </c>
      <c r="B116">
        <f>SUM(B115*5,B94,B91*9,B50*4,B41,B117)</f>
        <v>3894</v>
      </c>
      <c r="C116">
        <f t="shared" ref="C116:H116" si="11">SUM(C115*5,C94,C91*9,C50*4,C41,C117)</f>
        <v>86.6</v>
      </c>
      <c r="D116">
        <f t="shared" si="11"/>
        <v>15.1</v>
      </c>
      <c r="E116">
        <f t="shared" si="11"/>
        <v>221.1</v>
      </c>
      <c r="F116">
        <f t="shared" si="11"/>
        <v>624.79999999999995</v>
      </c>
      <c r="G116">
        <f t="shared" si="11"/>
        <v>109.8</v>
      </c>
      <c r="H116">
        <f t="shared" si="11"/>
        <v>2407.4</v>
      </c>
    </row>
    <row r="117" spans="1:8" x14ac:dyDescent="0.3">
      <c r="A117" s="16" t="s">
        <v>322</v>
      </c>
      <c r="B117">
        <v>27</v>
      </c>
      <c r="C117">
        <v>0.6</v>
      </c>
      <c r="D117">
        <v>0.1</v>
      </c>
      <c r="E117">
        <v>2.1</v>
      </c>
      <c r="F117">
        <v>4.8</v>
      </c>
      <c r="G117">
        <v>1.8</v>
      </c>
      <c r="H117">
        <v>5.4</v>
      </c>
    </row>
    <row r="118" spans="1:8" x14ac:dyDescent="0.3">
      <c r="A118" s="16" t="s">
        <v>323</v>
      </c>
      <c r="B118" s="17">
        <f>B116/6</f>
        <v>649</v>
      </c>
      <c r="C118" s="17">
        <f t="shared" ref="C118:H118" si="12">C116/6</f>
        <v>14.433333333333332</v>
      </c>
      <c r="D118" s="17">
        <f t="shared" si="12"/>
        <v>2.5166666666666666</v>
      </c>
      <c r="E118" s="17">
        <f t="shared" si="12"/>
        <v>36.85</v>
      </c>
      <c r="F118" s="17">
        <f t="shared" si="12"/>
        <v>104.13333333333333</v>
      </c>
      <c r="G118" s="17">
        <f t="shared" si="12"/>
        <v>18.3</v>
      </c>
      <c r="H118" s="17">
        <f t="shared" si="12"/>
        <v>401.23333333333335</v>
      </c>
    </row>
    <row r="119" spans="1:8" x14ac:dyDescent="0.3">
      <c r="A119" s="16" t="s">
        <v>335</v>
      </c>
      <c r="B119">
        <v>120</v>
      </c>
      <c r="C119">
        <v>14</v>
      </c>
      <c r="D119">
        <v>13</v>
      </c>
      <c r="E119">
        <v>0</v>
      </c>
      <c r="F119">
        <v>0</v>
      </c>
      <c r="G119">
        <v>0</v>
      </c>
      <c r="H119">
        <v>0</v>
      </c>
    </row>
    <row r="120" spans="1:8" x14ac:dyDescent="0.3">
      <c r="A120" s="16" t="s">
        <v>336</v>
      </c>
      <c r="B120">
        <v>520</v>
      </c>
      <c r="C120">
        <v>36</v>
      </c>
      <c r="D120">
        <v>10</v>
      </c>
      <c r="E120">
        <v>40</v>
      </c>
      <c r="F120">
        <v>10</v>
      </c>
      <c r="G120">
        <v>4</v>
      </c>
      <c r="H120">
        <v>700</v>
      </c>
    </row>
    <row r="121" spans="1:8" x14ac:dyDescent="0.3">
      <c r="A121" s="16" t="s">
        <v>337</v>
      </c>
      <c r="B121">
        <f>330*2.5</f>
        <v>825</v>
      </c>
      <c r="C121">
        <f>2.5+2.5</f>
        <v>5</v>
      </c>
      <c r="D121">
        <f>0.5*2.5</f>
        <v>1.25</v>
      </c>
      <c r="E121">
        <f>23*2.5</f>
        <v>57.5</v>
      </c>
      <c r="F121">
        <f>61*2.5</f>
        <v>152.5</v>
      </c>
      <c r="G121">
        <f>11*2.5</f>
        <v>27.5</v>
      </c>
      <c r="H121">
        <f>0</f>
        <v>0</v>
      </c>
    </row>
    <row r="122" spans="1:8" x14ac:dyDescent="0.3">
      <c r="A122" s="16" t="s">
        <v>338</v>
      </c>
      <c r="B122">
        <f>SUM(B121,B120,B115*5,B50*2,B41,B117)</f>
        <v>1989</v>
      </c>
      <c r="C122">
        <f t="shared" ref="C122:H122" si="13">SUM(C121,C120,C115*5,C50*2,C41,C117)</f>
        <v>77.099999999999994</v>
      </c>
      <c r="D122">
        <f t="shared" si="13"/>
        <v>17.850000000000001</v>
      </c>
      <c r="E122">
        <f t="shared" si="13"/>
        <v>110.6</v>
      </c>
      <c r="F122">
        <f t="shared" si="13"/>
        <v>228.3</v>
      </c>
      <c r="G122">
        <f t="shared" si="13"/>
        <v>39.299999999999997</v>
      </c>
      <c r="H122">
        <f t="shared" si="13"/>
        <v>3107.4</v>
      </c>
    </row>
    <row r="123" spans="1:8" x14ac:dyDescent="0.3">
      <c r="A123" s="16" t="s">
        <v>339</v>
      </c>
      <c r="B123" s="17">
        <f>B122/3</f>
        <v>663</v>
      </c>
      <c r="C123" s="17">
        <f t="shared" ref="C123:H123" si="14">C122/3</f>
        <v>25.7</v>
      </c>
      <c r="D123" s="17">
        <f t="shared" si="14"/>
        <v>5.95</v>
      </c>
      <c r="E123" s="17">
        <f t="shared" si="14"/>
        <v>36.866666666666667</v>
      </c>
      <c r="F123" s="17">
        <f t="shared" si="14"/>
        <v>76.100000000000009</v>
      </c>
      <c r="G123" s="17">
        <f t="shared" si="14"/>
        <v>13.1</v>
      </c>
      <c r="H123" s="17">
        <f t="shared" si="14"/>
        <v>1035.8</v>
      </c>
    </row>
    <row r="124" spans="1:8" x14ac:dyDescent="0.3">
      <c r="A124" s="16" t="s">
        <v>342</v>
      </c>
      <c r="B124">
        <v>30</v>
      </c>
      <c r="C124">
        <v>2.5</v>
      </c>
      <c r="D124">
        <v>0</v>
      </c>
      <c r="E124">
        <v>1</v>
      </c>
      <c r="F124">
        <v>1</v>
      </c>
      <c r="G124">
        <v>0</v>
      </c>
      <c r="H124">
        <v>115</v>
      </c>
    </row>
    <row r="125" spans="1:8" x14ac:dyDescent="0.3">
      <c r="A125" s="16" t="s">
        <v>412</v>
      </c>
      <c r="B125">
        <v>130</v>
      </c>
      <c r="C125">
        <v>2</v>
      </c>
      <c r="D125">
        <v>0</v>
      </c>
      <c r="E125">
        <v>18</v>
      </c>
      <c r="F125">
        <v>9</v>
      </c>
      <c r="G125">
        <v>2</v>
      </c>
      <c r="H125">
        <v>320</v>
      </c>
    </row>
    <row r="126" spans="1:8" x14ac:dyDescent="0.3">
      <c r="A126" s="16" t="s">
        <v>346</v>
      </c>
      <c r="B126">
        <v>570</v>
      </c>
      <c r="C126">
        <v>24</v>
      </c>
      <c r="D126">
        <v>6</v>
      </c>
      <c r="E126">
        <v>37</v>
      </c>
      <c r="F126">
        <v>58</v>
      </c>
      <c r="G126">
        <v>5</v>
      </c>
      <c r="H126">
        <v>480</v>
      </c>
    </row>
    <row r="127" spans="1:8" x14ac:dyDescent="0.3">
      <c r="A127" s="16" t="s">
        <v>347</v>
      </c>
      <c r="B127">
        <f>SUM(B115*5,B61*2.5)</f>
        <v>1175</v>
      </c>
      <c r="C127">
        <f t="shared" ref="C127:H127" si="15">SUM(C115*5,C61*2.5)</f>
        <v>13.75</v>
      </c>
      <c r="D127">
        <f t="shared" si="15"/>
        <v>3.75</v>
      </c>
      <c r="E127">
        <f t="shared" si="15"/>
        <v>67.5</v>
      </c>
      <c r="F127">
        <f t="shared" si="15"/>
        <v>207.5</v>
      </c>
      <c r="G127">
        <f t="shared" si="15"/>
        <v>32.5</v>
      </c>
      <c r="H127">
        <f t="shared" si="15"/>
        <v>2400</v>
      </c>
    </row>
    <row r="128" spans="1:8" x14ac:dyDescent="0.3">
      <c r="A128" s="16" t="s">
        <v>348</v>
      </c>
      <c r="B128" s="17">
        <f>B127*(1/3)</f>
        <v>391.66666666666663</v>
      </c>
      <c r="C128" s="17">
        <f t="shared" ref="C128:H128" si="16">C127*(1/3)</f>
        <v>4.583333333333333</v>
      </c>
      <c r="D128" s="17">
        <f t="shared" si="16"/>
        <v>1.25</v>
      </c>
      <c r="E128" s="17">
        <f t="shared" si="16"/>
        <v>22.5</v>
      </c>
      <c r="F128" s="17">
        <f t="shared" si="16"/>
        <v>69.166666666666657</v>
      </c>
      <c r="G128" s="17">
        <f t="shared" si="16"/>
        <v>10.833333333333332</v>
      </c>
      <c r="H128" s="17">
        <f t="shared" si="16"/>
        <v>800</v>
      </c>
    </row>
    <row r="129" spans="1:8" x14ac:dyDescent="0.3">
      <c r="A129" s="16" t="s">
        <v>349</v>
      </c>
      <c r="B129" s="17">
        <f>B128*2</f>
        <v>783.33333333333326</v>
      </c>
      <c r="C129" s="17">
        <f t="shared" ref="C129:H129" si="17">C128*2</f>
        <v>9.1666666666666661</v>
      </c>
      <c r="D129" s="17">
        <f t="shared" si="17"/>
        <v>2.5</v>
      </c>
      <c r="E129" s="17">
        <f t="shared" si="17"/>
        <v>45</v>
      </c>
      <c r="F129" s="17">
        <f t="shared" si="17"/>
        <v>138.33333333333331</v>
      </c>
      <c r="G129" s="17">
        <f t="shared" si="17"/>
        <v>21.666666666666664</v>
      </c>
      <c r="H129" s="17">
        <f t="shared" si="17"/>
        <v>1600</v>
      </c>
    </row>
    <row r="130" spans="1:8" x14ac:dyDescent="0.3">
      <c r="A130" s="16" t="s">
        <v>350</v>
      </c>
      <c r="B130" s="17">
        <f>150/3</f>
        <v>50</v>
      </c>
      <c r="C130" s="17">
        <f>6/3</f>
        <v>2</v>
      </c>
      <c r="D130" s="17">
        <f>3.5/3</f>
        <v>1.1666666666666667</v>
      </c>
      <c r="E130" s="17">
        <f>1/3</f>
        <v>0.33333333333333331</v>
      </c>
      <c r="F130" s="17">
        <f>24/3</f>
        <v>8</v>
      </c>
      <c r="G130" s="17">
        <f>0</f>
        <v>0</v>
      </c>
      <c r="H130" s="17">
        <f>85/3</f>
        <v>28.333333333333332</v>
      </c>
    </row>
    <row r="131" spans="1:8" x14ac:dyDescent="0.3">
      <c r="A131" s="16" t="s">
        <v>352</v>
      </c>
      <c r="B131">
        <v>270</v>
      </c>
      <c r="C131">
        <v>24</v>
      </c>
      <c r="D131">
        <v>2</v>
      </c>
      <c r="E131">
        <v>9</v>
      </c>
      <c r="F131">
        <v>9</v>
      </c>
      <c r="G131">
        <v>6</v>
      </c>
      <c r="H131">
        <v>180</v>
      </c>
    </row>
    <row r="132" spans="1:8" x14ac:dyDescent="0.3">
      <c r="A132" s="16" t="s">
        <v>353</v>
      </c>
      <c r="B132">
        <v>130</v>
      </c>
      <c r="C132">
        <v>8</v>
      </c>
      <c r="D132">
        <v>5</v>
      </c>
      <c r="E132">
        <v>2</v>
      </c>
      <c r="F132">
        <v>28</v>
      </c>
      <c r="G132">
        <v>3</v>
      </c>
      <c r="H132">
        <v>1</v>
      </c>
    </row>
    <row r="133" spans="1:8" x14ac:dyDescent="0.3">
      <c r="A133" s="16" t="s">
        <v>359</v>
      </c>
      <c r="B133">
        <f>SUM(B99*3,B121*2,B115*5,B95*4,B94,B50,B41,B93)</f>
        <v>3354</v>
      </c>
      <c r="C133">
        <f t="shared" ref="C133:H133" si="18">SUM(C99*3,C121*2,C115*5,C95*4,C94,C50,C41,C93)</f>
        <v>103.5</v>
      </c>
      <c r="D133">
        <f t="shared" si="18"/>
        <v>27</v>
      </c>
      <c r="E133">
        <f t="shared" si="18"/>
        <v>214</v>
      </c>
      <c r="F133">
        <f t="shared" si="18"/>
        <v>421</v>
      </c>
      <c r="G133">
        <f t="shared" si="18"/>
        <v>80</v>
      </c>
      <c r="H133">
        <f t="shared" si="18"/>
        <v>3822</v>
      </c>
    </row>
    <row r="134" spans="1:8" x14ac:dyDescent="0.3">
      <c r="A134" s="16" t="s">
        <v>360</v>
      </c>
      <c r="B134" s="17">
        <f>B133/6</f>
        <v>559</v>
      </c>
      <c r="C134" s="17">
        <f t="shared" ref="C134:G134" si="19">C133/6</f>
        <v>17.25</v>
      </c>
      <c r="D134" s="17">
        <f t="shared" si="19"/>
        <v>4.5</v>
      </c>
      <c r="E134" s="17">
        <f t="shared" si="19"/>
        <v>35.666666666666664</v>
      </c>
      <c r="F134" s="17">
        <f t="shared" si="19"/>
        <v>70.166666666666671</v>
      </c>
      <c r="G134" s="17">
        <f t="shared" si="19"/>
        <v>13.333333333333334</v>
      </c>
      <c r="H134" s="17">
        <f>H133/6</f>
        <v>637</v>
      </c>
    </row>
    <row r="135" spans="1:8" x14ac:dyDescent="0.3">
      <c r="A135" s="16" t="s">
        <v>361</v>
      </c>
      <c r="B135" s="17">
        <f>B133/3</f>
        <v>1118</v>
      </c>
      <c r="C135" s="17">
        <f t="shared" ref="C135:H135" si="20">C133/3</f>
        <v>34.5</v>
      </c>
      <c r="D135" s="17">
        <f t="shared" si="20"/>
        <v>9</v>
      </c>
      <c r="E135" s="17">
        <f t="shared" si="20"/>
        <v>71.333333333333329</v>
      </c>
      <c r="F135" s="17">
        <f t="shared" si="20"/>
        <v>140.33333333333334</v>
      </c>
      <c r="G135" s="17">
        <f t="shared" si="20"/>
        <v>26.666666666666668</v>
      </c>
      <c r="H135" s="17">
        <f t="shared" si="20"/>
        <v>1274</v>
      </c>
    </row>
    <row r="136" spans="1:8" x14ac:dyDescent="0.3">
      <c r="A136" s="16" t="s">
        <v>364</v>
      </c>
      <c r="B136">
        <v>130</v>
      </c>
      <c r="C136">
        <v>4.5</v>
      </c>
      <c r="D136">
        <v>2.5</v>
      </c>
      <c r="E136">
        <v>1</v>
      </c>
      <c r="F136">
        <v>22</v>
      </c>
      <c r="G136">
        <v>0</v>
      </c>
      <c r="H136">
        <v>70</v>
      </c>
    </row>
    <row r="137" spans="1:8" x14ac:dyDescent="0.3">
      <c r="A137" s="16" t="s">
        <v>370</v>
      </c>
      <c r="B137">
        <v>164</v>
      </c>
      <c r="C137">
        <v>13.5</v>
      </c>
      <c r="D137">
        <v>2.5</v>
      </c>
      <c r="E137">
        <v>4.7</v>
      </c>
      <c r="F137">
        <v>8.4</v>
      </c>
      <c r="G137">
        <v>0.9</v>
      </c>
      <c r="H137">
        <v>4</v>
      </c>
    </row>
    <row r="138" spans="1:8" x14ac:dyDescent="0.3">
      <c r="A138" s="16" t="s">
        <v>371</v>
      </c>
      <c r="B138">
        <v>120</v>
      </c>
      <c r="C138">
        <v>2</v>
      </c>
      <c r="D138">
        <v>0</v>
      </c>
      <c r="E138">
        <v>7</v>
      </c>
      <c r="F138">
        <v>20</v>
      </c>
      <c r="G138">
        <v>4</v>
      </c>
      <c r="H138">
        <v>420</v>
      </c>
    </row>
    <row r="139" spans="1:8" x14ac:dyDescent="0.3">
      <c r="A139" s="16" t="s">
        <v>372</v>
      </c>
      <c r="B139">
        <v>40</v>
      </c>
      <c r="C139">
        <v>0</v>
      </c>
      <c r="D139">
        <v>0</v>
      </c>
      <c r="E139">
        <v>1</v>
      </c>
      <c r="F139">
        <v>8</v>
      </c>
      <c r="G139">
        <v>1</v>
      </c>
      <c r="H139">
        <v>140</v>
      </c>
    </row>
    <row r="140" spans="1:8" x14ac:dyDescent="0.3">
      <c r="A140" s="16" t="s">
        <v>373</v>
      </c>
      <c r="B140">
        <v>120</v>
      </c>
      <c r="C140">
        <v>14</v>
      </c>
      <c r="D140">
        <v>1</v>
      </c>
      <c r="E140">
        <v>0</v>
      </c>
      <c r="F140">
        <v>0</v>
      </c>
      <c r="G140">
        <v>0</v>
      </c>
      <c r="H140">
        <v>0</v>
      </c>
    </row>
    <row r="141" spans="1:8" x14ac:dyDescent="0.3">
      <c r="A141" s="16" t="s">
        <v>374</v>
      </c>
      <c r="B141">
        <v>2</v>
      </c>
      <c r="C141">
        <v>0</v>
      </c>
      <c r="D141">
        <v>0</v>
      </c>
      <c r="E141">
        <v>0</v>
      </c>
      <c r="F141">
        <v>0</v>
      </c>
      <c r="G141">
        <v>0</v>
      </c>
      <c r="H141">
        <v>25</v>
      </c>
    </row>
    <row r="142" spans="1:8" x14ac:dyDescent="0.3">
      <c r="A142" s="16" t="s">
        <v>375</v>
      </c>
      <c r="B142">
        <v>180</v>
      </c>
      <c r="C142">
        <v>16</v>
      </c>
      <c r="D142">
        <v>3</v>
      </c>
      <c r="E142">
        <v>7</v>
      </c>
      <c r="F142">
        <v>3</v>
      </c>
      <c r="G142">
        <v>1</v>
      </c>
      <c r="H142">
        <v>70</v>
      </c>
    </row>
    <row r="143" spans="1:8" x14ac:dyDescent="0.3">
      <c r="A143" s="16" t="s">
        <v>376</v>
      </c>
      <c r="B143">
        <v>200</v>
      </c>
      <c r="C143">
        <v>2.5</v>
      </c>
      <c r="D143">
        <v>0</v>
      </c>
      <c r="E143">
        <v>14</v>
      </c>
      <c r="F143">
        <v>31</v>
      </c>
      <c r="G143">
        <v>13</v>
      </c>
      <c r="H143">
        <v>590</v>
      </c>
    </row>
    <row r="144" spans="1:8" x14ac:dyDescent="0.3">
      <c r="A144" s="16" t="s">
        <v>377</v>
      </c>
      <c r="B144">
        <f>SUM(B143*5,B142,B141,B140,B139/2,B138*2)</f>
        <v>1562</v>
      </c>
      <c r="C144">
        <f t="shared" ref="C144:H144" si="21">SUM(C143*5,C142,C141,C140,C139/2,C138*2)</f>
        <v>46.5</v>
      </c>
      <c r="D144">
        <f t="shared" si="21"/>
        <v>4</v>
      </c>
      <c r="E144">
        <f t="shared" si="21"/>
        <v>91.5</v>
      </c>
      <c r="F144">
        <f t="shared" si="21"/>
        <v>202</v>
      </c>
      <c r="G144">
        <f t="shared" si="21"/>
        <v>74.5</v>
      </c>
      <c r="H144">
        <f t="shared" si="21"/>
        <v>3955</v>
      </c>
    </row>
    <row r="145" spans="1:8" x14ac:dyDescent="0.3">
      <c r="A145" s="16" t="s">
        <v>392</v>
      </c>
      <c r="B145">
        <v>100</v>
      </c>
      <c r="C145">
        <v>1</v>
      </c>
      <c r="D145">
        <v>0</v>
      </c>
      <c r="E145">
        <v>2</v>
      </c>
      <c r="F145">
        <v>20</v>
      </c>
      <c r="G145">
        <v>2</v>
      </c>
      <c r="H145">
        <v>20</v>
      </c>
    </row>
    <row r="146" spans="1:8" x14ac:dyDescent="0.3">
      <c r="A146" s="16" t="s">
        <v>397</v>
      </c>
      <c r="B146">
        <v>135</v>
      </c>
      <c r="C146">
        <v>6</v>
      </c>
      <c r="D146">
        <v>1.3</v>
      </c>
      <c r="E146">
        <v>1.5</v>
      </c>
      <c r="F146">
        <v>18</v>
      </c>
      <c r="G146">
        <v>0</v>
      </c>
      <c r="H146">
        <v>155</v>
      </c>
    </row>
    <row r="147" spans="1:8" x14ac:dyDescent="0.3">
      <c r="A147" s="16" t="s">
        <v>398</v>
      </c>
      <c r="B147">
        <v>300</v>
      </c>
      <c r="C147">
        <v>14</v>
      </c>
      <c r="D147">
        <v>2</v>
      </c>
      <c r="E147">
        <v>4</v>
      </c>
      <c r="F147">
        <v>36</v>
      </c>
      <c r="G147">
        <v>2</v>
      </c>
      <c r="H147">
        <v>260</v>
      </c>
    </row>
    <row r="148" spans="1:8" x14ac:dyDescent="0.3">
      <c r="A148" s="16" t="s">
        <v>399</v>
      </c>
      <c r="B148">
        <v>400</v>
      </c>
      <c r="C148">
        <v>36</v>
      </c>
      <c r="D148">
        <v>4</v>
      </c>
      <c r="E148">
        <v>16</v>
      </c>
      <c r="F148">
        <v>16</v>
      </c>
      <c r="G148">
        <v>8</v>
      </c>
      <c r="H148">
        <v>1840</v>
      </c>
    </row>
    <row r="149" spans="1:8" x14ac:dyDescent="0.3">
      <c r="A149" s="16" t="s">
        <v>400</v>
      </c>
      <c r="B149">
        <f>SUM(B50*2,B40*2,B37*4.5,B36*6,B115*5,B150*15)</f>
        <v>3070</v>
      </c>
      <c r="C149">
        <f t="shared" ref="C149:H149" si="22">SUM(C50*2,C40*2,C37*4.5,C36*6,C115*5,C150*15)</f>
        <v>124</v>
      </c>
      <c r="D149">
        <f t="shared" si="22"/>
        <v>30.5</v>
      </c>
      <c r="E149">
        <f t="shared" si="22"/>
        <v>130.5</v>
      </c>
      <c r="F149">
        <f t="shared" si="22"/>
        <v>364.5</v>
      </c>
      <c r="G149">
        <f t="shared" si="22"/>
        <v>27.5</v>
      </c>
      <c r="H149">
        <f t="shared" si="22"/>
        <v>3990</v>
      </c>
    </row>
    <row r="150" spans="1:8" x14ac:dyDescent="0.3">
      <c r="A150" s="16" t="s">
        <v>401</v>
      </c>
      <c r="B150">
        <v>2</v>
      </c>
      <c r="C150">
        <v>0.1</v>
      </c>
      <c r="D150">
        <v>0.1</v>
      </c>
      <c r="E150">
        <v>0.3</v>
      </c>
      <c r="F150">
        <v>0.2</v>
      </c>
      <c r="G150">
        <v>0.1</v>
      </c>
      <c r="H150">
        <v>1</v>
      </c>
    </row>
    <row r="151" spans="1:8" x14ac:dyDescent="0.3">
      <c r="A151" s="16" t="s">
        <v>402</v>
      </c>
      <c r="B151">
        <f>B149/5</f>
        <v>614</v>
      </c>
      <c r="C151">
        <f t="shared" ref="C151:H151" si="23">C149/5</f>
        <v>24.8</v>
      </c>
      <c r="D151">
        <f t="shared" si="23"/>
        <v>6.1</v>
      </c>
      <c r="E151">
        <f t="shared" si="23"/>
        <v>26.1</v>
      </c>
      <c r="F151">
        <f t="shared" si="23"/>
        <v>72.900000000000006</v>
      </c>
      <c r="G151">
        <f t="shared" si="23"/>
        <v>5.5</v>
      </c>
      <c r="H151">
        <f t="shared" si="23"/>
        <v>798</v>
      </c>
    </row>
    <row r="152" spans="1:8" x14ac:dyDescent="0.3">
      <c r="A152" s="16" t="s">
        <v>403</v>
      </c>
      <c r="B152">
        <v>100</v>
      </c>
      <c r="C152">
        <v>6</v>
      </c>
      <c r="D152">
        <v>4</v>
      </c>
      <c r="E152">
        <v>8</v>
      </c>
      <c r="F152">
        <v>2</v>
      </c>
      <c r="G152">
        <v>0</v>
      </c>
      <c r="H152">
        <v>280</v>
      </c>
    </row>
    <row r="153" spans="1:8" x14ac:dyDescent="0.3">
      <c r="A153" s="16" t="s">
        <v>410</v>
      </c>
      <c r="B153" s="17">
        <v>70</v>
      </c>
      <c r="C153" s="17">
        <v>5</v>
      </c>
      <c r="D153" s="17">
        <v>3.5</v>
      </c>
      <c r="E153" s="17">
        <v>1</v>
      </c>
      <c r="F153" s="17">
        <v>4</v>
      </c>
      <c r="G153" s="17">
        <v>0</v>
      </c>
      <c r="H153" s="17">
        <v>15</v>
      </c>
    </row>
    <row r="154" spans="1:8" x14ac:dyDescent="0.3">
      <c r="A154" s="16" t="s">
        <v>411</v>
      </c>
      <c r="B154">
        <v>120</v>
      </c>
      <c r="C154">
        <v>2</v>
      </c>
      <c r="D154">
        <v>0</v>
      </c>
      <c r="E154">
        <v>18</v>
      </c>
      <c r="F154">
        <v>6</v>
      </c>
      <c r="G154">
        <v>1</v>
      </c>
      <c r="H154">
        <v>360</v>
      </c>
    </row>
    <row r="155" spans="1:8" x14ac:dyDescent="0.3">
      <c r="A155" s="16" t="s">
        <v>413</v>
      </c>
      <c r="B155">
        <v>140</v>
      </c>
      <c r="C155">
        <v>7</v>
      </c>
      <c r="D155">
        <v>1</v>
      </c>
      <c r="E155">
        <v>2</v>
      </c>
      <c r="F155">
        <v>18</v>
      </c>
      <c r="G155">
        <v>2</v>
      </c>
      <c r="H155">
        <v>90</v>
      </c>
    </row>
    <row r="156" spans="1:8" x14ac:dyDescent="0.3">
      <c r="A156" s="16" t="s">
        <v>418</v>
      </c>
      <c r="B156">
        <v>400</v>
      </c>
      <c r="C156">
        <v>10</v>
      </c>
      <c r="D156">
        <v>5</v>
      </c>
      <c r="E156">
        <v>4</v>
      </c>
      <c r="F156">
        <v>74</v>
      </c>
      <c r="G156">
        <v>1</v>
      </c>
      <c r="H156">
        <v>240</v>
      </c>
    </row>
    <row r="157" spans="1:8" x14ac:dyDescent="0.3">
      <c r="A157" s="16" t="s">
        <v>421</v>
      </c>
      <c r="B157">
        <v>164</v>
      </c>
      <c r="C157">
        <v>5.4</v>
      </c>
      <c r="D157">
        <v>1.2</v>
      </c>
      <c r="E157">
        <v>1.7</v>
      </c>
      <c r="F157">
        <v>29.2</v>
      </c>
      <c r="G157">
        <v>0.7</v>
      </c>
      <c r="H157">
        <v>176</v>
      </c>
    </row>
    <row r="158" spans="1:8" x14ac:dyDescent="0.3">
      <c r="A158" s="16" t="s">
        <v>426</v>
      </c>
      <c r="B158">
        <f>B115*5+B50*2+B150*6+B61*3.5+B39+B40</f>
        <v>1834</v>
      </c>
      <c r="C158">
        <f t="shared" ref="C158:G158" si="24">C115*5+C50*2+C150*6+C61*3.5+C39+C40</f>
        <v>44.85</v>
      </c>
      <c r="D158">
        <f t="shared" si="24"/>
        <v>8.85</v>
      </c>
      <c r="E158">
        <f t="shared" si="24"/>
        <v>94.3</v>
      </c>
      <c r="F158">
        <f t="shared" si="24"/>
        <v>286.7</v>
      </c>
      <c r="G158">
        <f t="shared" si="24"/>
        <v>49.1</v>
      </c>
      <c r="H158">
        <f>H115*5+H50*2+H150*6+H61*3.5+H39+H40</f>
        <v>2411</v>
      </c>
    </row>
    <row r="159" spans="1:8" x14ac:dyDescent="0.3">
      <c r="A159" s="16" t="s">
        <v>425</v>
      </c>
      <c r="B159">
        <f>B158/4</f>
        <v>458.5</v>
      </c>
      <c r="C159">
        <f t="shared" ref="C159:H159" si="25">C158/4</f>
        <v>11.2125</v>
      </c>
      <c r="D159">
        <f t="shared" si="25"/>
        <v>2.2124999999999999</v>
      </c>
      <c r="E159">
        <f t="shared" si="25"/>
        <v>23.574999999999999</v>
      </c>
      <c r="F159">
        <f t="shared" si="25"/>
        <v>71.674999999999997</v>
      </c>
      <c r="G159">
        <f t="shared" si="25"/>
        <v>12.275</v>
      </c>
      <c r="H159">
        <f t="shared" si="25"/>
        <v>602.75</v>
      </c>
    </row>
    <row r="160" spans="1:8" x14ac:dyDescent="0.3">
      <c r="A160" s="16" t="s">
        <v>428</v>
      </c>
      <c r="B160" s="17">
        <v>70</v>
      </c>
      <c r="C160" s="17">
        <v>5</v>
      </c>
      <c r="D160" s="17">
        <v>3.5</v>
      </c>
      <c r="E160" s="17">
        <v>1</v>
      </c>
      <c r="F160" s="17">
        <v>4</v>
      </c>
      <c r="G160" s="17">
        <v>0</v>
      </c>
      <c r="H160" s="17">
        <v>20</v>
      </c>
    </row>
    <row r="161" spans="1:8" x14ac:dyDescent="0.3">
      <c r="A161" s="16" t="s">
        <v>432</v>
      </c>
      <c r="B161">
        <v>134</v>
      </c>
      <c r="C161">
        <v>3.9</v>
      </c>
      <c r="D161">
        <v>0.9</v>
      </c>
      <c r="E161">
        <v>7.1</v>
      </c>
      <c r="F161">
        <v>16.7</v>
      </c>
      <c r="G161">
        <v>0.6</v>
      </c>
      <c r="H161">
        <v>193</v>
      </c>
    </row>
    <row r="162" spans="1:8" x14ac:dyDescent="0.3">
      <c r="A162" s="16" t="s">
        <v>431</v>
      </c>
      <c r="B162">
        <v>106</v>
      </c>
      <c r="C162">
        <v>0.4</v>
      </c>
      <c r="D162">
        <v>0.1</v>
      </c>
      <c r="E162">
        <v>8</v>
      </c>
      <c r="F162">
        <v>16.7</v>
      </c>
      <c r="G162">
        <v>0.6</v>
      </c>
      <c r="H162">
        <v>186</v>
      </c>
    </row>
    <row r="163" spans="1:8" x14ac:dyDescent="0.3">
      <c r="A163" s="16" t="s">
        <v>433</v>
      </c>
      <c r="B163">
        <v>40</v>
      </c>
      <c r="C163">
        <v>4.5</v>
      </c>
      <c r="D163">
        <v>1</v>
      </c>
      <c r="E163">
        <v>0</v>
      </c>
      <c r="F163">
        <v>0</v>
      </c>
      <c r="G163">
        <v>0</v>
      </c>
      <c r="H163">
        <v>40</v>
      </c>
    </row>
    <row r="164" spans="1:8" x14ac:dyDescent="0.3">
      <c r="A164" s="16" t="s">
        <v>434</v>
      </c>
      <c r="B164">
        <v>16</v>
      </c>
      <c r="C164">
        <v>0.1</v>
      </c>
      <c r="D164">
        <v>0</v>
      </c>
      <c r="E164">
        <v>1.1000000000000001</v>
      </c>
      <c r="F164">
        <v>2.8</v>
      </c>
      <c r="G164">
        <v>0.1</v>
      </c>
      <c r="H164">
        <v>690</v>
      </c>
    </row>
    <row r="165" spans="1:8" x14ac:dyDescent="0.3">
      <c r="A165" s="16" t="s">
        <v>435</v>
      </c>
      <c r="B165">
        <v>82</v>
      </c>
      <c r="C165">
        <v>0.2</v>
      </c>
      <c r="D165">
        <v>0.1</v>
      </c>
      <c r="E165">
        <v>0.9</v>
      </c>
      <c r="F165">
        <v>21.6</v>
      </c>
      <c r="G165">
        <v>2.2999999999999998</v>
      </c>
      <c r="H165">
        <v>2</v>
      </c>
    </row>
    <row r="166" spans="1:8" x14ac:dyDescent="0.3">
      <c r="A166" s="16" t="s">
        <v>436</v>
      </c>
      <c r="B166">
        <f>B165/4</f>
        <v>20.5</v>
      </c>
      <c r="C166">
        <f t="shared" ref="C166:H166" si="26">C165/4</f>
        <v>0.05</v>
      </c>
      <c r="D166">
        <f t="shared" si="26"/>
        <v>2.5000000000000001E-2</v>
      </c>
      <c r="E166">
        <f t="shared" si="26"/>
        <v>0.22500000000000001</v>
      </c>
      <c r="F166">
        <f t="shared" si="26"/>
        <v>5.4</v>
      </c>
      <c r="G166">
        <f t="shared" si="26"/>
        <v>0.57499999999999996</v>
      </c>
      <c r="H166">
        <f t="shared" si="26"/>
        <v>0.5</v>
      </c>
    </row>
    <row r="167" spans="1:8" x14ac:dyDescent="0.3">
      <c r="A167" s="16" t="s">
        <v>437</v>
      </c>
      <c r="B167">
        <v>216</v>
      </c>
      <c r="C167">
        <v>1.8</v>
      </c>
      <c r="D167">
        <v>0.4</v>
      </c>
      <c r="E167">
        <v>5</v>
      </c>
      <c r="F167">
        <v>44.8</v>
      </c>
      <c r="G167">
        <v>3.5</v>
      </c>
      <c r="H167">
        <v>10</v>
      </c>
    </row>
    <row r="168" spans="1:8" x14ac:dyDescent="0.3">
      <c r="A168" s="16" t="s">
        <v>438</v>
      </c>
      <c r="B168">
        <f>B167*3/2</f>
        <v>324</v>
      </c>
      <c r="C168">
        <f t="shared" ref="C168:H168" si="27">C167*3/2</f>
        <v>2.7</v>
      </c>
      <c r="D168">
        <f t="shared" si="27"/>
        <v>0.60000000000000009</v>
      </c>
      <c r="E168">
        <f t="shared" si="27"/>
        <v>7.5</v>
      </c>
      <c r="F168">
        <f t="shared" si="27"/>
        <v>67.199999999999989</v>
      </c>
      <c r="G168">
        <f t="shared" si="27"/>
        <v>5.25</v>
      </c>
      <c r="H168">
        <f t="shared" si="27"/>
        <v>15</v>
      </c>
    </row>
    <row r="169" spans="1:8" x14ac:dyDescent="0.3">
      <c r="A169" s="16" t="s">
        <v>439</v>
      </c>
      <c r="B169">
        <v>16</v>
      </c>
      <c r="C169">
        <v>0.1</v>
      </c>
      <c r="D169">
        <v>0.1</v>
      </c>
      <c r="E169">
        <v>0.7</v>
      </c>
      <c r="F169">
        <v>3.8</v>
      </c>
      <c r="G169">
        <v>0.5</v>
      </c>
      <c r="H169">
        <v>2</v>
      </c>
    </row>
    <row r="170" spans="1:8" x14ac:dyDescent="0.3">
      <c r="A170" s="16" t="s">
        <v>440</v>
      </c>
      <c r="B170">
        <f>B169/4</f>
        <v>4</v>
      </c>
      <c r="C170">
        <f t="shared" ref="C170:H170" si="28">C169/4</f>
        <v>2.5000000000000001E-2</v>
      </c>
      <c r="D170">
        <f t="shared" si="28"/>
        <v>2.5000000000000001E-2</v>
      </c>
      <c r="E170">
        <f t="shared" si="28"/>
        <v>0.17499999999999999</v>
      </c>
      <c r="F170">
        <f t="shared" si="28"/>
        <v>0.95</v>
      </c>
      <c r="G170">
        <f t="shared" si="28"/>
        <v>0.125</v>
      </c>
      <c r="H170">
        <f t="shared" si="28"/>
        <v>0.5</v>
      </c>
    </row>
    <row r="171" spans="1:8" x14ac:dyDescent="0.3">
      <c r="A171" s="16" t="s">
        <v>441</v>
      </c>
      <c r="B171">
        <v>51</v>
      </c>
      <c r="C171">
        <v>4.3</v>
      </c>
      <c r="D171">
        <v>0.6</v>
      </c>
      <c r="E171">
        <v>1.5</v>
      </c>
      <c r="F171">
        <v>2.2999999999999998</v>
      </c>
      <c r="G171">
        <v>1.3</v>
      </c>
      <c r="H171">
        <v>1</v>
      </c>
    </row>
    <row r="172" spans="1:8" x14ac:dyDescent="0.3">
      <c r="A172" s="16" t="s">
        <v>442</v>
      </c>
      <c r="B172">
        <v>2</v>
      </c>
      <c r="C172">
        <v>0.1</v>
      </c>
      <c r="D172">
        <v>0.1</v>
      </c>
      <c r="E172">
        <v>0.1</v>
      </c>
      <c r="F172">
        <v>0.4</v>
      </c>
      <c r="G172">
        <v>0.1</v>
      </c>
      <c r="H172">
        <v>1</v>
      </c>
    </row>
    <row r="173" spans="1:8" x14ac:dyDescent="0.3">
      <c r="A173" s="16" t="s">
        <v>443</v>
      </c>
      <c r="B173">
        <v>5</v>
      </c>
      <c r="C173">
        <v>0.1</v>
      </c>
      <c r="D173">
        <v>0</v>
      </c>
      <c r="E173">
        <v>0.2</v>
      </c>
      <c r="F173">
        <v>1.2</v>
      </c>
      <c r="G173">
        <v>0.4</v>
      </c>
      <c r="H173">
        <v>1</v>
      </c>
    </row>
    <row r="174" spans="1:8" x14ac:dyDescent="0.3">
      <c r="A174" s="16" t="s">
        <v>446</v>
      </c>
      <c r="B174">
        <v>130</v>
      </c>
      <c r="C174">
        <v>5</v>
      </c>
      <c r="D174">
        <v>2.5</v>
      </c>
      <c r="E174">
        <v>1</v>
      </c>
      <c r="F174">
        <v>24</v>
      </c>
      <c r="G174">
        <v>1</v>
      </c>
      <c r="H174">
        <v>75</v>
      </c>
    </row>
    <row r="175" spans="1:8" x14ac:dyDescent="0.3">
      <c r="A175" s="16" t="s">
        <v>447</v>
      </c>
      <c r="B175">
        <f>SUM(B115*5,B95*4,B50*2,B41,B36*5,B38*2)</f>
        <v>2719</v>
      </c>
      <c r="C175">
        <f t="shared" ref="C175:G175" si="29">SUM(C115*5,C95*4,C50*2,C41,C36*5,C38*2)</f>
        <v>113.18</v>
      </c>
      <c r="D175">
        <f t="shared" si="29"/>
        <v>26.58</v>
      </c>
      <c r="E175">
        <f t="shared" si="29"/>
        <v>117</v>
      </c>
      <c r="F175">
        <f t="shared" si="29"/>
        <v>313</v>
      </c>
      <c r="G175">
        <f t="shared" si="29"/>
        <v>23</v>
      </c>
      <c r="H175">
        <f>SUM(H115*5,H95*4,H50*2,H41,H36*5,H38*2)</f>
        <v>3862.06</v>
      </c>
    </row>
    <row r="176" spans="1:8" x14ac:dyDescent="0.3">
      <c r="A176" s="16" t="s">
        <v>448</v>
      </c>
      <c r="B176">
        <f>B175/5</f>
        <v>543.79999999999995</v>
      </c>
      <c r="C176">
        <f t="shared" ref="C176:H176" si="30">C175/5</f>
        <v>22.636000000000003</v>
      </c>
      <c r="D176">
        <f t="shared" si="30"/>
        <v>5.3159999999999998</v>
      </c>
      <c r="E176">
        <f t="shared" si="30"/>
        <v>23.4</v>
      </c>
      <c r="F176">
        <f t="shared" si="30"/>
        <v>62.6</v>
      </c>
      <c r="G176">
        <f t="shared" si="30"/>
        <v>4.5999999999999996</v>
      </c>
      <c r="H176">
        <f t="shared" si="30"/>
        <v>772.41200000000003</v>
      </c>
    </row>
    <row r="177" spans="1:8" x14ac:dyDescent="0.3">
      <c r="A177" s="16" t="s">
        <v>452</v>
      </c>
      <c r="B177" s="17">
        <f>SUM(B173,B171,B170,B168,B166,B164,B161)</f>
        <v>554.5</v>
      </c>
      <c r="C177" s="17">
        <f t="shared" ref="C177:H177" si="31">SUM(C173,C171,C170,C168,C166,C164,C161)</f>
        <v>11.174999999999999</v>
      </c>
      <c r="D177" s="17">
        <f t="shared" si="31"/>
        <v>2.15</v>
      </c>
      <c r="E177" s="17">
        <f t="shared" si="31"/>
        <v>17.799999999999997</v>
      </c>
      <c r="F177" s="17">
        <f t="shared" si="31"/>
        <v>96.55</v>
      </c>
      <c r="G177" s="17">
        <f t="shared" si="31"/>
        <v>8.35</v>
      </c>
      <c r="H177" s="17">
        <f t="shared" si="31"/>
        <v>901</v>
      </c>
    </row>
    <row r="178" spans="1:8" x14ac:dyDescent="0.3">
      <c r="A178" s="16" t="s">
        <v>455</v>
      </c>
      <c r="B178" s="17">
        <v>115</v>
      </c>
      <c r="C178" s="17">
        <f t="shared" ref="C178:D178" si="32">C23/3</f>
        <v>0</v>
      </c>
      <c r="D178" s="17">
        <f t="shared" si="32"/>
        <v>0</v>
      </c>
      <c r="E178" s="17">
        <v>0.5</v>
      </c>
      <c r="F178" s="17">
        <v>3.7</v>
      </c>
      <c r="G178" s="17">
        <v>0</v>
      </c>
      <c r="H178" s="17">
        <v>12</v>
      </c>
    </row>
    <row r="179" spans="1:8" x14ac:dyDescent="0.3">
      <c r="A179" s="16" t="s">
        <v>461</v>
      </c>
      <c r="B179" s="17">
        <f>SUM(B37*4,B39,B40,B50,B79*4.5,B115*5)</f>
        <v>3072</v>
      </c>
      <c r="C179" s="17">
        <f t="shared" ref="C179:H179" si="33">SUM(C37*4,C39,C40,C50,C79*4.5,C115*5)</f>
        <v>104.75</v>
      </c>
      <c r="D179" s="17">
        <f t="shared" si="33"/>
        <v>26.75</v>
      </c>
      <c r="E179" s="17">
        <f t="shared" si="33"/>
        <v>195.5</v>
      </c>
      <c r="F179" s="17">
        <f t="shared" si="33"/>
        <v>366.5</v>
      </c>
      <c r="G179" s="17">
        <f t="shared" si="33"/>
        <v>67.5</v>
      </c>
      <c r="H179" s="17">
        <f t="shared" si="33"/>
        <v>3805</v>
      </c>
    </row>
    <row r="180" spans="1:8" x14ac:dyDescent="0.3">
      <c r="A180" s="16" t="s">
        <v>462</v>
      </c>
      <c r="B180" s="17">
        <f>B179/4</f>
        <v>768</v>
      </c>
      <c r="C180" s="17">
        <f t="shared" ref="C180:H180" si="34">C179/4</f>
        <v>26.1875</v>
      </c>
      <c r="D180" s="17">
        <f t="shared" si="34"/>
        <v>6.6875</v>
      </c>
      <c r="E180" s="17">
        <f t="shared" si="34"/>
        <v>48.875</v>
      </c>
      <c r="F180" s="17">
        <f t="shared" si="34"/>
        <v>91.625</v>
      </c>
      <c r="G180" s="17">
        <f t="shared" si="34"/>
        <v>16.875</v>
      </c>
      <c r="H180" s="17">
        <f t="shared" si="34"/>
        <v>951.25</v>
      </c>
    </row>
    <row r="181" spans="1:8" x14ac:dyDescent="0.3">
      <c r="A181" s="16" t="s">
        <v>458</v>
      </c>
      <c r="B181">
        <f>370*2</f>
        <v>740</v>
      </c>
      <c r="C181">
        <f>15*2</f>
        <v>30</v>
      </c>
      <c r="D181">
        <f>15*2</f>
        <v>30</v>
      </c>
      <c r="E181">
        <v>0</v>
      </c>
      <c r="F181">
        <f>60*2</f>
        <v>120</v>
      </c>
      <c r="G181">
        <v>0</v>
      </c>
      <c r="H181">
        <f>25*2</f>
        <v>50</v>
      </c>
    </row>
    <row r="182" spans="1:8" x14ac:dyDescent="0.3">
      <c r="A182" s="16" t="s">
        <v>459</v>
      </c>
      <c r="B182">
        <v>480</v>
      </c>
      <c r="C182">
        <v>26</v>
      </c>
      <c r="D182">
        <v>5</v>
      </c>
      <c r="E182">
        <v>6</v>
      </c>
      <c r="F182">
        <v>59</v>
      </c>
      <c r="G182">
        <v>0</v>
      </c>
      <c r="H182">
        <v>590</v>
      </c>
    </row>
    <row r="183" spans="1:8" x14ac:dyDescent="0.3">
      <c r="A183" s="16" t="s">
        <v>460</v>
      </c>
      <c r="B183">
        <v>330</v>
      </c>
      <c r="C183">
        <v>14</v>
      </c>
      <c r="D183">
        <v>11</v>
      </c>
      <c r="E183">
        <v>5</v>
      </c>
      <c r="F183">
        <v>44</v>
      </c>
      <c r="G183">
        <v>0</v>
      </c>
      <c r="H183">
        <v>60</v>
      </c>
    </row>
    <row r="184" spans="1:8" x14ac:dyDescent="0.3">
      <c r="A184" s="16" t="s">
        <v>465</v>
      </c>
      <c r="B184">
        <f>SUM(B41,B40,B37*4.5,B36*6,B50)</f>
        <v>2557</v>
      </c>
      <c r="C184">
        <f t="shared" ref="C184:H184" si="35">SUM(C41,C40,C37*4.5,C36*6,C50)</f>
        <v>101</v>
      </c>
      <c r="D184">
        <f t="shared" si="35"/>
        <v>24.5</v>
      </c>
      <c r="E184">
        <f t="shared" si="35"/>
        <v>116</v>
      </c>
      <c r="F184">
        <f t="shared" si="35"/>
        <v>302.5</v>
      </c>
      <c r="G184">
        <f t="shared" si="35"/>
        <v>19</v>
      </c>
      <c r="H184">
        <f t="shared" si="35"/>
        <v>1577</v>
      </c>
    </row>
    <row r="185" spans="1:8" x14ac:dyDescent="0.3">
      <c r="A185" s="16" t="s">
        <v>466</v>
      </c>
      <c r="B185">
        <v>15</v>
      </c>
      <c r="C185">
        <v>0</v>
      </c>
      <c r="D185">
        <v>0</v>
      </c>
      <c r="E185">
        <v>0</v>
      </c>
      <c r="F185">
        <v>4</v>
      </c>
      <c r="G185">
        <v>0</v>
      </c>
      <c r="H185">
        <v>0</v>
      </c>
    </row>
    <row r="186" spans="1:8" x14ac:dyDescent="0.3">
      <c r="A186" s="16" t="s">
        <v>467</v>
      </c>
      <c r="B186">
        <f>B185*3</f>
        <v>45</v>
      </c>
      <c r="C186">
        <f t="shared" ref="C186:H186" si="36">C185*3</f>
        <v>0</v>
      </c>
      <c r="D186">
        <f t="shared" si="36"/>
        <v>0</v>
      </c>
      <c r="E186">
        <f t="shared" si="36"/>
        <v>0</v>
      </c>
      <c r="F186">
        <f t="shared" si="36"/>
        <v>12</v>
      </c>
      <c r="G186">
        <f t="shared" si="36"/>
        <v>0</v>
      </c>
      <c r="H186">
        <f t="shared" si="36"/>
        <v>0</v>
      </c>
    </row>
    <row r="187" spans="1:8" x14ac:dyDescent="0.3">
      <c r="A187" s="16" t="s">
        <v>470</v>
      </c>
      <c r="B187" s="17">
        <v>220</v>
      </c>
      <c r="C187" s="17">
        <v>14</v>
      </c>
      <c r="D187" s="17">
        <v>9</v>
      </c>
      <c r="E187" s="17">
        <v>1</v>
      </c>
      <c r="F187" s="17">
        <v>22</v>
      </c>
      <c r="G187" s="17">
        <v>0</v>
      </c>
      <c r="H187" s="17">
        <v>200</v>
      </c>
    </row>
    <row r="188" spans="1:8" x14ac:dyDescent="0.3">
      <c r="A188" s="16" t="s">
        <v>471</v>
      </c>
      <c r="B188">
        <v>230</v>
      </c>
      <c r="C188">
        <v>18</v>
      </c>
      <c r="D188">
        <v>10</v>
      </c>
      <c r="E188">
        <v>5</v>
      </c>
      <c r="F188">
        <v>20</v>
      </c>
      <c r="G188">
        <v>0</v>
      </c>
      <c r="H188">
        <v>140</v>
      </c>
    </row>
    <row r="189" spans="1:8" x14ac:dyDescent="0.3">
      <c r="A189" s="16" t="s">
        <v>472</v>
      </c>
      <c r="B189">
        <v>700</v>
      </c>
      <c r="C189">
        <v>41</v>
      </c>
      <c r="D189">
        <v>8</v>
      </c>
      <c r="E189">
        <v>8</v>
      </c>
      <c r="F189">
        <v>78</v>
      </c>
      <c r="G189">
        <f t="shared" ref="G189" si="37">G187/2</f>
        <v>0</v>
      </c>
      <c r="H189">
        <v>630</v>
      </c>
    </row>
    <row r="190" spans="1:8" x14ac:dyDescent="0.3">
      <c r="A190" s="16" t="s">
        <v>475</v>
      </c>
      <c r="B190">
        <f>SUM(B95*4.5,B50*2,B115*5,B91*4.5)</f>
        <v>3245</v>
      </c>
      <c r="C190">
        <f t="shared" ref="C190:H190" si="38">SUM(C95*4.5,C50*2,C115*5,C91*4.5)</f>
        <v>127.75</v>
      </c>
      <c r="D190">
        <f t="shared" si="38"/>
        <v>31.25</v>
      </c>
      <c r="E190">
        <f t="shared" si="38"/>
        <v>203.5</v>
      </c>
      <c r="F190">
        <f t="shared" si="38"/>
        <v>352</v>
      </c>
      <c r="G190">
        <f t="shared" si="38"/>
        <v>63.5</v>
      </c>
      <c r="H190">
        <f t="shared" si="38"/>
        <v>3975</v>
      </c>
    </row>
    <row r="191" spans="1:8" x14ac:dyDescent="0.3">
      <c r="A191" s="16" t="s">
        <v>476</v>
      </c>
      <c r="B191">
        <f>B190/4</f>
        <v>811.25</v>
      </c>
      <c r="C191">
        <f t="shared" ref="C191:H191" si="39">C190/4</f>
        <v>31.9375</v>
      </c>
      <c r="D191">
        <f t="shared" si="39"/>
        <v>7.8125</v>
      </c>
      <c r="E191">
        <f t="shared" si="39"/>
        <v>50.875</v>
      </c>
      <c r="F191">
        <f t="shared" si="39"/>
        <v>88</v>
      </c>
      <c r="G191">
        <f t="shared" si="39"/>
        <v>15.875</v>
      </c>
      <c r="H191">
        <f t="shared" si="39"/>
        <v>993.75</v>
      </c>
    </row>
    <row r="192" spans="1:8" x14ac:dyDescent="0.3">
      <c r="A192" s="16" t="s">
        <v>510</v>
      </c>
      <c r="B192">
        <v>80</v>
      </c>
      <c r="C192">
        <v>6</v>
      </c>
      <c r="D192">
        <v>3</v>
      </c>
      <c r="E192">
        <v>6</v>
      </c>
      <c r="F192">
        <v>2</v>
      </c>
      <c r="G192">
        <v>0</v>
      </c>
      <c r="H192">
        <v>180</v>
      </c>
    </row>
    <row r="193" spans="1:8" x14ac:dyDescent="0.3">
      <c r="A193" s="16" t="s">
        <v>481</v>
      </c>
      <c r="B193">
        <v>51</v>
      </c>
      <c r="C193">
        <v>5.0999999999999996</v>
      </c>
      <c r="D193">
        <v>3.2</v>
      </c>
      <c r="E193">
        <v>1.1000000000000001</v>
      </c>
      <c r="F193">
        <v>0.4</v>
      </c>
      <c r="G193">
        <v>0</v>
      </c>
      <c r="H193">
        <v>43</v>
      </c>
    </row>
    <row r="194" spans="1:8" x14ac:dyDescent="0.3">
      <c r="A194" s="16" t="s">
        <v>479</v>
      </c>
      <c r="B194">
        <v>100</v>
      </c>
      <c r="C194">
        <v>10</v>
      </c>
      <c r="D194">
        <v>8</v>
      </c>
      <c r="E194">
        <v>5</v>
      </c>
      <c r="F194">
        <v>0</v>
      </c>
      <c r="G194">
        <v>0</v>
      </c>
      <c r="H194">
        <v>210</v>
      </c>
    </row>
    <row r="195" spans="1:8" x14ac:dyDescent="0.3">
      <c r="A195" s="16" t="s">
        <v>480</v>
      </c>
      <c r="B195">
        <v>120</v>
      </c>
      <c r="C195">
        <v>13.6</v>
      </c>
      <c r="D195">
        <v>1.9</v>
      </c>
      <c r="E195">
        <v>0</v>
      </c>
      <c r="F195">
        <v>0</v>
      </c>
      <c r="G195">
        <v>0</v>
      </c>
      <c r="H195">
        <v>0</v>
      </c>
    </row>
    <row r="196" spans="1:8" x14ac:dyDescent="0.3">
      <c r="A196" s="16" t="s">
        <v>482</v>
      </c>
      <c r="B196">
        <f>B177+B194*2+193*2</f>
        <v>1140.5</v>
      </c>
      <c r="C196">
        <f t="shared" ref="C196:H196" si="40">C177+C194*2+193*2</f>
        <v>417.17500000000001</v>
      </c>
      <c r="D196">
        <f t="shared" si="40"/>
        <v>404.15</v>
      </c>
      <c r="E196">
        <f t="shared" si="40"/>
        <v>413.8</v>
      </c>
      <c r="F196">
        <f t="shared" si="40"/>
        <v>482.55</v>
      </c>
      <c r="G196">
        <f t="shared" si="40"/>
        <v>394.35</v>
      </c>
      <c r="H196">
        <f t="shared" si="40"/>
        <v>1707</v>
      </c>
    </row>
    <row r="197" spans="1:8" x14ac:dyDescent="0.3">
      <c r="A197" s="16" t="s">
        <v>483</v>
      </c>
      <c r="B197">
        <v>460</v>
      </c>
      <c r="C197">
        <v>33</v>
      </c>
      <c r="D197">
        <v>20</v>
      </c>
      <c r="E197">
        <v>6</v>
      </c>
      <c r="F197">
        <v>39</v>
      </c>
      <c r="G197">
        <v>2</v>
      </c>
      <c r="H197">
        <v>210</v>
      </c>
    </row>
    <row r="198" spans="1:8" x14ac:dyDescent="0.3">
      <c r="A198" s="16" t="s">
        <v>485</v>
      </c>
      <c r="B198">
        <f>B184</f>
        <v>2557</v>
      </c>
      <c r="C198">
        <f t="shared" ref="C198:H198" si="41">C184</f>
        <v>101</v>
      </c>
      <c r="D198">
        <f t="shared" si="41"/>
        <v>24.5</v>
      </c>
      <c r="E198">
        <f t="shared" si="41"/>
        <v>116</v>
      </c>
      <c r="F198">
        <f t="shared" si="41"/>
        <v>302.5</v>
      </c>
      <c r="G198">
        <f t="shared" si="41"/>
        <v>19</v>
      </c>
      <c r="H198">
        <f t="shared" si="41"/>
        <v>1577</v>
      </c>
    </row>
    <row r="199" spans="1:8" x14ac:dyDescent="0.3">
      <c r="A199" s="16" t="s">
        <v>486</v>
      </c>
      <c r="B199">
        <f>B198/4</f>
        <v>639.25</v>
      </c>
      <c r="C199">
        <f t="shared" ref="C199:H199" si="42">C198/4</f>
        <v>25.25</v>
      </c>
      <c r="D199">
        <f t="shared" si="42"/>
        <v>6.125</v>
      </c>
      <c r="E199">
        <f t="shared" si="42"/>
        <v>29</v>
      </c>
      <c r="F199">
        <f t="shared" si="42"/>
        <v>75.625</v>
      </c>
      <c r="G199">
        <f t="shared" si="42"/>
        <v>4.75</v>
      </c>
      <c r="H199">
        <f t="shared" si="42"/>
        <v>394.25</v>
      </c>
    </row>
    <row r="200" spans="1:8" x14ac:dyDescent="0.3">
      <c r="A200" s="16" t="s">
        <v>488</v>
      </c>
      <c r="B200">
        <v>35</v>
      </c>
      <c r="C200">
        <v>1.5</v>
      </c>
      <c r="D200">
        <v>0</v>
      </c>
      <c r="E200">
        <v>0</v>
      </c>
      <c r="F200">
        <v>5</v>
      </c>
      <c r="G200">
        <v>0</v>
      </c>
      <c r="H200">
        <v>15</v>
      </c>
    </row>
    <row r="201" spans="1:8" x14ac:dyDescent="0.3">
      <c r="A201" s="16" t="s">
        <v>491</v>
      </c>
      <c r="B201">
        <v>190</v>
      </c>
      <c r="C201">
        <v>7</v>
      </c>
      <c r="D201">
        <v>1.5</v>
      </c>
      <c r="E201">
        <v>4</v>
      </c>
      <c r="F201">
        <v>29</v>
      </c>
      <c r="G201">
        <v>2</v>
      </c>
      <c r="H201">
        <v>340</v>
      </c>
    </row>
    <row r="202" spans="1:8" x14ac:dyDescent="0.3">
      <c r="A202" s="16" t="s">
        <v>492</v>
      </c>
      <c r="B202">
        <f>240*3</f>
        <v>720</v>
      </c>
      <c r="C202">
        <f>14*3</f>
        <v>42</v>
      </c>
      <c r="D202">
        <f>8*3</f>
        <v>24</v>
      </c>
      <c r="E202">
        <f>19*3</f>
        <v>57</v>
      </c>
      <c r="F202">
        <f>9*3</f>
        <v>27</v>
      </c>
      <c r="G202">
        <f>3*3</f>
        <v>9</v>
      </c>
      <c r="H202">
        <f>370</f>
        <v>370</v>
      </c>
    </row>
    <row r="203" spans="1:8" x14ac:dyDescent="0.3">
      <c r="A203" s="16" t="s">
        <v>493</v>
      </c>
      <c r="B203">
        <f>200*6</f>
        <v>1200</v>
      </c>
      <c r="C203">
        <f>1*6</f>
        <v>6</v>
      </c>
      <c r="D203">
        <f>0*6</f>
        <v>0</v>
      </c>
      <c r="E203">
        <f>3*6</f>
        <v>18</v>
      </c>
      <c r="F203">
        <f>45*3</f>
        <v>135</v>
      </c>
      <c r="G203">
        <f>1*3</f>
        <v>3</v>
      </c>
      <c r="H203">
        <f>0*6</f>
        <v>0</v>
      </c>
    </row>
    <row r="204" spans="1:8" x14ac:dyDescent="0.3">
      <c r="A204" s="16" t="s">
        <v>495</v>
      </c>
      <c r="B204">
        <f>90*5</f>
        <v>450</v>
      </c>
      <c r="C204">
        <f>2.5*5</f>
        <v>12.5</v>
      </c>
      <c r="D204">
        <f>1*5</f>
        <v>5</v>
      </c>
      <c r="E204">
        <f>3*5</f>
        <v>15</v>
      </c>
      <c r="F204">
        <f>12*5</f>
        <v>60</v>
      </c>
      <c r="G204">
        <f>3*5</f>
        <v>15</v>
      </c>
      <c r="H204">
        <f>590*5</f>
        <v>2950</v>
      </c>
    </row>
    <row r="205" spans="1:8" x14ac:dyDescent="0.3">
      <c r="A205" s="16" t="s">
        <v>496</v>
      </c>
      <c r="B205">
        <v>100</v>
      </c>
      <c r="C205">
        <v>6</v>
      </c>
      <c r="D205">
        <v>4</v>
      </c>
      <c r="E205">
        <v>8</v>
      </c>
      <c r="F205">
        <v>2</v>
      </c>
      <c r="G205">
        <v>0</v>
      </c>
      <c r="H205">
        <v>280</v>
      </c>
    </row>
    <row r="206" spans="1:8" x14ac:dyDescent="0.3">
      <c r="A206" s="16" t="s">
        <v>494</v>
      </c>
      <c r="B206">
        <f>SUM(B204,B203,B202,B50*2,B93)</f>
        <v>2647</v>
      </c>
      <c r="C206">
        <f t="shared" ref="C206:H206" si="43">SUM(C204,C203,C202,C50*2,C93)</f>
        <v>88.5</v>
      </c>
      <c r="D206">
        <f t="shared" si="43"/>
        <v>33</v>
      </c>
      <c r="E206">
        <f t="shared" si="43"/>
        <v>91</v>
      </c>
      <c r="F206">
        <f t="shared" si="43"/>
        <v>229</v>
      </c>
      <c r="G206">
        <f t="shared" si="43"/>
        <v>29</v>
      </c>
      <c r="H206">
        <f t="shared" si="43"/>
        <v>3325</v>
      </c>
    </row>
    <row r="207" spans="1:8" x14ac:dyDescent="0.3">
      <c r="A207" s="16" t="s">
        <v>497</v>
      </c>
      <c r="B207">
        <f>B206/4</f>
        <v>661.75</v>
      </c>
      <c r="C207">
        <f t="shared" ref="C207:H207" si="44">C206/4</f>
        <v>22.125</v>
      </c>
      <c r="D207">
        <f t="shared" si="44"/>
        <v>8.25</v>
      </c>
      <c r="E207">
        <f t="shared" si="44"/>
        <v>22.75</v>
      </c>
      <c r="F207">
        <f t="shared" si="44"/>
        <v>57.25</v>
      </c>
      <c r="G207">
        <f t="shared" si="44"/>
        <v>7.25</v>
      </c>
      <c r="H207">
        <f t="shared" si="44"/>
        <v>831.25</v>
      </c>
    </row>
    <row r="208" spans="1:8" x14ac:dyDescent="0.3">
      <c r="A208" s="16" t="s">
        <v>502</v>
      </c>
      <c r="B208">
        <f>30*3.5</f>
        <v>105</v>
      </c>
      <c r="C208">
        <f>0</f>
        <v>0</v>
      </c>
      <c r="D208">
        <v>0</v>
      </c>
      <c r="E208">
        <f>1*3.5</f>
        <v>3.5</v>
      </c>
      <c r="F208">
        <f>4*3.5</f>
        <v>14</v>
      </c>
      <c r="G208">
        <f>2*3.5</f>
        <v>7</v>
      </c>
      <c r="H208">
        <f>20*3.5</f>
        <v>70</v>
      </c>
    </row>
    <row r="209" spans="1:8" x14ac:dyDescent="0.3">
      <c r="A209" s="16" t="s">
        <v>504</v>
      </c>
      <c r="B209">
        <f>SUM(B208,B204,B6*2,B61*5,B37*4.5,B50*2)</f>
        <v>3735</v>
      </c>
      <c r="C209">
        <f t="shared" ref="C209:H209" si="45">SUM(C208,C204,C6*2,C61*5,C37*4.5,C50*2)</f>
        <v>144</v>
      </c>
      <c r="D209">
        <f t="shared" si="45"/>
        <v>41</v>
      </c>
      <c r="E209">
        <f t="shared" si="45"/>
        <v>225.5</v>
      </c>
      <c r="F209">
        <f t="shared" si="45"/>
        <v>405.5</v>
      </c>
      <c r="G209">
        <f t="shared" si="45"/>
        <v>86</v>
      </c>
      <c r="H209">
        <f t="shared" si="45"/>
        <v>4625</v>
      </c>
    </row>
    <row r="210" spans="1:8" x14ac:dyDescent="0.3">
      <c r="A210" s="16" t="s">
        <v>503</v>
      </c>
      <c r="B210">
        <f>B209/5</f>
        <v>747</v>
      </c>
      <c r="C210">
        <f t="shared" ref="C210:H210" si="46">C209/5</f>
        <v>28.8</v>
      </c>
      <c r="D210">
        <f t="shared" si="46"/>
        <v>8.1999999999999993</v>
      </c>
      <c r="E210">
        <f t="shared" si="46"/>
        <v>45.1</v>
      </c>
      <c r="F210">
        <f t="shared" si="46"/>
        <v>81.099999999999994</v>
      </c>
      <c r="G210">
        <f t="shared" si="46"/>
        <v>17.2</v>
      </c>
      <c r="H210">
        <f t="shared" si="46"/>
        <v>925</v>
      </c>
    </row>
    <row r="211" spans="1:8" x14ac:dyDescent="0.3">
      <c r="A211" s="16" t="s">
        <v>505</v>
      </c>
      <c r="B211">
        <v>70</v>
      </c>
      <c r="C211">
        <v>5</v>
      </c>
      <c r="D211">
        <v>3.5</v>
      </c>
      <c r="E211">
        <v>1</v>
      </c>
      <c r="F211">
        <v>4</v>
      </c>
      <c r="G211">
        <v>0</v>
      </c>
      <c r="H211">
        <v>20</v>
      </c>
    </row>
    <row r="212" spans="1:8" x14ac:dyDescent="0.3">
      <c r="A212" s="16" t="s">
        <v>513</v>
      </c>
      <c r="B212">
        <v>80</v>
      </c>
      <c r="C212">
        <v>5</v>
      </c>
      <c r="D212">
        <v>1</v>
      </c>
      <c r="E212">
        <v>1</v>
      </c>
      <c r="F212">
        <v>20</v>
      </c>
      <c r="G212">
        <v>9</v>
      </c>
      <c r="H212">
        <v>0</v>
      </c>
    </row>
    <row r="213" spans="1:8" x14ac:dyDescent="0.3">
      <c r="A213" s="16" t="s">
        <v>514</v>
      </c>
      <c r="B213">
        <v>110</v>
      </c>
      <c r="C213">
        <v>11</v>
      </c>
      <c r="D213">
        <v>6</v>
      </c>
      <c r="E213">
        <v>2</v>
      </c>
      <c r="F213">
        <v>2</v>
      </c>
      <c r="G213">
        <v>0</v>
      </c>
      <c r="H213">
        <v>390</v>
      </c>
    </row>
    <row r="214" spans="1:8" x14ac:dyDescent="0.3">
      <c r="A214" s="16" t="s">
        <v>515</v>
      </c>
      <c r="B214">
        <f>SUM(B213*7,B202*3,B50*2,B39,B61*4.5)</f>
        <v>4692</v>
      </c>
      <c r="C214">
        <f t="shared" ref="C214:H214" si="47">SUM(C213*7,C202*3,C50*2,C39)</f>
        <v>231</v>
      </c>
      <c r="D214">
        <f t="shared" si="47"/>
        <v>118</v>
      </c>
      <c r="E214">
        <f t="shared" si="47"/>
        <v>186</v>
      </c>
      <c r="F214">
        <f t="shared" si="47"/>
        <v>102</v>
      </c>
      <c r="G214">
        <f t="shared" si="47"/>
        <v>29</v>
      </c>
      <c r="H214">
        <f t="shared" si="47"/>
        <v>3845</v>
      </c>
    </row>
    <row r="215" spans="1:8" x14ac:dyDescent="0.3">
      <c r="A215" s="16" t="s">
        <v>516</v>
      </c>
      <c r="B215">
        <f>B214/4</f>
        <v>1173</v>
      </c>
      <c r="C215">
        <f t="shared" ref="C215:H215" si="48">C214/4</f>
        <v>57.75</v>
      </c>
      <c r="D215">
        <f t="shared" si="48"/>
        <v>29.5</v>
      </c>
      <c r="E215">
        <f t="shared" si="48"/>
        <v>46.5</v>
      </c>
      <c r="F215">
        <f t="shared" si="48"/>
        <v>25.5</v>
      </c>
      <c r="G215">
        <f t="shared" si="48"/>
        <v>7.25</v>
      </c>
      <c r="H215">
        <f t="shared" si="48"/>
        <v>961.25</v>
      </c>
    </row>
    <row r="216" spans="1:8" x14ac:dyDescent="0.3">
      <c r="A216" s="16" t="s">
        <v>519</v>
      </c>
      <c r="B216" s="17">
        <v>120</v>
      </c>
      <c r="C216" s="17">
        <v>5</v>
      </c>
      <c r="D216" s="17">
        <v>3</v>
      </c>
      <c r="E216" s="17">
        <v>1</v>
      </c>
      <c r="F216" s="17">
        <v>17</v>
      </c>
      <c r="G216" s="17">
        <v>1</v>
      </c>
      <c r="H216" s="17">
        <v>100</v>
      </c>
    </row>
    <row r="217" spans="1:8" x14ac:dyDescent="0.3">
      <c r="A217" s="16" t="s">
        <v>522</v>
      </c>
      <c r="B217">
        <v>140</v>
      </c>
      <c r="C217">
        <v>7</v>
      </c>
      <c r="D217">
        <v>1</v>
      </c>
      <c r="E217">
        <v>2</v>
      </c>
      <c r="F217">
        <v>18</v>
      </c>
      <c r="G217">
        <v>2</v>
      </c>
      <c r="H217">
        <v>90</v>
      </c>
    </row>
    <row r="218" spans="1:8" x14ac:dyDescent="0.3">
      <c r="A218" s="16" t="s">
        <v>523</v>
      </c>
      <c r="B218">
        <f>SUM(B39,B41,B50*2,B95*4)</f>
        <v>1344</v>
      </c>
      <c r="C218">
        <f t="shared" ref="C218:H218" si="49">SUM(C39,C41,C50*2,C95*4)</f>
        <v>100</v>
      </c>
      <c r="D218">
        <f t="shared" si="49"/>
        <v>24</v>
      </c>
      <c r="E218">
        <f t="shared" si="49"/>
        <v>82</v>
      </c>
      <c r="F218">
        <f t="shared" si="49"/>
        <v>33</v>
      </c>
      <c r="G218">
        <f t="shared" si="49"/>
        <v>11</v>
      </c>
      <c r="H218">
        <f t="shared" si="49"/>
        <v>1407</v>
      </c>
    </row>
    <row r="219" spans="1:8" x14ac:dyDescent="0.3">
      <c r="A219" s="16" t="s">
        <v>524</v>
      </c>
      <c r="B219" s="17">
        <f>B218/3</f>
        <v>448</v>
      </c>
      <c r="C219" s="17">
        <f t="shared" ref="C219:H219" si="50">C218/3</f>
        <v>33.333333333333336</v>
      </c>
      <c r="D219" s="17">
        <f t="shared" si="50"/>
        <v>8</v>
      </c>
      <c r="E219" s="17">
        <f t="shared" si="50"/>
        <v>27.333333333333332</v>
      </c>
      <c r="F219" s="17">
        <f t="shared" si="50"/>
        <v>11</v>
      </c>
      <c r="G219" s="17">
        <f t="shared" si="50"/>
        <v>3.6666666666666665</v>
      </c>
      <c r="H219" s="17">
        <f t="shared" si="50"/>
        <v>469</v>
      </c>
    </row>
    <row r="220" spans="1:8" x14ac:dyDescent="0.3">
      <c r="A220" s="16" t="s">
        <v>527</v>
      </c>
      <c r="B220">
        <v>30</v>
      </c>
      <c r="C220">
        <v>2.5</v>
      </c>
      <c r="D220">
        <v>0</v>
      </c>
      <c r="E220">
        <v>1</v>
      </c>
      <c r="F220">
        <v>1</v>
      </c>
      <c r="G220">
        <v>1</v>
      </c>
      <c r="H220">
        <v>170</v>
      </c>
    </row>
    <row r="221" spans="1:8" x14ac:dyDescent="0.3">
      <c r="A221" s="16" t="s">
        <v>528</v>
      </c>
      <c r="B221">
        <v>266</v>
      </c>
      <c r="C221">
        <v>0.1</v>
      </c>
      <c r="D221">
        <v>0</v>
      </c>
      <c r="E221">
        <v>1.7</v>
      </c>
      <c r="F221">
        <v>72</v>
      </c>
      <c r="G221">
        <v>6.4</v>
      </c>
      <c r="H221">
        <v>0</v>
      </c>
    </row>
    <row r="222" spans="1:8" x14ac:dyDescent="0.3">
      <c r="A222" s="16" t="s">
        <v>529</v>
      </c>
      <c r="B222">
        <v>180</v>
      </c>
      <c r="C222">
        <v>0</v>
      </c>
      <c r="D222">
        <v>0</v>
      </c>
      <c r="E222">
        <v>0</v>
      </c>
      <c r="F222">
        <v>48</v>
      </c>
      <c r="G222">
        <v>4</v>
      </c>
      <c r="H222">
        <v>20</v>
      </c>
    </row>
    <row r="223" spans="1:8" x14ac:dyDescent="0.3">
      <c r="A223" s="16" t="s">
        <v>530</v>
      </c>
      <c r="B223">
        <v>179</v>
      </c>
      <c r="C223">
        <v>14.5</v>
      </c>
      <c r="D223">
        <v>10.199999999999999</v>
      </c>
      <c r="E223">
        <v>9.6999999999999993</v>
      </c>
      <c r="F223">
        <v>10.8</v>
      </c>
      <c r="G223">
        <v>0</v>
      </c>
      <c r="H223">
        <v>759</v>
      </c>
    </row>
    <row r="224" spans="1:8" x14ac:dyDescent="0.3">
      <c r="A224" s="16" t="s">
        <v>533</v>
      </c>
      <c r="B224">
        <v>300</v>
      </c>
      <c r="C224">
        <v>10</v>
      </c>
      <c r="D224">
        <v>6</v>
      </c>
      <c r="E224">
        <v>4</v>
      </c>
      <c r="F224">
        <v>38</v>
      </c>
      <c r="G224">
        <v>2</v>
      </c>
      <c r="H224">
        <v>240</v>
      </c>
    </row>
    <row r="225" spans="1:8" x14ac:dyDescent="0.3">
      <c r="A225" s="16" t="s">
        <v>534</v>
      </c>
      <c r="B225">
        <v>500</v>
      </c>
      <c r="C225">
        <v>24</v>
      </c>
      <c r="D225">
        <v>9</v>
      </c>
      <c r="E225">
        <v>8</v>
      </c>
      <c r="F225">
        <v>66</v>
      </c>
      <c r="G225">
        <v>2</v>
      </c>
      <c r="H225">
        <v>240</v>
      </c>
    </row>
    <row r="226" spans="1:8" x14ac:dyDescent="0.3">
      <c r="A226" s="16" t="s">
        <v>537</v>
      </c>
      <c r="B226" s="17">
        <v>110</v>
      </c>
      <c r="C226" s="17">
        <v>9</v>
      </c>
      <c r="D226" s="17">
        <v>5</v>
      </c>
      <c r="E226" s="17">
        <v>6</v>
      </c>
      <c r="F226" s="17">
        <v>1</v>
      </c>
      <c r="G226" s="17">
        <v>0</v>
      </c>
      <c r="H226" s="17">
        <v>260</v>
      </c>
    </row>
    <row r="227" spans="1:8" x14ac:dyDescent="0.3">
      <c r="A227" s="16" t="s">
        <v>542</v>
      </c>
      <c r="B227">
        <v>90</v>
      </c>
      <c r="C227">
        <v>6</v>
      </c>
      <c r="D227">
        <v>3.5</v>
      </c>
      <c r="E227">
        <v>7</v>
      </c>
      <c r="F227">
        <v>2</v>
      </c>
      <c r="G227">
        <v>0</v>
      </c>
      <c r="H227">
        <v>200</v>
      </c>
    </row>
    <row r="228" spans="1:8" x14ac:dyDescent="0.3">
      <c r="A228" s="16" t="s">
        <v>543</v>
      </c>
      <c r="B228">
        <v>120</v>
      </c>
      <c r="C228">
        <v>14</v>
      </c>
      <c r="D228">
        <v>2</v>
      </c>
      <c r="E228">
        <v>0</v>
      </c>
      <c r="F228">
        <v>0</v>
      </c>
      <c r="G228">
        <v>0</v>
      </c>
      <c r="H228">
        <v>0</v>
      </c>
    </row>
    <row r="229" spans="1:8" x14ac:dyDescent="0.3">
      <c r="A229" s="16" t="s">
        <v>545</v>
      </c>
      <c r="B229">
        <f>SUM(B111*12,B115*5,B95*4.5,B93,B94,B228*2)</f>
        <v>4117</v>
      </c>
      <c r="C229">
        <f t="shared" ref="C229:H229" si="51">SUM(C111*12,C115*5,C95*4.5,C93,C94,C228*2)</f>
        <v>128.5</v>
      </c>
      <c r="D229">
        <f t="shared" si="51"/>
        <v>29</v>
      </c>
      <c r="E229">
        <f t="shared" si="51"/>
        <v>150</v>
      </c>
      <c r="F229">
        <f t="shared" si="51"/>
        <v>622.5</v>
      </c>
      <c r="G229">
        <f t="shared" si="51"/>
        <v>43</v>
      </c>
      <c r="H229">
        <f t="shared" si="51"/>
        <v>3980</v>
      </c>
    </row>
    <row r="230" spans="1:8" x14ac:dyDescent="0.3">
      <c r="A230" s="16" t="s">
        <v>544</v>
      </c>
      <c r="B230" s="17">
        <f>B229/6</f>
        <v>686.16666666666663</v>
      </c>
      <c r="C230" s="17">
        <f t="shared" ref="C230:H230" si="52">C229/6</f>
        <v>21.416666666666668</v>
      </c>
      <c r="D230" s="17">
        <f t="shared" si="52"/>
        <v>4.833333333333333</v>
      </c>
      <c r="E230" s="17">
        <f t="shared" si="52"/>
        <v>25</v>
      </c>
      <c r="F230" s="17">
        <f t="shared" si="52"/>
        <v>103.75</v>
      </c>
      <c r="G230" s="17">
        <f t="shared" si="52"/>
        <v>7.166666666666667</v>
      </c>
      <c r="H230" s="17">
        <f t="shared" si="52"/>
        <v>663.33333333333337</v>
      </c>
    </row>
    <row r="231" spans="1:8" x14ac:dyDescent="0.3">
      <c r="A231" s="16" t="s">
        <v>548</v>
      </c>
      <c r="B231">
        <v>110</v>
      </c>
      <c r="C231">
        <v>7</v>
      </c>
      <c r="D231">
        <v>4</v>
      </c>
      <c r="E231">
        <v>10</v>
      </c>
      <c r="F231">
        <v>2</v>
      </c>
      <c r="G231">
        <v>0</v>
      </c>
      <c r="H231">
        <v>330</v>
      </c>
    </row>
    <row r="232" spans="1:8" x14ac:dyDescent="0.3">
      <c r="A232" s="16" t="s">
        <v>549</v>
      </c>
      <c r="B232">
        <v>480</v>
      </c>
      <c r="C232">
        <v>23</v>
      </c>
      <c r="D232">
        <v>4</v>
      </c>
      <c r="E232">
        <v>7</v>
      </c>
      <c r="F232">
        <v>63</v>
      </c>
      <c r="G232">
        <v>6</v>
      </c>
      <c r="H232">
        <v>370</v>
      </c>
    </row>
    <row r="233" spans="1:8" x14ac:dyDescent="0.3">
      <c r="A233" s="16" t="s">
        <v>550</v>
      </c>
      <c r="B233">
        <v>330</v>
      </c>
      <c r="C233">
        <v>14</v>
      </c>
      <c r="D233">
        <v>11</v>
      </c>
      <c r="E233">
        <v>5</v>
      </c>
      <c r="F233">
        <v>44</v>
      </c>
      <c r="G233">
        <v>0</v>
      </c>
      <c r="H233">
        <v>60</v>
      </c>
    </row>
    <row r="234" spans="1:8" x14ac:dyDescent="0.3">
      <c r="A234" s="16" t="s">
        <v>551</v>
      </c>
      <c r="B234">
        <v>76</v>
      </c>
      <c r="C234">
        <v>5.8</v>
      </c>
      <c r="D234">
        <v>2.6</v>
      </c>
      <c r="E234">
        <v>2.9</v>
      </c>
      <c r="F234">
        <v>3</v>
      </c>
      <c r="G234">
        <v>0.2</v>
      </c>
      <c r="H234">
        <v>361</v>
      </c>
    </row>
    <row r="235" spans="1:8" x14ac:dyDescent="0.3">
      <c r="A235" s="16" t="s">
        <v>554</v>
      </c>
      <c r="B235">
        <v>220</v>
      </c>
      <c r="C235">
        <v>17</v>
      </c>
      <c r="D235">
        <v>12</v>
      </c>
      <c r="E235">
        <v>2</v>
      </c>
      <c r="F235">
        <v>16</v>
      </c>
      <c r="G235">
        <v>1</v>
      </c>
      <c r="H235">
        <v>35</v>
      </c>
    </row>
    <row r="236" spans="1:8" x14ac:dyDescent="0.3">
      <c r="A236" s="16" t="s">
        <v>555</v>
      </c>
      <c r="B236">
        <v>519</v>
      </c>
      <c r="C236">
        <v>0</v>
      </c>
      <c r="D236">
        <v>0</v>
      </c>
      <c r="E236">
        <v>4</v>
      </c>
      <c r="F236">
        <v>124</v>
      </c>
      <c r="G236">
        <v>0</v>
      </c>
      <c r="H236">
        <v>60</v>
      </c>
    </row>
    <row r="237" spans="1:8" x14ac:dyDescent="0.3">
      <c r="A237" t="s">
        <v>567</v>
      </c>
      <c r="B237">
        <f t="shared" ref="B237:G237" si="53">SUM(B40*2,B39,B37*4.5,B331*5,B115*5)</f>
        <v>8387</v>
      </c>
      <c r="C237">
        <f t="shared" si="53"/>
        <v>3938.5</v>
      </c>
      <c r="D237">
        <f t="shared" si="53"/>
        <v>685</v>
      </c>
      <c r="E237">
        <f t="shared" si="53"/>
        <v>258</v>
      </c>
      <c r="F237">
        <f t="shared" si="53"/>
        <v>169.5</v>
      </c>
      <c r="G237">
        <f t="shared" si="53"/>
        <v>207</v>
      </c>
      <c r="H237">
        <f t="shared" ref="H237" si="54">SUM(H40*2,H39,H37*4.5,H330*5,H115*5)</f>
        <v>4055</v>
      </c>
    </row>
    <row r="238" spans="1:8" x14ac:dyDescent="0.3">
      <c r="A238" s="16" t="s">
        <v>568</v>
      </c>
      <c r="B238">
        <f>B237/4</f>
        <v>2096.75</v>
      </c>
      <c r="C238">
        <f t="shared" ref="C238:H238" si="55">C237/4</f>
        <v>984.625</v>
      </c>
      <c r="D238">
        <f t="shared" si="55"/>
        <v>171.25</v>
      </c>
      <c r="E238">
        <f t="shared" si="55"/>
        <v>64.5</v>
      </c>
      <c r="F238">
        <f t="shared" si="55"/>
        <v>42.375</v>
      </c>
      <c r="G238">
        <f t="shared" si="55"/>
        <v>51.75</v>
      </c>
      <c r="H238">
        <f t="shared" si="55"/>
        <v>1013.75</v>
      </c>
    </row>
    <row r="239" spans="1:8" x14ac:dyDescent="0.3">
      <c r="A239" s="16" t="s">
        <v>561</v>
      </c>
      <c r="B239">
        <f>120*4.5</f>
        <v>540</v>
      </c>
      <c r="C239">
        <f>2*4.5</f>
        <v>9</v>
      </c>
      <c r="D239">
        <f>0*4.5</f>
        <v>0</v>
      </c>
      <c r="E239">
        <f>18*4.5</f>
        <v>81</v>
      </c>
      <c r="F239">
        <f>7*4.5</f>
        <v>31.5</v>
      </c>
      <c r="G239">
        <f>5*4.5</f>
        <v>22.5</v>
      </c>
      <c r="H239">
        <f>360*4.5</f>
        <v>1620</v>
      </c>
    </row>
    <row r="240" spans="1:8" x14ac:dyDescent="0.3">
      <c r="A240" s="16" t="s">
        <v>563</v>
      </c>
      <c r="B240">
        <v>30</v>
      </c>
      <c r="C240">
        <v>0</v>
      </c>
      <c r="D240">
        <v>0</v>
      </c>
      <c r="E240">
        <v>1</v>
      </c>
      <c r="F240">
        <v>4</v>
      </c>
      <c r="G240">
        <v>2</v>
      </c>
      <c r="H240">
        <v>20</v>
      </c>
    </row>
    <row r="241" spans="1:8" x14ac:dyDescent="0.3">
      <c r="A241" s="16" t="s">
        <v>564</v>
      </c>
      <c r="B241" s="17">
        <f>SUM(B240*3.5,B239*4.5,B41*2, B36*7,B115*5)</f>
        <v>4339</v>
      </c>
      <c r="C241" s="17">
        <f t="shared" ref="C241:H241" si="56">SUM(C240*3.5,C239*4.5,C41*2, C36*7,C115*5)</f>
        <v>55</v>
      </c>
      <c r="D241" s="17">
        <f t="shared" si="56"/>
        <v>2.5</v>
      </c>
      <c r="E241" s="17">
        <f t="shared" si="56"/>
        <v>408</v>
      </c>
      <c r="F241" s="17">
        <f t="shared" si="56"/>
        <v>530.75</v>
      </c>
      <c r="G241" s="17">
        <f t="shared" si="56"/>
        <v>122.25</v>
      </c>
      <c r="H241" s="17">
        <f t="shared" si="56"/>
        <v>9764</v>
      </c>
    </row>
    <row r="242" spans="1:8" x14ac:dyDescent="0.3">
      <c r="A242" s="16" t="s">
        <v>565</v>
      </c>
      <c r="B242" s="17">
        <f>B241/6</f>
        <v>723.16666666666663</v>
      </c>
      <c r="C242" s="17">
        <f t="shared" ref="C242:H242" si="57">C241/6</f>
        <v>9.1666666666666661</v>
      </c>
      <c r="D242" s="17">
        <f t="shared" si="57"/>
        <v>0.41666666666666669</v>
      </c>
      <c r="E242" s="17">
        <f t="shared" si="57"/>
        <v>68</v>
      </c>
      <c r="F242" s="17">
        <f t="shared" si="57"/>
        <v>88.458333333333329</v>
      </c>
      <c r="G242" s="17">
        <f t="shared" si="57"/>
        <v>20.375</v>
      </c>
      <c r="H242" s="17">
        <f t="shared" si="57"/>
        <v>1627.3333333333333</v>
      </c>
    </row>
    <row r="243" spans="1:8" x14ac:dyDescent="0.3">
      <c r="A243" s="16" t="s">
        <v>570</v>
      </c>
      <c r="B243">
        <v>320</v>
      </c>
      <c r="C243">
        <v>17</v>
      </c>
      <c r="D243">
        <v>10</v>
      </c>
      <c r="E243">
        <v>7</v>
      </c>
      <c r="F243">
        <v>35</v>
      </c>
      <c r="G243">
        <v>1</v>
      </c>
      <c r="H243">
        <v>250</v>
      </c>
    </row>
    <row r="244" spans="1:8" x14ac:dyDescent="0.3">
      <c r="A244" s="16" t="s">
        <v>571</v>
      </c>
      <c r="B244">
        <v>300</v>
      </c>
      <c r="C244">
        <v>15</v>
      </c>
      <c r="D244">
        <v>2.5</v>
      </c>
      <c r="E244">
        <v>3</v>
      </c>
      <c r="F244">
        <v>39</v>
      </c>
      <c r="G244">
        <v>4</v>
      </c>
      <c r="H244">
        <v>600</v>
      </c>
    </row>
    <row r="245" spans="1:8" x14ac:dyDescent="0.3">
      <c r="A245" s="16" t="s">
        <v>572</v>
      </c>
      <c r="B245" s="17">
        <f>180*16</f>
        <v>2880</v>
      </c>
      <c r="C245" s="17">
        <f>2.5*16</f>
        <v>40</v>
      </c>
      <c r="D245" s="17">
        <f>1.5*16</f>
        <v>24</v>
      </c>
      <c r="E245" s="17">
        <f>1*16</f>
        <v>16</v>
      </c>
      <c r="F245" s="17">
        <f>26*16</f>
        <v>416</v>
      </c>
      <c r="G245" s="17">
        <f>1*16</f>
        <v>16</v>
      </c>
      <c r="H245" s="17">
        <f>85*16</f>
        <v>1360</v>
      </c>
    </row>
    <row r="246" spans="1:8" x14ac:dyDescent="0.3">
      <c r="A246" s="16" t="s">
        <v>573</v>
      </c>
      <c r="B246" s="17">
        <f>(B245/12)*2</f>
        <v>480</v>
      </c>
      <c r="C246" s="17">
        <f t="shared" ref="C246:H246" si="58">(C245/12)*2</f>
        <v>6.666666666666667</v>
      </c>
      <c r="D246" s="17">
        <f t="shared" si="58"/>
        <v>4</v>
      </c>
      <c r="E246" s="17">
        <f t="shared" si="58"/>
        <v>2.6666666666666665</v>
      </c>
      <c r="F246" s="17">
        <f t="shared" si="58"/>
        <v>69.333333333333329</v>
      </c>
      <c r="G246" s="17">
        <f t="shared" si="58"/>
        <v>2.6666666666666665</v>
      </c>
      <c r="H246" s="17">
        <f t="shared" si="58"/>
        <v>226.66666666666666</v>
      </c>
    </row>
    <row r="247" spans="1:8" x14ac:dyDescent="0.3">
      <c r="A247" s="16" t="s">
        <v>577</v>
      </c>
      <c r="B247">
        <f>100*9</f>
        <v>900</v>
      </c>
      <c r="C247">
        <f>0*9</f>
        <v>0</v>
      </c>
      <c r="D247">
        <f>0*9</f>
        <v>0</v>
      </c>
      <c r="E247">
        <f>2*9</f>
        <v>18</v>
      </c>
      <c r="F247">
        <f>23*9</f>
        <v>207</v>
      </c>
      <c r="G247">
        <f>14*9</f>
        <v>126</v>
      </c>
      <c r="H247">
        <f>5*9</f>
        <v>45</v>
      </c>
    </row>
    <row r="248" spans="1:8" x14ac:dyDescent="0.3">
      <c r="A248" s="16" t="s">
        <v>578</v>
      </c>
      <c r="B248">
        <f>150*4</f>
        <v>600</v>
      </c>
      <c r="C248">
        <f>9*4</f>
        <v>36</v>
      </c>
      <c r="D248">
        <f>5*4</f>
        <v>20</v>
      </c>
      <c r="E248">
        <f>3*4</f>
        <v>12</v>
      </c>
      <c r="F248">
        <f>17*4</f>
        <v>68</v>
      </c>
      <c r="G248">
        <f>1*4</f>
        <v>4</v>
      </c>
      <c r="H248">
        <f>50*4</f>
        <v>200</v>
      </c>
    </row>
    <row r="249" spans="1:8" x14ac:dyDescent="0.3">
      <c r="A249" s="16" t="s">
        <v>579</v>
      </c>
      <c r="B249" s="17">
        <v>377</v>
      </c>
      <c r="C249" s="17">
        <v>0</v>
      </c>
      <c r="D249" s="17">
        <v>0</v>
      </c>
      <c r="E249" s="17">
        <v>0.3</v>
      </c>
      <c r="F249" s="17">
        <v>10.9</v>
      </c>
      <c r="G249" s="17">
        <f t="shared" ref="G249" si="59">G49*2</f>
        <v>0</v>
      </c>
      <c r="H249" s="17">
        <v>0</v>
      </c>
    </row>
    <row r="250" spans="1:8" x14ac:dyDescent="0.3">
      <c r="A250" s="16" t="s">
        <v>580</v>
      </c>
      <c r="B250">
        <v>165</v>
      </c>
      <c r="C250">
        <v>0.7</v>
      </c>
      <c r="D250">
        <v>0.1</v>
      </c>
      <c r="E250">
        <v>5.5</v>
      </c>
      <c r="F250">
        <v>33.4</v>
      </c>
      <c r="G250">
        <v>1.3</v>
      </c>
      <c r="H250">
        <v>322</v>
      </c>
    </row>
    <row r="251" spans="1:8" x14ac:dyDescent="0.3">
      <c r="A251" s="16" t="s">
        <v>585</v>
      </c>
      <c r="B251">
        <v>40</v>
      </c>
      <c r="C251">
        <v>0</v>
      </c>
      <c r="D251">
        <v>0</v>
      </c>
      <c r="E251">
        <v>1</v>
      </c>
      <c r="F251">
        <v>8</v>
      </c>
      <c r="G251">
        <v>0</v>
      </c>
      <c r="H251">
        <v>1520</v>
      </c>
    </row>
    <row r="252" spans="1:8" x14ac:dyDescent="0.3">
      <c r="A252" s="16" t="s">
        <v>584</v>
      </c>
      <c r="B252">
        <v>578.5</v>
      </c>
      <c r="C252">
        <v>11.074999999999999</v>
      </c>
      <c r="D252">
        <v>2.15</v>
      </c>
      <c r="E252">
        <v>17.699999999999996</v>
      </c>
      <c r="F252">
        <v>101.75</v>
      </c>
      <c r="G252">
        <v>8.25</v>
      </c>
      <c r="H252">
        <v>1731</v>
      </c>
    </row>
    <row r="253" spans="1:8" x14ac:dyDescent="0.3">
      <c r="A253" s="16" t="s">
        <v>587</v>
      </c>
      <c r="B253" s="17">
        <v>380</v>
      </c>
      <c r="C253" s="17">
        <v>14</v>
      </c>
      <c r="D253" s="17">
        <v>2</v>
      </c>
      <c r="E253" s="17">
        <v>6</v>
      </c>
      <c r="F253" s="17">
        <v>60</v>
      </c>
      <c r="G253" s="17">
        <v>3</v>
      </c>
      <c r="H253" s="17">
        <v>950</v>
      </c>
    </row>
    <row r="254" spans="1:8" x14ac:dyDescent="0.3">
      <c r="A254" s="16" t="s">
        <v>588</v>
      </c>
      <c r="B254">
        <v>380</v>
      </c>
      <c r="C254">
        <v>14</v>
      </c>
      <c r="D254">
        <v>1.5</v>
      </c>
      <c r="E254">
        <v>6</v>
      </c>
      <c r="F254">
        <v>61</v>
      </c>
      <c r="G254">
        <v>3</v>
      </c>
      <c r="H254">
        <v>960</v>
      </c>
    </row>
    <row r="255" spans="1:8" x14ac:dyDescent="0.3">
      <c r="A255" s="16" t="s">
        <v>589</v>
      </c>
      <c r="B255">
        <v>60</v>
      </c>
      <c r="C255">
        <v>0.5</v>
      </c>
      <c r="D255">
        <v>0</v>
      </c>
      <c r="E255">
        <v>0</v>
      </c>
      <c r="F255">
        <v>15</v>
      </c>
      <c r="G255">
        <v>5</v>
      </c>
      <c r="H255">
        <v>0</v>
      </c>
    </row>
    <row r="256" spans="1:8" x14ac:dyDescent="0.3">
      <c r="A256" s="16" t="s">
        <v>590</v>
      </c>
      <c r="B256">
        <v>70</v>
      </c>
      <c r="C256">
        <v>1</v>
      </c>
      <c r="D256">
        <v>0</v>
      </c>
      <c r="E256">
        <v>0</v>
      </c>
      <c r="F256">
        <v>19</v>
      </c>
      <c r="G256">
        <v>4</v>
      </c>
      <c r="H256">
        <v>0</v>
      </c>
    </row>
    <row r="257" spans="1:8" x14ac:dyDescent="0.3">
      <c r="A257" s="16" t="s">
        <v>591</v>
      </c>
      <c r="B257">
        <v>90</v>
      </c>
      <c r="C257">
        <v>0.5</v>
      </c>
      <c r="D257">
        <v>0</v>
      </c>
      <c r="E257">
        <v>1</v>
      </c>
      <c r="F257">
        <v>20</v>
      </c>
      <c r="G257">
        <v>2</v>
      </c>
      <c r="H257">
        <v>0</v>
      </c>
    </row>
    <row r="258" spans="1:8" x14ac:dyDescent="0.3">
      <c r="A258" s="16" t="s">
        <v>592</v>
      </c>
      <c r="B258">
        <v>30</v>
      </c>
      <c r="C258">
        <v>2.5</v>
      </c>
      <c r="D258">
        <v>0</v>
      </c>
      <c r="E258">
        <v>1</v>
      </c>
      <c r="F258">
        <v>1</v>
      </c>
      <c r="G258">
        <v>1</v>
      </c>
      <c r="H258">
        <v>170</v>
      </c>
    </row>
    <row r="259" spans="1:8" x14ac:dyDescent="0.3">
      <c r="A259" s="16" t="s">
        <v>593</v>
      </c>
      <c r="B259">
        <v>680</v>
      </c>
      <c r="C259">
        <v>25</v>
      </c>
      <c r="D259">
        <v>7</v>
      </c>
      <c r="E259">
        <v>18</v>
      </c>
      <c r="F259">
        <v>98</v>
      </c>
      <c r="G259">
        <v>5</v>
      </c>
      <c r="H259">
        <v>1040</v>
      </c>
    </row>
    <row r="260" spans="1:8" x14ac:dyDescent="0.3">
      <c r="A260" s="16" t="s">
        <v>598</v>
      </c>
      <c r="B260">
        <v>130</v>
      </c>
      <c r="C260">
        <v>14</v>
      </c>
      <c r="D260">
        <v>2</v>
      </c>
      <c r="E260">
        <v>0</v>
      </c>
      <c r="F260">
        <v>0</v>
      </c>
      <c r="G260">
        <v>0</v>
      </c>
      <c r="H260">
        <v>0</v>
      </c>
    </row>
    <row r="261" spans="1:8" x14ac:dyDescent="0.3">
      <c r="A261" s="16" t="s">
        <v>597</v>
      </c>
      <c r="B261" s="17">
        <v>38</v>
      </c>
      <c r="C261" s="17">
        <v>0.7</v>
      </c>
      <c r="D261" s="17">
        <v>0.2</v>
      </c>
      <c r="E261" s="17">
        <v>2.7</v>
      </c>
      <c r="F261" s="17">
        <v>7.9</v>
      </c>
      <c r="G261" s="17">
        <v>2.2999999999999998</v>
      </c>
      <c r="H261" s="17">
        <v>18</v>
      </c>
    </row>
    <row r="262" spans="1:8" x14ac:dyDescent="0.3">
      <c r="A262" s="16" t="s">
        <v>599</v>
      </c>
      <c r="B262">
        <f>SUM(B37, B41*2, B39, B260*4)</f>
        <v>871</v>
      </c>
      <c r="C262">
        <f t="shared" ref="C262:H262" si="60">SUM(C37, C41*2, C39, C260*4)</f>
        <v>74</v>
      </c>
      <c r="D262">
        <f t="shared" si="60"/>
        <v>13</v>
      </c>
      <c r="E262">
        <f t="shared" si="60"/>
        <v>23</v>
      </c>
      <c r="F262">
        <f t="shared" si="60"/>
        <v>24</v>
      </c>
      <c r="G262">
        <f t="shared" si="60"/>
        <v>6</v>
      </c>
      <c r="H262">
        <f t="shared" si="60"/>
        <v>359</v>
      </c>
    </row>
    <row r="263" spans="1:8" x14ac:dyDescent="0.3">
      <c r="A263" s="16" t="s">
        <v>600</v>
      </c>
      <c r="B263" s="17">
        <f>B262/3</f>
        <v>290.33333333333331</v>
      </c>
      <c r="C263" s="17">
        <f t="shared" ref="C263:H263" si="61">C262/3</f>
        <v>24.666666666666668</v>
      </c>
      <c r="D263" s="17">
        <f t="shared" si="61"/>
        <v>4.333333333333333</v>
      </c>
      <c r="E263" s="17">
        <f t="shared" si="61"/>
        <v>7.666666666666667</v>
      </c>
      <c r="F263" s="17">
        <f t="shared" si="61"/>
        <v>8</v>
      </c>
      <c r="G263" s="17">
        <f t="shared" si="61"/>
        <v>2</v>
      </c>
      <c r="H263" s="17">
        <f t="shared" si="61"/>
        <v>119.66666666666667</v>
      </c>
    </row>
    <row r="264" spans="1:8" x14ac:dyDescent="0.3">
      <c r="A264" s="17" t="s">
        <v>603</v>
      </c>
      <c r="B264" s="17">
        <v>52</v>
      </c>
      <c r="C264" s="17">
        <v>1</v>
      </c>
      <c r="D264" s="17">
        <v>0</v>
      </c>
      <c r="E264" s="17">
        <v>1</v>
      </c>
      <c r="F264" s="17">
        <v>10</v>
      </c>
      <c r="G264" s="17">
        <v>1</v>
      </c>
      <c r="H264" s="17">
        <v>26</v>
      </c>
    </row>
    <row r="265" spans="1:8" x14ac:dyDescent="0.3">
      <c r="A265" s="16" t="s">
        <v>605</v>
      </c>
      <c r="B265" s="17">
        <v>70</v>
      </c>
      <c r="C265" s="17">
        <v>1</v>
      </c>
      <c r="D265" s="17">
        <v>0.2</v>
      </c>
      <c r="E265" s="17">
        <v>14.3</v>
      </c>
      <c r="F265" s="17">
        <v>0</v>
      </c>
      <c r="G265" s="17">
        <v>0</v>
      </c>
      <c r="H265" s="17">
        <v>80</v>
      </c>
    </row>
    <row r="266" spans="1:8" x14ac:dyDescent="0.3">
      <c r="A266" s="16" t="s">
        <v>606</v>
      </c>
      <c r="B266" s="17">
        <v>370</v>
      </c>
      <c r="C266" s="17">
        <v>15</v>
      </c>
      <c r="D266" s="17">
        <v>15</v>
      </c>
      <c r="E266" s="17">
        <v>0</v>
      </c>
      <c r="F266" s="17">
        <v>60</v>
      </c>
      <c r="G266" s="17">
        <v>0</v>
      </c>
      <c r="H266" s="17">
        <v>25</v>
      </c>
    </row>
    <row r="267" spans="1:8" x14ac:dyDescent="0.3">
      <c r="A267" s="16" t="s">
        <v>607</v>
      </c>
      <c r="B267" s="17">
        <v>140</v>
      </c>
      <c r="C267" s="17">
        <v>7</v>
      </c>
      <c r="D267" s="17">
        <v>0.5</v>
      </c>
      <c r="E267" s="17">
        <v>2</v>
      </c>
      <c r="F267" s="17">
        <v>16</v>
      </c>
      <c r="G267" s="17">
        <v>1</v>
      </c>
      <c r="H267" s="17">
        <v>120</v>
      </c>
    </row>
    <row r="268" spans="1:8" x14ac:dyDescent="0.3">
      <c r="A268" s="16" t="s">
        <v>608</v>
      </c>
      <c r="B268" s="17">
        <v>140</v>
      </c>
      <c r="C268" s="17">
        <v>7</v>
      </c>
      <c r="D268" s="17">
        <v>0.5</v>
      </c>
      <c r="E268" s="17">
        <v>2</v>
      </c>
      <c r="F268" s="17">
        <v>16</v>
      </c>
      <c r="G268" s="17">
        <v>1</v>
      </c>
      <c r="H268" s="17">
        <v>80</v>
      </c>
    </row>
    <row r="269" spans="1:8" x14ac:dyDescent="0.3">
      <c r="A269" s="16" t="s">
        <v>609</v>
      </c>
      <c r="B269">
        <f>B252+B256</f>
        <v>648.5</v>
      </c>
      <c r="C269">
        <f t="shared" ref="C269:H269" si="62">C252+C256</f>
        <v>12.074999999999999</v>
      </c>
      <c r="D269">
        <f t="shared" si="62"/>
        <v>2.15</v>
      </c>
      <c r="E269">
        <f t="shared" si="62"/>
        <v>17.699999999999996</v>
      </c>
      <c r="F269">
        <f t="shared" si="62"/>
        <v>120.75</v>
      </c>
      <c r="G269">
        <f t="shared" si="62"/>
        <v>12.25</v>
      </c>
      <c r="H269">
        <f t="shared" si="62"/>
        <v>1731</v>
      </c>
    </row>
    <row r="270" spans="1:8" x14ac:dyDescent="0.3">
      <c r="A270" s="16" t="s">
        <v>610</v>
      </c>
      <c r="B270" s="17">
        <v>96</v>
      </c>
      <c r="C270" s="17">
        <v>4.5</v>
      </c>
      <c r="D270" s="17">
        <v>1.5</v>
      </c>
      <c r="E270" s="17">
        <v>1.1000000000000001</v>
      </c>
      <c r="F270" s="17">
        <v>13.4</v>
      </c>
      <c r="G270" s="17">
        <v>0.5</v>
      </c>
      <c r="H270" s="17">
        <v>63</v>
      </c>
    </row>
    <row r="271" spans="1:8" x14ac:dyDescent="0.3">
      <c r="A271" s="16" t="s">
        <v>613</v>
      </c>
      <c r="B271" s="17">
        <v>20</v>
      </c>
      <c r="C271" s="17">
        <v>0.2</v>
      </c>
      <c r="D271" s="17">
        <v>0.1</v>
      </c>
      <c r="E271" s="17">
        <v>0.8</v>
      </c>
      <c r="F271" s="17">
        <v>4.7</v>
      </c>
      <c r="G271" s="17">
        <v>2.8</v>
      </c>
      <c r="H271" s="17">
        <v>2</v>
      </c>
    </row>
    <row r="272" spans="1:8" x14ac:dyDescent="0.3">
      <c r="A272" s="16" t="s">
        <v>614</v>
      </c>
      <c r="B272">
        <f>SUM(B101*4,B266*3,B271,B46*2,B45)</f>
        <v>2250.8000000000002</v>
      </c>
      <c r="C272">
        <f t="shared" ref="C272:H272" si="63">SUM(C101*4,C266*3,C271,C46*2,C45)</f>
        <v>60.2</v>
      </c>
      <c r="D272">
        <f t="shared" si="63"/>
        <v>52.1</v>
      </c>
      <c r="E272">
        <f t="shared" si="63"/>
        <v>21.8</v>
      </c>
      <c r="F272">
        <f t="shared" si="63"/>
        <v>246.29999999999998</v>
      </c>
      <c r="G272">
        <f t="shared" si="63"/>
        <v>9.8000000000000007</v>
      </c>
      <c r="H272">
        <f t="shared" si="63"/>
        <v>1487</v>
      </c>
    </row>
    <row r="273" spans="1:8" x14ac:dyDescent="0.3">
      <c r="A273" s="16" t="s">
        <v>615</v>
      </c>
      <c r="B273" s="17">
        <f>B272/3</f>
        <v>750.26666666666677</v>
      </c>
      <c r="C273" s="17">
        <f t="shared" ref="C273:H273" si="64">C272/3</f>
        <v>20.066666666666666</v>
      </c>
      <c r="D273" s="17">
        <f t="shared" si="64"/>
        <v>17.366666666666667</v>
      </c>
      <c r="E273" s="17">
        <f t="shared" si="64"/>
        <v>7.2666666666666666</v>
      </c>
      <c r="F273" s="17">
        <f t="shared" si="64"/>
        <v>82.1</v>
      </c>
      <c r="G273" s="17">
        <f t="shared" si="64"/>
        <v>3.2666666666666671</v>
      </c>
      <c r="H273" s="17">
        <f t="shared" si="64"/>
        <v>495.66666666666669</v>
      </c>
    </row>
    <row r="274" spans="1:8" x14ac:dyDescent="0.3">
      <c r="A274" s="16" t="s">
        <v>616</v>
      </c>
      <c r="B274">
        <v>254</v>
      </c>
      <c r="C274">
        <v>0</v>
      </c>
      <c r="D274">
        <v>0</v>
      </c>
      <c r="E274">
        <v>1</v>
      </c>
      <c r="F274">
        <v>22.8</v>
      </c>
      <c r="G274">
        <v>0</v>
      </c>
      <c r="H274">
        <v>0</v>
      </c>
    </row>
    <row r="275" spans="1:8" x14ac:dyDescent="0.3">
      <c r="A275" s="16" t="s">
        <v>620</v>
      </c>
      <c r="B275" s="17">
        <v>113</v>
      </c>
      <c r="C275" s="17">
        <v>6.1</v>
      </c>
      <c r="D275" s="17">
        <v>0.8</v>
      </c>
      <c r="E275" s="17">
        <v>4.5</v>
      </c>
      <c r="F275" s="17">
        <v>10.8</v>
      </c>
      <c r="G275" s="17">
        <v>1.2</v>
      </c>
      <c r="H275" s="17">
        <v>100</v>
      </c>
    </row>
    <row r="276" spans="1:8" x14ac:dyDescent="0.3">
      <c r="A276" s="16" t="s">
        <v>621</v>
      </c>
      <c r="B276">
        <v>435</v>
      </c>
      <c r="C276">
        <v>21.1</v>
      </c>
      <c r="D276">
        <v>2.8</v>
      </c>
      <c r="E276">
        <v>12</v>
      </c>
      <c r="F276">
        <v>49.5</v>
      </c>
      <c r="G276">
        <v>9.8000000000000007</v>
      </c>
      <c r="H276">
        <v>595</v>
      </c>
    </row>
    <row r="277" spans="1:8" x14ac:dyDescent="0.3">
      <c r="A277" s="16" t="s">
        <v>624</v>
      </c>
      <c r="B277">
        <v>80</v>
      </c>
      <c r="C277">
        <v>6</v>
      </c>
      <c r="D277">
        <v>3</v>
      </c>
      <c r="E277">
        <v>6</v>
      </c>
      <c r="F277">
        <v>2</v>
      </c>
      <c r="G277">
        <v>0</v>
      </c>
      <c r="H277">
        <v>180</v>
      </c>
    </row>
    <row r="278" spans="1:8" x14ac:dyDescent="0.3">
      <c r="A278" s="16" t="s">
        <v>625</v>
      </c>
      <c r="B278">
        <v>120</v>
      </c>
      <c r="C278">
        <v>8.5</v>
      </c>
      <c r="D278">
        <v>0</v>
      </c>
      <c r="E278">
        <v>2</v>
      </c>
      <c r="F278">
        <v>22</v>
      </c>
      <c r="G278">
        <v>1</v>
      </c>
      <c r="H278">
        <v>160</v>
      </c>
    </row>
    <row r="279" spans="1:8" x14ac:dyDescent="0.3">
      <c r="A279" s="16" t="s">
        <v>626</v>
      </c>
      <c r="B279">
        <v>180</v>
      </c>
      <c r="C279">
        <v>12</v>
      </c>
      <c r="D279">
        <v>5</v>
      </c>
      <c r="E279">
        <v>4</v>
      </c>
      <c r="F279">
        <v>14</v>
      </c>
      <c r="G279">
        <v>2</v>
      </c>
      <c r="H279">
        <v>20</v>
      </c>
    </row>
    <row r="280" spans="1:8" x14ac:dyDescent="0.3">
      <c r="A280" s="16" t="s">
        <v>629</v>
      </c>
      <c r="B280">
        <v>70</v>
      </c>
      <c r="C280">
        <v>2.8</v>
      </c>
      <c r="D280">
        <v>0</v>
      </c>
      <c r="E280">
        <v>6</v>
      </c>
      <c r="F280">
        <v>5.3</v>
      </c>
      <c r="G280">
        <v>5.5</v>
      </c>
      <c r="H280">
        <v>4</v>
      </c>
    </row>
    <row r="281" spans="1:8" x14ac:dyDescent="0.3">
      <c r="A281" s="16" t="s">
        <v>627</v>
      </c>
      <c r="B281">
        <f>SUM(B163*3,B167,B170:B173,B161*2,B280)</f>
        <v>736</v>
      </c>
      <c r="C281">
        <f t="shared" ref="C281:H281" si="65">SUM(C163*3,C167,C170:C173,C161*2,C280)</f>
        <v>30.425000000000004</v>
      </c>
      <c r="D281">
        <f t="shared" si="65"/>
        <v>5.9249999999999989</v>
      </c>
      <c r="E281">
        <f t="shared" si="65"/>
        <v>27.174999999999997</v>
      </c>
      <c r="F281">
        <f t="shared" si="65"/>
        <v>88.35</v>
      </c>
      <c r="G281">
        <f t="shared" si="65"/>
        <v>12.125</v>
      </c>
      <c r="H281">
        <f t="shared" si="65"/>
        <v>523.5</v>
      </c>
    </row>
    <row r="282" spans="1:8" x14ac:dyDescent="0.3">
      <c r="A282" s="16" t="s">
        <v>628</v>
      </c>
      <c r="B282">
        <f>SUM(B37*4,B260*3,B283*3,B40*3)</f>
        <v>1616</v>
      </c>
      <c r="C282">
        <f t="shared" ref="C282:G282" si="66">SUM(C37*4,C260*3,C283*3,C40*3)</f>
        <v>114</v>
      </c>
      <c r="D282">
        <f t="shared" si="66"/>
        <v>26</v>
      </c>
      <c r="E282">
        <f t="shared" si="66"/>
        <v>87.5</v>
      </c>
      <c r="F282">
        <f t="shared" si="66"/>
        <v>63.5</v>
      </c>
      <c r="G282">
        <f t="shared" si="66"/>
        <v>21.5</v>
      </c>
      <c r="H282">
        <f>SUM(H37*4,H260*3,H283*3,H40*3)</f>
        <v>1421</v>
      </c>
    </row>
    <row r="283" spans="1:8" x14ac:dyDescent="0.3">
      <c r="A283" s="16" t="s">
        <v>630</v>
      </c>
      <c r="B283">
        <v>22</v>
      </c>
      <c r="C283">
        <v>0</v>
      </c>
      <c r="D283">
        <v>0</v>
      </c>
      <c r="E283">
        <v>1.5</v>
      </c>
      <c r="F283">
        <v>4.5</v>
      </c>
      <c r="G283">
        <v>1.5</v>
      </c>
      <c r="H283">
        <v>7</v>
      </c>
    </row>
    <row r="284" spans="1:8" x14ac:dyDescent="0.3">
      <c r="A284" s="16" t="s">
        <v>631</v>
      </c>
      <c r="B284" s="17">
        <f>B282/3</f>
        <v>538.66666666666663</v>
      </c>
      <c r="C284" s="17">
        <f t="shared" ref="C284:H284" si="67">C282/3</f>
        <v>38</v>
      </c>
      <c r="D284" s="17">
        <f t="shared" si="67"/>
        <v>8.6666666666666661</v>
      </c>
      <c r="E284" s="17">
        <f t="shared" si="67"/>
        <v>29.166666666666668</v>
      </c>
      <c r="F284" s="17">
        <f t="shared" si="67"/>
        <v>21.166666666666668</v>
      </c>
      <c r="G284" s="17">
        <f t="shared" si="67"/>
        <v>7.166666666666667</v>
      </c>
      <c r="H284" s="17">
        <f t="shared" si="67"/>
        <v>473.66666666666669</v>
      </c>
    </row>
    <row r="285" spans="1:8" x14ac:dyDescent="0.3">
      <c r="A285" s="16" t="s">
        <v>633</v>
      </c>
      <c r="B285" s="17">
        <f>SUM(B37*4, B260*3,B41*3)</f>
        <v>1511</v>
      </c>
      <c r="C285" s="17">
        <f t="shared" ref="C285:G285" si="68">SUM(C37*4, C260*3,C41*3)</f>
        <v>114</v>
      </c>
      <c r="D285" s="17">
        <f t="shared" si="68"/>
        <v>26</v>
      </c>
      <c r="E285" s="17">
        <f t="shared" si="68"/>
        <v>83</v>
      </c>
      <c r="F285" s="17">
        <f t="shared" si="68"/>
        <v>38</v>
      </c>
      <c r="G285" s="17">
        <f t="shared" si="68"/>
        <v>11</v>
      </c>
      <c r="H285" s="17">
        <f>SUM(H37*4, H260*3,H41*3)</f>
        <v>1406</v>
      </c>
    </row>
    <row r="286" spans="1:8" x14ac:dyDescent="0.3">
      <c r="A286" s="16" t="s">
        <v>634</v>
      </c>
      <c r="B286" s="17">
        <f>B285/3</f>
        <v>503.66666666666669</v>
      </c>
      <c r="C286" s="17">
        <f t="shared" ref="C286:H286" si="69">C285/3</f>
        <v>38</v>
      </c>
      <c r="D286" s="17">
        <f t="shared" si="69"/>
        <v>8.6666666666666661</v>
      </c>
      <c r="E286" s="17">
        <f t="shared" si="69"/>
        <v>27.666666666666668</v>
      </c>
      <c r="F286" s="17">
        <f t="shared" si="69"/>
        <v>12.666666666666666</v>
      </c>
      <c r="G286" s="17">
        <f t="shared" si="69"/>
        <v>3.6666666666666665</v>
      </c>
      <c r="H286" s="17">
        <f t="shared" si="69"/>
        <v>468.66666666666669</v>
      </c>
    </row>
    <row r="287" spans="1:8" x14ac:dyDescent="0.3">
      <c r="A287" s="16" t="s">
        <v>635</v>
      </c>
      <c r="B287" s="17">
        <v>120</v>
      </c>
      <c r="C287" s="17">
        <v>3.5</v>
      </c>
      <c r="D287" s="17">
        <v>3.5</v>
      </c>
      <c r="E287" s="17">
        <v>0</v>
      </c>
      <c r="F287" s="17">
        <v>22</v>
      </c>
      <c r="G287" s="17">
        <v>0</v>
      </c>
      <c r="H287" s="17">
        <v>210</v>
      </c>
    </row>
    <row r="288" spans="1:8" x14ac:dyDescent="0.3">
      <c r="A288" s="16" t="s">
        <v>638</v>
      </c>
      <c r="B288">
        <f>8*15</f>
        <v>120</v>
      </c>
      <c r="C288">
        <f>8*0</f>
        <v>0</v>
      </c>
      <c r="D288">
        <f>8*0</f>
        <v>0</v>
      </c>
      <c r="E288">
        <f>8*1</f>
        <v>8</v>
      </c>
      <c r="F288">
        <f>8*22</f>
        <v>176</v>
      </c>
      <c r="G288">
        <f>8*0</f>
        <v>0</v>
      </c>
      <c r="H288">
        <f>8*25</f>
        <v>200</v>
      </c>
    </row>
    <row r="289" spans="1:8" x14ac:dyDescent="0.3">
      <c r="A289" s="16" t="s">
        <v>639</v>
      </c>
      <c r="B289">
        <v>440</v>
      </c>
      <c r="C289">
        <v>28</v>
      </c>
      <c r="D289">
        <v>10</v>
      </c>
      <c r="E289">
        <v>6</v>
      </c>
      <c r="F289">
        <v>48</v>
      </c>
      <c r="G289">
        <v>2</v>
      </c>
      <c r="H289">
        <v>230</v>
      </c>
    </row>
    <row r="290" spans="1:8" x14ac:dyDescent="0.3">
      <c r="A290" s="16" t="s">
        <v>643</v>
      </c>
      <c r="B290">
        <f>SUM(B115*5,B111*6,B37*4,B260*3)</f>
        <v>2920</v>
      </c>
      <c r="C290">
        <f t="shared" ref="C290:H290" si="70">SUM(C115*5,C111*6,C37*4,C260*3)</f>
        <v>127.5</v>
      </c>
      <c r="D290">
        <f t="shared" si="70"/>
        <v>28.5</v>
      </c>
      <c r="E290">
        <f t="shared" si="70"/>
        <v>114</v>
      </c>
      <c r="F290">
        <f t="shared" si="70"/>
        <v>339</v>
      </c>
      <c r="G290">
        <f t="shared" si="70"/>
        <v>25</v>
      </c>
      <c r="H290">
        <f t="shared" si="70"/>
        <v>3800</v>
      </c>
    </row>
    <row r="291" spans="1:8" x14ac:dyDescent="0.3">
      <c r="A291" s="16" t="s">
        <v>644</v>
      </c>
      <c r="B291">
        <f>B290/4</f>
        <v>730</v>
      </c>
      <c r="C291">
        <f t="shared" ref="C291:H291" si="71">C290/4</f>
        <v>31.875</v>
      </c>
      <c r="D291">
        <f t="shared" si="71"/>
        <v>7.125</v>
      </c>
      <c r="E291">
        <f t="shared" si="71"/>
        <v>28.5</v>
      </c>
      <c r="F291">
        <f t="shared" si="71"/>
        <v>84.75</v>
      </c>
      <c r="G291">
        <f t="shared" si="71"/>
        <v>6.25</v>
      </c>
      <c r="H291">
        <f t="shared" si="71"/>
        <v>950</v>
      </c>
    </row>
    <row r="292" spans="1:8" x14ac:dyDescent="0.3">
      <c r="A292" s="16" t="s">
        <v>649</v>
      </c>
      <c r="B292">
        <v>120</v>
      </c>
      <c r="C292">
        <v>2.5</v>
      </c>
      <c r="D292">
        <v>0</v>
      </c>
      <c r="E292">
        <v>20</v>
      </c>
      <c r="F292">
        <v>5</v>
      </c>
      <c r="G292">
        <v>2</v>
      </c>
      <c r="H292">
        <v>340</v>
      </c>
    </row>
    <row r="293" spans="1:8" x14ac:dyDescent="0.3">
      <c r="A293" s="16" t="s">
        <v>650</v>
      </c>
      <c r="B293">
        <v>157</v>
      </c>
      <c r="C293">
        <v>4.3</v>
      </c>
      <c r="D293">
        <v>2.7</v>
      </c>
      <c r="E293">
        <v>4</v>
      </c>
      <c r="F293">
        <v>26</v>
      </c>
      <c r="G293">
        <v>0</v>
      </c>
      <c r="H293">
        <v>65</v>
      </c>
    </row>
    <row r="294" spans="1:8" x14ac:dyDescent="0.3">
      <c r="A294" s="16" t="s">
        <v>651</v>
      </c>
      <c r="B294">
        <v>310</v>
      </c>
      <c r="C294">
        <v>19</v>
      </c>
      <c r="D294">
        <v>11</v>
      </c>
      <c r="E294">
        <v>5</v>
      </c>
      <c r="F294">
        <v>31</v>
      </c>
      <c r="G294">
        <v>0</v>
      </c>
      <c r="H294">
        <v>95</v>
      </c>
    </row>
    <row r="295" spans="1:8" hidden="1" x14ac:dyDescent="0.3"/>
    <row r="296" spans="1:8" hidden="1" x14ac:dyDescent="0.3"/>
    <row r="297" spans="1:8" x14ac:dyDescent="0.3">
      <c r="A297" s="16" t="s">
        <v>653</v>
      </c>
      <c r="B297">
        <v>200</v>
      </c>
      <c r="C297">
        <v>12</v>
      </c>
      <c r="D297">
        <v>7</v>
      </c>
      <c r="E297">
        <v>3</v>
      </c>
      <c r="F297">
        <v>20</v>
      </c>
      <c r="G297">
        <v>0</v>
      </c>
      <c r="H297">
        <v>50</v>
      </c>
    </row>
    <row r="298" spans="1:8" x14ac:dyDescent="0.3">
      <c r="A298" s="16" t="s">
        <v>654</v>
      </c>
      <c r="B298">
        <v>300</v>
      </c>
      <c r="C298">
        <v>16</v>
      </c>
      <c r="D298">
        <v>3</v>
      </c>
      <c r="E298">
        <v>3</v>
      </c>
      <c r="F298">
        <v>37</v>
      </c>
      <c r="G298">
        <v>2</v>
      </c>
      <c r="H298">
        <v>320</v>
      </c>
    </row>
    <row r="299" spans="1:8" x14ac:dyDescent="0.3">
      <c r="A299" s="16" t="s">
        <v>658</v>
      </c>
      <c r="B299">
        <f>SUM(B271,B41*2,B37*4,B115*5,B61*4.5)</f>
        <v>2949</v>
      </c>
      <c r="C299">
        <f t="shared" ref="C299:H299" si="72">SUM(C271,C41*2,C37*4,C115*5,C61*4.5)</f>
        <v>90.95</v>
      </c>
      <c r="D299">
        <f t="shared" si="72"/>
        <v>24.85</v>
      </c>
      <c r="E299">
        <f t="shared" si="72"/>
        <v>196.3</v>
      </c>
      <c r="F299">
        <f t="shared" si="72"/>
        <v>366.2</v>
      </c>
      <c r="G299">
        <f t="shared" si="72"/>
        <v>67.3</v>
      </c>
      <c r="H299">
        <f t="shared" si="72"/>
        <v>3806</v>
      </c>
    </row>
    <row r="300" spans="1:8" x14ac:dyDescent="0.3">
      <c r="A300" s="16" t="s">
        <v>660</v>
      </c>
      <c r="B300">
        <v>80</v>
      </c>
      <c r="C300">
        <v>2.5</v>
      </c>
      <c r="D300">
        <v>0</v>
      </c>
      <c r="E300">
        <v>10</v>
      </c>
      <c r="F300">
        <v>5</v>
      </c>
      <c r="G300">
        <v>3</v>
      </c>
      <c r="H300">
        <v>230</v>
      </c>
    </row>
    <row r="301" spans="1:8" x14ac:dyDescent="0.3">
      <c r="A301" s="16" t="s">
        <v>661</v>
      </c>
      <c r="B301">
        <f>SUM(B276*2,B223, B300, B139,B169)</f>
        <v>1185</v>
      </c>
      <c r="C301">
        <f t="shared" ref="C301:H301" si="73">SUM(C276*2,C223, C300, C139,C169)</f>
        <v>59.300000000000004</v>
      </c>
      <c r="D301">
        <f t="shared" si="73"/>
        <v>15.899999999999999</v>
      </c>
      <c r="E301">
        <f t="shared" si="73"/>
        <v>45.400000000000006</v>
      </c>
      <c r="F301">
        <f t="shared" si="73"/>
        <v>126.6</v>
      </c>
      <c r="G301">
        <f t="shared" si="73"/>
        <v>24.1</v>
      </c>
      <c r="H301">
        <f t="shared" si="73"/>
        <v>2321</v>
      </c>
    </row>
    <row r="302" spans="1:8" x14ac:dyDescent="0.3">
      <c r="A302" s="16" t="s">
        <v>662</v>
      </c>
      <c r="B302">
        <v>170</v>
      </c>
      <c r="C302">
        <v>1.7</v>
      </c>
      <c r="D302">
        <v>0.3</v>
      </c>
      <c r="E302">
        <v>6.3</v>
      </c>
      <c r="F302">
        <v>35.200000000000003</v>
      </c>
      <c r="G302">
        <v>4.7</v>
      </c>
      <c r="H302">
        <v>340</v>
      </c>
    </row>
    <row r="303" spans="1:8" x14ac:dyDescent="0.3">
      <c r="A303" s="16" t="s">
        <v>665</v>
      </c>
      <c r="B303">
        <f>260*3</f>
        <v>780</v>
      </c>
      <c r="C303">
        <f>17*3</f>
        <v>51</v>
      </c>
      <c r="D303">
        <f>11*3</f>
        <v>33</v>
      </c>
      <c r="E303">
        <f>2*3</f>
        <v>6</v>
      </c>
      <c r="F303">
        <f>26*3</f>
        <v>78</v>
      </c>
      <c r="G303">
        <f>1*3</f>
        <v>3</v>
      </c>
      <c r="H303">
        <f>200*3</f>
        <v>600</v>
      </c>
    </row>
    <row r="304" spans="1:8" x14ac:dyDescent="0.3">
      <c r="A304" s="16" t="s">
        <v>666</v>
      </c>
      <c r="B304">
        <f>2*240</f>
        <v>480</v>
      </c>
      <c r="C304">
        <f>2*12</f>
        <v>24</v>
      </c>
      <c r="D304">
        <f>2*6</f>
        <v>12</v>
      </c>
      <c r="E304">
        <f>2*2</f>
        <v>4</v>
      </c>
      <c r="F304">
        <f>2*31</f>
        <v>62</v>
      </c>
      <c r="G304">
        <f>2*0</f>
        <v>0</v>
      </c>
      <c r="H304">
        <f>2*220</f>
        <v>440</v>
      </c>
    </row>
    <row r="305" spans="1:8" x14ac:dyDescent="0.3">
      <c r="A305" s="16" t="s">
        <v>667</v>
      </c>
      <c r="B305">
        <f>4.5*180</f>
        <v>810</v>
      </c>
      <c r="C305">
        <f>4.5*1.5</f>
        <v>6.75</v>
      </c>
      <c r="D305">
        <f>4.5*0</f>
        <v>0</v>
      </c>
      <c r="E305">
        <f>4.5*13</f>
        <v>58.5</v>
      </c>
      <c r="F305">
        <f>4.5*34</f>
        <v>153</v>
      </c>
      <c r="G305">
        <f>4.5*6</f>
        <v>27</v>
      </c>
      <c r="H305">
        <f>4.5*0</f>
        <v>0</v>
      </c>
    </row>
    <row r="306" spans="1:8" x14ac:dyDescent="0.3">
      <c r="A306" s="16" t="s">
        <v>668</v>
      </c>
      <c r="B306">
        <f>SUM(B305,B115*5,B41*1.5,B271)</f>
        <v>1220.5</v>
      </c>
      <c r="C306">
        <f t="shared" ref="C306:H306" si="74">SUM(C305,C115*5,C41*1.5,C271)</f>
        <v>14.45</v>
      </c>
      <c r="D306">
        <f t="shared" si="74"/>
        <v>2.6</v>
      </c>
      <c r="E306">
        <f t="shared" si="74"/>
        <v>70.8</v>
      </c>
      <c r="F306">
        <f t="shared" si="74"/>
        <v>221.7</v>
      </c>
      <c r="G306">
        <f t="shared" si="74"/>
        <v>36.299999999999997</v>
      </c>
      <c r="H306">
        <f t="shared" si="74"/>
        <v>2405</v>
      </c>
    </row>
    <row r="307" spans="1:8" x14ac:dyDescent="0.3">
      <c r="A307" s="16" t="s">
        <v>671</v>
      </c>
      <c r="B307" s="17">
        <f>150*3</f>
        <v>450</v>
      </c>
      <c r="C307" s="17">
        <f>10*3</f>
        <v>30</v>
      </c>
      <c r="D307" s="17">
        <f>1*3</f>
        <v>3</v>
      </c>
      <c r="E307" s="17">
        <f>2*3</f>
        <v>6</v>
      </c>
      <c r="F307" s="17">
        <f>15*3</f>
        <v>45</v>
      </c>
      <c r="G307" s="17">
        <f>1*3</f>
        <v>3</v>
      </c>
      <c r="H307" s="17">
        <f>135*3</f>
        <v>405</v>
      </c>
    </row>
    <row r="308" spans="1:8" x14ac:dyDescent="0.3">
      <c r="A308" s="16" t="s">
        <v>675</v>
      </c>
      <c r="B308">
        <f>SUM(B95*4.5, B117,B39,B40)</f>
        <v>1274</v>
      </c>
      <c r="C308">
        <f t="shared" ref="C308:H308" si="75">SUM(C95*4.5, C117,C39,C40)</f>
        <v>81.599999999999994</v>
      </c>
      <c r="D308">
        <f t="shared" si="75"/>
        <v>22.6</v>
      </c>
      <c r="E308">
        <f t="shared" si="75"/>
        <v>94.1</v>
      </c>
      <c r="F308">
        <f t="shared" si="75"/>
        <v>44.3</v>
      </c>
      <c r="G308">
        <f t="shared" si="75"/>
        <v>15.8</v>
      </c>
      <c r="H308">
        <f t="shared" si="75"/>
        <v>1585.4</v>
      </c>
    </row>
    <row r="309" spans="1:8" x14ac:dyDescent="0.3">
      <c r="A309" s="16" t="s">
        <v>678</v>
      </c>
      <c r="B309" s="17">
        <f>2.5*150</f>
        <v>375</v>
      </c>
      <c r="C309" s="17">
        <f>9*2.5</f>
        <v>22.5</v>
      </c>
      <c r="D309" s="17">
        <f>4*2.5</f>
        <v>10</v>
      </c>
      <c r="E309" s="17">
        <f>2*2.5</f>
        <v>5</v>
      </c>
      <c r="F309" s="17">
        <f>19*2.5</f>
        <v>47.5</v>
      </c>
      <c r="G309" s="17">
        <f>3*2.5</f>
        <v>7.5</v>
      </c>
      <c r="H309" s="17">
        <f>170*2.5</f>
        <v>425</v>
      </c>
    </row>
    <row r="310" spans="1:8" x14ac:dyDescent="0.3">
      <c r="A310" s="16" t="s">
        <v>681</v>
      </c>
      <c r="B310" s="17">
        <f>SUM(B39,B40,B37*4,B117*2)</f>
        <v>1171</v>
      </c>
      <c r="C310" s="17">
        <f t="shared" ref="C310:H310" si="76">C6*3</f>
        <v>15</v>
      </c>
      <c r="D310" s="17">
        <f t="shared" si="76"/>
        <v>10.5</v>
      </c>
      <c r="E310" s="17">
        <f t="shared" si="76"/>
        <v>3</v>
      </c>
      <c r="F310" s="17">
        <f t="shared" si="76"/>
        <v>6</v>
      </c>
      <c r="G310" s="17">
        <f t="shared" si="76"/>
        <v>0</v>
      </c>
      <c r="H310" s="17">
        <f t="shared" si="76"/>
        <v>45</v>
      </c>
    </row>
    <row r="311" spans="1:8" x14ac:dyDescent="0.3">
      <c r="A311" s="16" t="s">
        <v>680</v>
      </c>
      <c r="B311" s="17">
        <f>B310/3</f>
        <v>390.33333333333331</v>
      </c>
      <c r="C311" s="17">
        <f t="shared" ref="C311:H311" si="77">C310/3</f>
        <v>5</v>
      </c>
      <c r="D311" s="17">
        <f t="shared" si="77"/>
        <v>3.5</v>
      </c>
      <c r="E311" s="17">
        <f t="shared" si="77"/>
        <v>1</v>
      </c>
      <c r="F311" s="17">
        <f t="shared" si="77"/>
        <v>2</v>
      </c>
      <c r="G311" s="17">
        <f t="shared" si="77"/>
        <v>0</v>
      </c>
      <c r="H311" s="17">
        <f t="shared" si="77"/>
        <v>15</v>
      </c>
    </row>
    <row r="312" spans="1:8" x14ac:dyDescent="0.3">
      <c r="A312" s="16" t="s">
        <v>684</v>
      </c>
      <c r="B312">
        <v>440</v>
      </c>
      <c r="C312">
        <v>13</v>
      </c>
      <c r="D312">
        <v>3</v>
      </c>
      <c r="E312">
        <v>18</v>
      </c>
      <c r="F312">
        <v>65</v>
      </c>
      <c r="G312">
        <v>6</v>
      </c>
      <c r="H312">
        <v>1230</v>
      </c>
    </row>
    <row r="313" spans="1:8" x14ac:dyDescent="0.3">
      <c r="A313" s="16" t="s">
        <v>685</v>
      </c>
      <c r="B313">
        <v>150</v>
      </c>
      <c r="C313">
        <v>8</v>
      </c>
      <c r="D313">
        <v>0.5</v>
      </c>
      <c r="E313">
        <v>2</v>
      </c>
      <c r="F313">
        <v>17</v>
      </c>
      <c r="G313">
        <v>1</v>
      </c>
      <c r="H313">
        <v>170</v>
      </c>
    </row>
    <row r="314" spans="1:8" x14ac:dyDescent="0.3">
      <c r="A314" s="16" t="s">
        <v>686</v>
      </c>
      <c r="B314">
        <v>57</v>
      </c>
      <c r="C314">
        <v>2</v>
      </c>
      <c r="D314">
        <v>0.1</v>
      </c>
      <c r="E314">
        <v>1</v>
      </c>
      <c r="F314">
        <v>9</v>
      </c>
      <c r="G314">
        <v>0.8</v>
      </c>
      <c r="H314">
        <v>55</v>
      </c>
    </row>
    <row r="315" spans="1:8" x14ac:dyDescent="0.3">
      <c r="A315" s="16" t="s">
        <v>687</v>
      </c>
      <c r="B315">
        <f>4.5*100</f>
        <v>450</v>
      </c>
      <c r="C315">
        <f>4.5*0</f>
        <v>0</v>
      </c>
      <c r="D315">
        <f>4.5*0</f>
        <v>0</v>
      </c>
      <c r="E315">
        <f>4.5*2</f>
        <v>9</v>
      </c>
      <c r="F315">
        <f>4.5*23</f>
        <v>103.5</v>
      </c>
      <c r="G315">
        <f>4.5*0</f>
        <v>0</v>
      </c>
      <c r="H315">
        <f>4.5*5</f>
        <v>22.5</v>
      </c>
    </row>
    <row r="316" spans="1:8" x14ac:dyDescent="0.3">
      <c r="A316" s="16" t="s">
        <v>690</v>
      </c>
      <c r="B316" s="17">
        <v>42</v>
      </c>
      <c r="C316" s="17">
        <v>0.7</v>
      </c>
      <c r="D316" s="17">
        <v>0.1</v>
      </c>
      <c r="E316" s="17">
        <v>8.1</v>
      </c>
      <c r="F316" s="17">
        <v>0.4</v>
      </c>
      <c r="G316" s="17">
        <v>0</v>
      </c>
      <c r="H316" s="17">
        <v>59</v>
      </c>
    </row>
    <row r="317" spans="1:8" x14ac:dyDescent="0.3">
      <c r="A317" s="16" t="s">
        <v>691</v>
      </c>
      <c r="B317">
        <v>33</v>
      </c>
      <c r="C317">
        <v>0.6</v>
      </c>
      <c r="D317">
        <v>0.1</v>
      </c>
      <c r="E317">
        <v>1.5</v>
      </c>
      <c r="F317">
        <v>7.2</v>
      </c>
      <c r="G317">
        <v>2.8</v>
      </c>
      <c r="H317">
        <v>12</v>
      </c>
    </row>
    <row r="318" spans="1:8" x14ac:dyDescent="0.3">
      <c r="A318" s="16" t="s">
        <v>692</v>
      </c>
      <c r="B318">
        <v>27</v>
      </c>
      <c r="C318">
        <v>0.2</v>
      </c>
      <c r="D318">
        <v>0.1</v>
      </c>
      <c r="E318">
        <v>1.5</v>
      </c>
      <c r="F318">
        <v>6.2</v>
      </c>
      <c r="G318">
        <v>1.6</v>
      </c>
      <c r="H318">
        <v>594</v>
      </c>
    </row>
    <row r="319" spans="1:8" x14ac:dyDescent="0.3">
      <c r="A319" s="16" t="s">
        <v>693</v>
      </c>
      <c r="B319">
        <v>227</v>
      </c>
      <c r="C319">
        <v>0.9</v>
      </c>
      <c r="D319">
        <v>0.2</v>
      </c>
      <c r="E319">
        <v>15.2</v>
      </c>
      <c r="F319">
        <v>40.799999999999997</v>
      </c>
      <c r="G319">
        <v>15</v>
      </c>
      <c r="H319">
        <v>2</v>
      </c>
    </row>
    <row r="320" spans="1:8" x14ac:dyDescent="0.3">
      <c r="A320" s="16" t="s">
        <v>696</v>
      </c>
      <c r="B320" s="17">
        <f>(B37*4+B40*2)/3</f>
        <v>373.33333333333331</v>
      </c>
      <c r="C320" s="17">
        <f t="shared" ref="C320:H320" si="78">(C37*4+C40*2)/3</f>
        <v>24</v>
      </c>
      <c r="D320" s="17">
        <f t="shared" si="78"/>
        <v>6.666666666666667</v>
      </c>
      <c r="E320" s="17">
        <f t="shared" si="78"/>
        <v>27.333333333333332</v>
      </c>
      <c r="F320" s="17">
        <f t="shared" si="78"/>
        <v>13.333333333333334</v>
      </c>
      <c r="G320" s="17">
        <f t="shared" si="78"/>
        <v>4.666666666666667</v>
      </c>
      <c r="H320" s="17">
        <f t="shared" si="78"/>
        <v>466.66666666666669</v>
      </c>
    </row>
    <row r="321" spans="1:8" x14ac:dyDescent="0.3">
      <c r="A321" s="16" t="s">
        <v>700</v>
      </c>
      <c r="B321" s="17">
        <v>450</v>
      </c>
      <c r="C321" s="17">
        <v>23</v>
      </c>
      <c r="D321" s="17">
        <v>14</v>
      </c>
      <c r="E321" s="17">
        <v>7</v>
      </c>
      <c r="F321" s="17">
        <v>54</v>
      </c>
      <c r="G321" s="17">
        <v>0</v>
      </c>
      <c r="H321" s="17">
        <v>320</v>
      </c>
    </row>
    <row r="322" spans="1:8" x14ac:dyDescent="0.3">
      <c r="A322" s="16" t="s">
        <v>702</v>
      </c>
      <c r="B322">
        <v>69</v>
      </c>
      <c r="C322">
        <v>24</v>
      </c>
      <c r="D322">
        <v>14</v>
      </c>
      <c r="E322">
        <v>4</v>
      </c>
      <c r="F322">
        <v>25</v>
      </c>
      <c r="G322">
        <v>2</v>
      </c>
      <c r="H322">
        <v>320</v>
      </c>
    </row>
    <row r="323" spans="1:8" x14ac:dyDescent="0.3">
      <c r="A323" s="16" t="s">
        <v>703</v>
      </c>
      <c r="B323">
        <v>130</v>
      </c>
      <c r="C323">
        <v>4</v>
      </c>
      <c r="D323">
        <v>2</v>
      </c>
      <c r="E323">
        <v>3</v>
      </c>
      <c r="F323">
        <v>22</v>
      </c>
      <c r="G323">
        <v>1</v>
      </c>
      <c r="H323">
        <v>55</v>
      </c>
    </row>
    <row r="324" spans="1:8" x14ac:dyDescent="0.3">
      <c r="A324" s="16" t="s">
        <v>705</v>
      </c>
      <c r="B324">
        <f>B37*4+B117+B39+B40+B115*5+B111*6</f>
        <v>2634</v>
      </c>
      <c r="C324">
        <f t="shared" ref="C324:H324" si="79">C37*4+C117+C39+C40+C115*5+C111*6</f>
        <v>86.1</v>
      </c>
      <c r="D324">
        <f t="shared" si="79"/>
        <v>22.6</v>
      </c>
      <c r="E324">
        <f t="shared" si="79"/>
        <v>118.1</v>
      </c>
      <c r="F324">
        <f t="shared" si="79"/>
        <v>360.8</v>
      </c>
      <c r="G324">
        <f t="shared" si="79"/>
        <v>31.8</v>
      </c>
      <c r="H324">
        <f t="shared" si="79"/>
        <v>3810.4</v>
      </c>
    </row>
    <row r="325" spans="1:8" x14ac:dyDescent="0.3">
      <c r="A325" s="16" t="s">
        <v>704</v>
      </c>
      <c r="B325">
        <f>B324/4</f>
        <v>658.5</v>
      </c>
      <c r="C325">
        <f t="shared" ref="C325:G325" si="80">C324/4</f>
        <v>21.524999999999999</v>
      </c>
      <c r="D325">
        <f t="shared" si="80"/>
        <v>5.65</v>
      </c>
      <c r="E325">
        <f t="shared" si="80"/>
        <v>29.524999999999999</v>
      </c>
      <c r="F325">
        <f t="shared" si="80"/>
        <v>90.2</v>
      </c>
      <c r="G325">
        <f t="shared" si="80"/>
        <v>7.95</v>
      </c>
      <c r="H325">
        <f>H324/4</f>
        <v>952.6</v>
      </c>
    </row>
    <row r="326" spans="1:8" x14ac:dyDescent="0.3">
      <c r="A326" s="16" t="s">
        <v>708</v>
      </c>
      <c r="B326">
        <v>45</v>
      </c>
      <c r="C326">
        <v>1</v>
      </c>
      <c r="D326">
        <v>0</v>
      </c>
      <c r="E326">
        <v>1</v>
      </c>
      <c r="F326">
        <v>8</v>
      </c>
      <c r="G326">
        <v>0</v>
      </c>
      <c r="H326">
        <v>100</v>
      </c>
    </row>
    <row r="327" spans="1:8" x14ac:dyDescent="0.3">
      <c r="A327" s="16" t="s">
        <v>713</v>
      </c>
      <c r="B327">
        <f>B61*5+B39+B40+B260*3+B261/2+B115*5+B37*4+B6*3</f>
        <v>3706</v>
      </c>
      <c r="C327">
        <f t="shared" ref="C327:H327" si="81">C61*5+C39+C40+C260*3+C261/2+C115*5+C37*4+C6*3</f>
        <v>149.35</v>
      </c>
      <c r="D327">
        <f t="shared" si="81"/>
        <v>41.6</v>
      </c>
      <c r="E327">
        <f t="shared" si="81"/>
        <v>211.35</v>
      </c>
      <c r="F327">
        <f t="shared" si="81"/>
        <v>406.95</v>
      </c>
      <c r="G327">
        <f t="shared" si="81"/>
        <v>74.150000000000006</v>
      </c>
      <c r="H327">
        <f t="shared" si="81"/>
        <v>3859</v>
      </c>
    </row>
    <row r="328" spans="1:8" x14ac:dyDescent="0.3">
      <c r="A328" s="16" t="s">
        <v>714</v>
      </c>
      <c r="B328" s="17">
        <f>B327/4</f>
        <v>926.5</v>
      </c>
      <c r="C328" s="17">
        <f t="shared" ref="C328:H328" si="82">C327/4</f>
        <v>37.337499999999999</v>
      </c>
      <c r="D328" s="17">
        <f t="shared" si="82"/>
        <v>10.4</v>
      </c>
      <c r="E328" s="17">
        <f t="shared" si="82"/>
        <v>52.837499999999999</v>
      </c>
      <c r="F328" s="17">
        <f t="shared" si="82"/>
        <v>101.7375</v>
      </c>
      <c r="G328" s="17">
        <f t="shared" si="82"/>
        <v>18.537500000000001</v>
      </c>
      <c r="H328" s="17">
        <f t="shared" si="82"/>
        <v>964.75</v>
      </c>
    </row>
    <row r="329" spans="1:8" x14ac:dyDescent="0.3">
      <c r="A329" s="16" t="s">
        <v>716</v>
      </c>
      <c r="B329">
        <v>220</v>
      </c>
      <c r="C329">
        <v>13</v>
      </c>
      <c r="D329">
        <v>8</v>
      </c>
      <c r="E329">
        <v>2</v>
      </c>
      <c r="F329">
        <v>24</v>
      </c>
      <c r="G329">
        <v>2</v>
      </c>
      <c r="H329">
        <v>0</v>
      </c>
    </row>
    <row r="330" spans="1:8" x14ac:dyDescent="0.3">
      <c r="A330" s="16" t="s">
        <v>717</v>
      </c>
      <c r="B330" s="17">
        <v>40</v>
      </c>
      <c r="C330" s="17">
        <v>0</v>
      </c>
      <c r="D330" s="17">
        <v>0</v>
      </c>
      <c r="E330" s="17">
        <v>1</v>
      </c>
      <c r="F330" s="17">
        <v>8</v>
      </c>
      <c r="G330" s="17">
        <v>0</v>
      </c>
      <c r="H330" s="17">
        <v>15</v>
      </c>
    </row>
    <row r="331" spans="1:8" x14ac:dyDescent="0.3">
      <c r="A331" s="16" t="s">
        <v>718</v>
      </c>
      <c r="B331">
        <v>1350</v>
      </c>
      <c r="C331">
        <v>770</v>
      </c>
      <c r="D331">
        <v>132</v>
      </c>
      <c r="E331">
        <v>31</v>
      </c>
      <c r="F331">
        <v>13</v>
      </c>
      <c r="G331">
        <v>37</v>
      </c>
      <c r="H331">
        <v>215</v>
      </c>
    </row>
    <row r="332" spans="1:8" x14ac:dyDescent="0.3">
      <c r="A332" s="16" t="s">
        <v>722</v>
      </c>
      <c r="B332" s="17">
        <f>SUM(B37*4,B33*2,B40*2,B117)</f>
        <v>1197</v>
      </c>
      <c r="C332" s="17">
        <f t="shared" ref="C332:H332" si="83">SUM(C37*4,C33*2,C40*2,C117)</f>
        <v>72.599999999999994</v>
      </c>
      <c r="D332" s="17">
        <f t="shared" si="83"/>
        <v>20.100000000000001</v>
      </c>
      <c r="E332" s="17">
        <f t="shared" si="83"/>
        <v>84.1</v>
      </c>
      <c r="F332" s="17">
        <f t="shared" si="83"/>
        <v>56.8</v>
      </c>
      <c r="G332" s="17">
        <f t="shared" si="83"/>
        <v>17.8</v>
      </c>
      <c r="H332" s="17">
        <f t="shared" si="83"/>
        <v>1405.4</v>
      </c>
    </row>
    <row r="333" spans="1:8" x14ac:dyDescent="0.3">
      <c r="A333" s="16" t="s">
        <v>723</v>
      </c>
      <c r="B333">
        <v>239</v>
      </c>
      <c r="C333">
        <v>13.5</v>
      </c>
      <c r="D333">
        <v>9</v>
      </c>
      <c r="E333">
        <v>3</v>
      </c>
      <c r="F333">
        <v>30</v>
      </c>
      <c r="G333">
        <v>3</v>
      </c>
      <c r="H333">
        <v>60</v>
      </c>
    </row>
    <row r="334" spans="1:8" x14ac:dyDescent="0.3">
      <c r="A334" s="16" t="s">
        <v>726</v>
      </c>
      <c r="B334" s="17">
        <v>150</v>
      </c>
      <c r="C334" s="17">
        <v>8</v>
      </c>
      <c r="D334" s="17">
        <v>2.5</v>
      </c>
      <c r="E334" s="17">
        <v>1</v>
      </c>
      <c r="F334" s="17">
        <v>20</v>
      </c>
      <c r="G334" s="17">
        <v>1</v>
      </c>
      <c r="H334" s="17">
        <v>75</v>
      </c>
    </row>
    <row r="335" spans="1:8" x14ac:dyDescent="0.3">
      <c r="A335" s="16" t="s">
        <v>727</v>
      </c>
      <c r="B335">
        <v>110</v>
      </c>
      <c r="C335">
        <v>2</v>
      </c>
      <c r="D335">
        <v>2</v>
      </c>
      <c r="E335">
        <v>2</v>
      </c>
      <c r="F335">
        <v>20</v>
      </c>
      <c r="G335">
        <v>1</v>
      </c>
      <c r="H335">
        <v>570</v>
      </c>
    </row>
    <row r="336" spans="1:8" x14ac:dyDescent="0.3">
      <c r="A336" s="16" t="s">
        <v>733</v>
      </c>
      <c r="B336">
        <f>120*4</f>
        <v>480</v>
      </c>
      <c r="C336">
        <f>3*4</f>
        <v>12</v>
      </c>
      <c r="D336">
        <f>2*4</f>
        <v>8</v>
      </c>
      <c r="E336">
        <f>2*4</f>
        <v>8</v>
      </c>
      <c r="F336">
        <f>20*4</f>
        <v>80</v>
      </c>
      <c r="G336">
        <f>1*4</f>
        <v>4</v>
      </c>
      <c r="H336">
        <f>410*4</f>
        <v>1640</v>
      </c>
    </row>
    <row r="337" spans="1:8" x14ac:dyDescent="0.3">
      <c r="A337" s="16" t="s">
        <v>734</v>
      </c>
      <c r="B337">
        <f>240*3</f>
        <v>720</v>
      </c>
      <c r="C337">
        <f>14*3</f>
        <v>42</v>
      </c>
      <c r="D337">
        <f>8*3</f>
        <v>24</v>
      </c>
      <c r="E337">
        <f>19*3</f>
        <v>57</v>
      </c>
      <c r="F337">
        <f>9*3</f>
        <v>27</v>
      </c>
      <c r="G337">
        <f>3*3</f>
        <v>9</v>
      </c>
      <c r="H337">
        <f>370*3</f>
        <v>1110</v>
      </c>
    </row>
    <row r="338" spans="1:8" x14ac:dyDescent="0.3">
      <c r="A338" s="16" t="s">
        <v>735</v>
      </c>
      <c r="B338">
        <f>260*3</f>
        <v>780</v>
      </c>
      <c r="C338">
        <f>2.5*3</f>
        <v>7.5</v>
      </c>
      <c r="D338">
        <f>1.5*3</f>
        <v>4.5</v>
      </c>
      <c r="E338">
        <f>9*3</f>
        <v>27</v>
      </c>
      <c r="F338">
        <f>48*3</f>
        <v>144</v>
      </c>
      <c r="G338">
        <f>2*3</f>
        <v>6</v>
      </c>
      <c r="H338">
        <f>560*3</f>
        <v>1680</v>
      </c>
    </row>
    <row r="339" spans="1:8" x14ac:dyDescent="0.3">
      <c r="A339" s="16" t="s">
        <v>737</v>
      </c>
      <c r="B339">
        <v>480</v>
      </c>
      <c r="C339">
        <v>22</v>
      </c>
      <c r="D339">
        <v>11</v>
      </c>
      <c r="E339">
        <v>8</v>
      </c>
      <c r="F339">
        <v>56</v>
      </c>
      <c r="G339">
        <v>2</v>
      </c>
      <c r="H339">
        <v>390</v>
      </c>
    </row>
    <row r="340" spans="1:8" x14ac:dyDescent="0.3">
      <c r="A340" s="16" t="s">
        <v>739</v>
      </c>
      <c r="B340">
        <v>320</v>
      </c>
      <c r="C340">
        <v>17</v>
      </c>
      <c r="D340">
        <v>10</v>
      </c>
      <c r="E340">
        <v>6</v>
      </c>
      <c r="F340">
        <v>35</v>
      </c>
      <c r="G340">
        <v>0</v>
      </c>
      <c r="H340">
        <v>430</v>
      </c>
    </row>
    <row r="341" spans="1:8" x14ac:dyDescent="0.3">
      <c r="A341" s="16" t="s">
        <v>738</v>
      </c>
      <c r="B341">
        <v>600</v>
      </c>
      <c r="C341">
        <v>8</v>
      </c>
      <c r="D341">
        <v>3</v>
      </c>
      <c r="E341">
        <v>15</v>
      </c>
      <c r="F341">
        <v>120</v>
      </c>
      <c r="G341">
        <v>0</v>
      </c>
      <c r="H341">
        <v>600</v>
      </c>
    </row>
    <row r="342" spans="1:8" x14ac:dyDescent="0.3">
      <c r="A342" s="16" t="s">
        <v>740</v>
      </c>
      <c r="B342" s="17">
        <f>SUM(B337/12,B283/12,B39/12,B40/12,B260/4)</f>
        <v>100.75</v>
      </c>
      <c r="C342" s="17">
        <f t="shared" ref="C342:H342" si="84">SUM(C337/12,C283/12,C39/12,C40/12,C260/4)</f>
        <v>7</v>
      </c>
      <c r="D342" s="17">
        <f t="shared" si="84"/>
        <v>2.5</v>
      </c>
      <c r="E342" s="17">
        <f t="shared" si="84"/>
        <v>5.0416666666666661</v>
      </c>
      <c r="F342" s="17">
        <f t="shared" si="84"/>
        <v>4.041666666666667</v>
      </c>
      <c r="G342" s="17">
        <f t="shared" si="84"/>
        <v>1.2916666666666667</v>
      </c>
      <c r="H342" s="17">
        <f t="shared" si="84"/>
        <v>93.5</v>
      </c>
    </row>
    <row r="343" spans="1:8" x14ac:dyDescent="0.3">
      <c r="A343" s="16" t="s">
        <v>741</v>
      </c>
      <c r="B343">
        <v>90</v>
      </c>
      <c r="C343">
        <f t="shared" ref="C343:H343" si="85">C330*2</f>
        <v>0</v>
      </c>
      <c r="D343">
        <f t="shared" si="85"/>
        <v>0</v>
      </c>
      <c r="E343">
        <v>0</v>
      </c>
      <c r="F343">
        <v>25</v>
      </c>
      <c r="G343">
        <f t="shared" si="85"/>
        <v>0</v>
      </c>
      <c r="H343">
        <f t="shared" si="85"/>
        <v>30</v>
      </c>
    </row>
    <row r="344" spans="1:8" x14ac:dyDescent="0.3">
      <c r="A344" s="16" t="s">
        <v>742</v>
      </c>
      <c r="B344">
        <f>37.6/4</f>
        <v>9.4</v>
      </c>
      <c r="C344">
        <f>17.4/4</f>
        <v>4.3499999999999996</v>
      </c>
      <c r="D344">
        <f>2/4</f>
        <v>0.5</v>
      </c>
      <c r="E344">
        <f>33/4</f>
        <v>8.25</v>
      </c>
      <c r="F344">
        <f>28/4</f>
        <v>7</v>
      </c>
      <c r="G344">
        <f>11/4</f>
        <v>2.75</v>
      </c>
      <c r="H344">
        <f>38/4</f>
        <v>9.5</v>
      </c>
    </row>
    <row r="345" spans="1:8" x14ac:dyDescent="0.3">
      <c r="A345" s="16" t="s">
        <v>743</v>
      </c>
      <c r="B345">
        <f>SUM(B161*2,B167,B170,B171,B251,B344,B17*4)</f>
        <v>988.4</v>
      </c>
      <c r="C345">
        <f t="shared" ref="C345:H345" si="86">SUM(C161*2,C167,C170,C171,C251,C344,C17*4)</f>
        <v>18.274999999999999</v>
      </c>
      <c r="D345">
        <f t="shared" si="86"/>
        <v>3.3250000000000002</v>
      </c>
      <c r="E345">
        <f t="shared" si="86"/>
        <v>38.125</v>
      </c>
      <c r="F345">
        <f t="shared" si="86"/>
        <v>132.44999999999999</v>
      </c>
      <c r="G345">
        <f t="shared" si="86"/>
        <v>16.875</v>
      </c>
      <c r="H345">
        <f t="shared" si="86"/>
        <v>2007</v>
      </c>
    </row>
    <row r="346" spans="1:8" x14ac:dyDescent="0.3">
      <c r="A346" s="16" t="s">
        <v>745</v>
      </c>
      <c r="B346">
        <v>670</v>
      </c>
      <c r="C346">
        <v>26</v>
      </c>
      <c r="D346">
        <v>8</v>
      </c>
      <c r="E346">
        <v>21</v>
      </c>
      <c r="F346">
        <v>88</v>
      </c>
      <c r="G346">
        <v>5</v>
      </c>
      <c r="H346">
        <v>1330</v>
      </c>
    </row>
    <row r="347" spans="1:8" x14ac:dyDescent="0.3">
      <c r="A347" s="16" t="s">
        <v>749</v>
      </c>
      <c r="B347" s="17">
        <v>160</v>
      </c>
      <c r="C347" s="17">
        <v>2</v>
      </c>
      <c r="D347" s="17">
        <v>0</v>
      </c>
      <c r="E347" s="17">
        <v>2</v>
      </c>
      <c r="F347" s="17">
        <v>32</v>
      </c>
      <c r="G347" s="17">
        <v>5</v>
      </c>
      <c r="H347" s="17">
        <v>200</v>
      </c>
    </row>
    <row r="348" spans="1:8" x14ac:dyDescent="0.3">
      <c r="A348" s="16" t="s">
        <v>750</v>
      </c>
      <c r="B348">
        <v>160</v>
      </c>
      <c r="C348">
        <v>10</v>
      </c>
      <c r="D348">
        <v>1.5</v>
      </c>
      <c r="E348">
        <v>1</v>
      </c>
      <c r="F348">
        <v>15</v>
      </c>
      <c r="G348">
        <v>1</v>
      </c>
      <c r="H348">
        <v>115</v>
      </c>
    </row>
    <row r="349" spans="1:8" x14ac:dyDescent="0.3">
      <c r="A349" s="16" t="s">
        <v>753</v>
      </c>
      <c r="B349" s="17">
        <v>25</v>
      </c>
      <c r="C349" s="17">
        <v>1.5</v>
      </c>
      <c r="D349" s="17">
        <v>1.5</v>
      </c>
      <c r="E349" s="17">
        <v>0</v>
      </c>
      <c r="F349" s="17">
        <v>3</v>
      </c>
      <c r="G349" s="17">
        <v>0</v>
      </c>
      <c r="H349" s="17">
        <v>0</v>
      </c>
    </row>
    <row r="350" spans="1:8" x14ac:dyDescent="0.3">
      <c r="A350" s="16" t="s">
        <v>1005</v>
      </c>
      <c r="B350">
        <v>70</v>
      </c>
      <c r="C350">
        <v>1</v>
      </c>
      <c r="D350">
        <v>0</v>
      </c>
      <c r="E350">
        <v>3</v>
      </c>
      <c r="F350">
        <v>13</v>
      </c>
      <c r="G350">
        <v>2</v>
      </c>
      <c r="H350">
        <v>105</v>
      </c>
    </row>
    <row r="351" spans="1:8" x14ac:dyDescent="0.3">
      <c r="A351" s="16" t="s">
        <v>756</v>
      </c>
      <c r="B351" s="17">
        <v>220</v>
      </c>
      <c r="C351" s="17">
        <v>11</v>
      </c>
      <c r="D351" s="17">
        <v>7</v>
      </c>
      <c r="E351" s="17">
        <v>3</v>
      </c>
      <c r="F351" s="17">
        <v>29</v>
      </c>
      <c r="G351" s="17">
        <v>0</v>
      </c>
      <c r="H351" s="17">
        <v>75</v>
      </c>
    </row>
    <row r="352" spans="1:8" x14ac:dyDescent="0.3">
      <c r="A352" s="16" t="s">
        <v>757</v>
      </c>
      <c r="B352">
        <v>220</v>
      </c>
      <c r="C352">
        <v>13</v>
      </c>
      <c r="D352">
        <v>8</v>
      </c>
      <c r="E352">
        <v>3</v>
      </c>
      <c r="F352">
        <v>26</v>
      </c>
      <c r="G352">
        <v>1</v>
      </c>
      <c r="H352">
        <v>35</v>
      </c>
    </row>
    <row r="353" spans="1:8" x14ac:dyDescent="0.3">
      <c r="A353" s="16" t="s">
        <v>758</v>
      </c>
      <c r="B353" s="17">
        <v>230</v>
      </c>
      <c r="C353" s="17">
        <v>9</v>
      </c>
      <c r="D353" s="17">
        <v>2</v>
      </c>
      <c r="E353" s="17">
        <v>9</v>
      </c>
      <c r="F353" s="17">
        <v>40</v>
      </c>
      <c r="G353" s="17">
        <v>5</v>
      </c>
      <c r="H353" s="17">
        <v>580</v>
      </c>
    </row>
    <row r="354" spans="1:8" x14ac:dyDescent="0.3">
      <c r="A354" s="16" t="s">
        <v>759</v>
      </c>
      <c r="B354">
        <v>220</v>
      </c>
      <c r="C354">
        <v>14</v>
      </c>
      <c r="D354">
        <v>8</v>
      </c>
      <c r="E354">
        <v>1</v>
      </c>
      <c r="F354">
        <v>34</v>
      </c>
      <c r="G354">
        <v>0</v>
      </c>
      <c r="H354">
        <v>180</v>
      </c>
    </row>
    <row r="355" spans="1:8" x14ac:dyDescent="0.3">
      <c r="A355" s="16" t="s">
        <v>760</v>
      </c>
      <c r="B355" s="17">
        <v>330</v>
      </c>
      <c r="C355" s="17">
        <v>17</v>
      </c>
      <c r="D355" s="17">
        <v>10</v>
      </c>
      <c r="E355" s="17">
        <v>10</v>
      </c>
      <c r="F355" s="17">
        <v>34</v>
      </c>
      <c r="G355" s="17">
        <v>1</v>
      </c>
      <c r="H355" s="17">
        <v>270</v>
      </c>
    </row>
    <row r="356" spans="1:8" x14ac:dyDescent="0.3">
      <c r="A356" s="16" t="s">
        <v>761</v>
      </c>
      <c r="B356">
        <f>B347/2</f>
        <v>80</v>
      </c>
      <c r="C356">
        <f t="shared" ref="C356:H356" si="87">C347/2</f>
        <v>1</v>
      </c>
      <c r="D356">
        <f t="shared" si="87"/>
        <v>0</v>
      </c>
      <c r="E356">
        <f t="shared" si="87"/>
        <v>1</v>
      </c>
      <c r="F356">
        <f t="shared" si="87"/>
        <v>16</v>
      </c>
      <c r="G356">
        <f t="shared" si="87"/>
        <v>2.5</v>
      </c>
      <c r="H356">
        <f t="shared" si="87"/>
        <v>100</v>
      </c>
    </row>
    <row r="357" spans="1:8" x14ac:dyDescent="0.3">
      <c r="A357" s="16" t="s">
        <v>764</v>
      </c>
      <c r="B357">
        <f>B30*2.5</f>
        <v>75</v>
      </c>
      <c r="C357">
        <f t="shared" ref="C357:H357" si="88">C30*2.5</f>
        <v>0</v>
      </c>
      <c r="D357">
        <f t="shared" si="88"/>
        <v>0</v>
      </c>
      <c r="E357">
        <f t="shared" si="88"/>
        <v>0</v>
      </c>
      <c r="F357">
        <f t="shared" si="88"/>
        <v>20</v>
      </c>
      <c r="G357">
        <f t="shared" si="88"/>
        <v>2.5</v>
      </c>
      <c r="H357">
        <f t="shared" si="88"/>
        <v>375</v>
      </c>
    </row>
    <row r="358" spans="1:8" x14ac:dyDescent="0.3">
      <c r="A358" s="16" t="s">
        <v>768</v>
      </c>
      <c r="B358">
        <v>410</v>
      </c>
      <c r="C358">
        <v>28</v>
      </c>
      <c r="D358">
        <v>13.5</v>
      </c>
      <c r="E358">
        <v>19</v>
      </c>
      <c r="F358">
        <v>19</v>
      </c>
      <c r="G358">
        <v>6</v>
      </c>
      <c r="H358">
        <v>990</v>
      </c>
    </row>
    <row r="359" spans="1:8" x14ac:dyDescent="0.3">
      <c r="A359" s="16" t="s">
        <v>769</v>
      </c>
      <c r="B359">
        <v>290</v>
      </c>
      <c r="C359">
        <v>3.5</v>
      </c>
      <c r="D359">
        <v>0</v>
      </c>
      <c r="E359">
        <v>4</v>
      </c>
      <c r="F359">
        <v>60</v>
      </c>
      <c r="G359">
        <v>7</v>
      </c>
      <c r="H359">
        <v>710</v>
      </c>
    </row>
    <row r="360" spans="1:8" x14ac:dyDescent="0.3">
      <c r="A360" s="16" t="s">
        <v>770</v>
      </c>
      <c r="B360">
        <v>670</v>
      </c>
      <c r="C360">
        <v>26</v>
      </c>
      <c r="D360">
        <v>8</v>
      </c>
      <c r="E360">
        <v>21</v>
      </c>
      <c r="F360">
        <v>88</v>
      </c>
      <c r="G360">
        <v>5</v>
      </c>
      <c r="H360">
        <v>1330</v>
      </c>
    </row>
    <row r="361" spans="1:8" x14ac:dyDescent="0.3">
      <c r="A361" s="16" t="s">
        <v>771</v>
      </c>
      <c r="B361">
        <v>160</v>
      </c>
      <c r="C361">
        <v>6</v>
      </c>
      <c r="D361">
        <v>1</v>
      </c>
      <c r="E361">
        <v>9</v>
      </c>
      <c r="F361">
        <v>19</v>
      </c>
      <c r="G361">
        <v>3</v>
      </c>
      <c r="H361">
        <v>320</v>
      </c>
    </row>
    <row r="362" spans="1:8" x14ac:dyDescent="0.3">
      <c r="A362" s="16" t="s">
        <v>772</v>
      </c>
      <c r="B362">
        <v>150</v>
      </c>
      <c r="C362">
        <v>8</v>
      </c>
      <c r="D362">
        <v>1</v>
      </c>
      <c r="E362">
        <v>16</v>
      </c>
      <c r="F362">
        <v>6</v>
      </c>
      <c r="G362">
        <v>3</v>
      </c>
      <c r="H362">
        <v>400</v>
      </c>
    </row>
    <row r="363" spans="1:8" x14ac:dyDescent="0.3">
      <c r="A363" s="16" t="s">
        <v>774</v>
      </c>
      <c r="B363">
        <v>330</v>
      </c>
      <c r="C363">
        <v>21</v>
      </c>
      <c r="D363">
        <v>12</v>
      </c>
      <c r="E363">
        <v>5</v>
      </c>
      <c r="F363">
        <v>30</v>
      </c>
      <c r="G363">
        <v>2</v>
      </c>
      <c r="H363">
        <v>280</v>
      </c>
    </row>
    <row r="364" spans="1:8" x14ac:dyDescent="0.3">
      <c r="A364" s="16" t="s">
        <v>775</v>
      </c>
      <c r="B364">
        <f>B335+B6+B19/2</f>
        <v>210</v>
      </c>
      <c r="C364">
        <f t="shared" ref="C364:H364" si="89">C335+C6+C19/2</f>
        <v>9.5</v>
      </c>
      <c r="D364">
        <f t="shared" si="89"/>
        <v>7.25</v>
      </c>
      <c r="E364">
        <f t="shared" si="89"/>
        <v>6</v>
      </c>
      <c r="F364">
        <f t="shared" si="89"/>
        <v>22.5</v>
      </c>
      <c r="G364">
        <f t="shared" si="89"/>
        <v>1</v>
      </c>
      <c r="H364">
        <f t="shared" si="89"/>
        <v>680</v>
      </c>
    </row>
    <row r="365" spans="1:8" x14ac:dyDescent="0.3">
      <c r="A365" s="16" t="s">
        <v>778</v>
      </c>
      <c r="B365">
        <v>210</v>
      </c>
      <c r="C365">
        <v>6</v>
      </c>
      <c r="D365">
        <v>1</v>
      </c>
      <c r="E365">
        <v>5</v>
      </c>
      <c r="F365">
        <v>32</v>
      </c>
      <c r="G365">
        <v>2</v>
      </c>
      <c r="H365">
        <v>540</v>
      </c>
    </row>
    <row r="366" spans="1:8" x14ac:dyDescent="0.3">
      <c r="A366" s="16" t="s">
        <v>779</v>
      </c>
      <c r="B366">
        <v>180</v>
      </c>
      <c r="C366">
        <v>12</v>
      </c>
      <c r="D366">
        <v>5</v>
      </c>
      <c r="E366">
        <v>4</v>
      </c>
      <c r="F366">
        <v>14</v>
      </c>
      <c r="G366">
        <v>2</v>
      </c>
      <c r="H366">
        <v>20</v>
      </c>
    </row>
    <row r="367" spans="1:8" x14ac:dyDescent="0.3">
      <c r="A367" s="16" t="s">
        <v>780</v>
      </c>
      <c r="B367">
        <v>170</v>
      </c>
      <c r="C367">
        <v>2</v>
      </c>
      <c r="D367">
        <v>0</v>
      </c>
      <c r="E367">
        <v>2</v>
      </c>
      <c r="F367">
        <v>37</v>
      </c>
      <c r="G367">
        <v>4</v>
      </c>
      <c r="H367">
        <v>340</v>
      </c>
    </row>
    <row r="368" spans="1:8" x14ac:dyDescent="0.3">
      <c r="A368" s="16" t="s">
        <v>781</v>
      </c>
      <c r="B368">
        <v>20</v>
      </c>
      <c r="C368">
        <v>0</v>
      </c>
      <c r="D368">
        <v>0</v>
      </c>
      <c r="E368">
        <v>0</v>
      </c>
      <c r="F368">
        <v>0</v>
      </c>
      <c r="G368">
        <v>0</v>
      </c>
      <c r="H368">
        <v>200</v>
      </c>
    </row>
    <row r="369" spans="1:9" x14ac:dyDescent="0.3">
      <c r="A369" s="16" t="s">
        <v>784</v>
      </c>
      <c r="B369">
        <v>105</v>
      </c>
      <c r="C369">
        <v>0</v>
      </c>
      <c r="D369">
        <v>0</v>
      </c>
      <c r="E369">
        <v>0</v>
      </c>
      <c r="F369">
        <v>27</v>
      </c>
      <c r="G369">
        <v>0</v>
      </c>
      <c r="H369">
        <v>260</v>
      </c>
    </row>
    <row r="370" spans="1:9" x14ac:dyDescent="0.3">
      <c r="A370" s="16" t="s">
        <v>786</v>
      </c>
      <c r="B370" s="17">
        <v>70</v>
      </c>
      <c r="C370" s="17">
        <v>2.5</v>
      </c>
      <c r="D370" s="17">
        <v>0</v>
      </c>
      <c r="E370" s="17">
        <v>10</v>
      </c>
      <c r="F370" s="17">
        <v>4</v>
      </c>
      <c r="G370" s="17">
        <v>3</v>
      </c>
      <c r="H370" s="17">
        <v>210</v>
      </c>
      <c r="I370" s="17"/>
    </row>
    <row r="371" spans="1:9" x14ac:dyDescent="0.3">
      <c r="A371" s="16" t="s">
        <v>787</v>
      </c>
      <c r="B371">
        <v>110</v>
      </c>
      <c r="C371">
        <v>4.5</v>
      </c>
      <c r="D371">
        <v>0.5</v>
      </c>
      <c r="E371">
        <v>11</v>
      </c>
      <c r="F371">
        <v>9</v>
      </c>
      <c r="G371">
        <v>4</v>
      </c>
      <c r="H371">
        <v>390</v>
      </c>
    </row>
    <row r="372" spans="1:9" x14ac:dyDescent="0.3">
      <c r="A372" s="16" t="s">
        <v>792</v>
      </c>
      <c r="B372" s="17">
        <v>90</v>
      </c>
      <c r="C372" s="17">
        <v>2.5</v>
      </c>
      <c r="D372" s="17">
        <v>0.5</v>
      </c>
      <c r="E372" s="17">
        <v>2</v>
      </c>
      <c r="F372" s="17">
        <v>10</v>
      </c>
      <c r="G372" s="17">
        <v>2</v>
      </c>
      <c r="H372" s="17">
        <v>510</v>
      </c>
    </row>
    <row r="373" spans="1:9" x14ac:dyDescent="0.3">
      <c r="A373" s="16" t="s">
        <v>793</v>
      </c>
      <c r="B373">
        <f>B6*10+B19*2+B36*7</f>
        <v>2160</v>
      </c>
      <c r="C373">
        <f t="shared" ref="C373:H373" si="90">C6*10+C19*2+C36*7</f>
        <v>67</v>
      </c>
      <c r="D373">
        <f t="shared" si="90"/>
        <v>42</v>
      </c>
      <c r="E373">
        <f t="shared" si="90"/>
        <v>50</v>
      </c>
      <c r="F373">
        <f t="shared" si="90"/>
        <v>330</v>
      </c>
      <c r="G373">
        <f t="shared" si="90"/>
        <v>7</v>
      </c>
      <c r="H373">
        <f t="shared" si="90"/>
        <v>530</v>
      </c>
    </row>
    <row r="374" spans="1:9" x14ac:dyDescent="0.3">
      <c r="A374" s="16" t="s">
        <v>794</v>
      </c>
      <c r="B374">
        <f>B373/4</f>
        <v>540</v>
      </c>
      <c r="C374">
        <f t="shared" ref="C374:H374" si="91">C373/4</f>
        <v>16.75</v>
      </c>
      <c r="D374">
        <f t="shared" si="91"/>
        <v>10.5</v>
      </c>
      <c r="E374">
        <f t="shared" si="91"/>
        <v>12.5</v>
      </c>
      <c r="F374">
        <f t="shared" si="91"/>
        <v>82.5</v>
      </c>
      <c r="G374">
        <f t="shared" si="91"/>
        <v>1.75</v>
      </c>
      <c r="H374">
        <f t="shared" si="91"/>
        <v>132.5</v>
      </c>
    </row>
    <row r="375" spans="1:9" x14ac:dyDescent="0.3">
      <c r="A375" s="16" t="s">
        <v>796</v>
      </c>
      <c r="B375">
        <v>630</v>
      </c>
      <c r="C375">
        <v>22</v>
      </c>
      <c r="D375">
        <v>7</v>
      </c>
      <c r="E375">
        <v>20</v>
      </c>
      <c r="F375">
        <v>86</v>
      </c>
      <c r="G375">
        <v>6</v>
      </c>
      <c r="H375">
        <v>1390</v>
      </c>
    </row>
    <row r="376" spans="1:9" x14ac:dyDescent="0.3">
      <c r="A376" s="16" t="s">
        <v>801</v>
      </c>
      <c r="B376">
        <v>218</v>
      </c>
      <c r="C376">
        <v>23.1</v>
      </c>
      <c r="D376">
        <v>3.6</v>
      </c>
      <c r="E376">
        <v>0.5</v>
      </c>
      <c r="F376">
        <v>3</v>
      </c>
      <c r="G376">
        <v>0.3</v>
      </c>
      <c r="H376">
        <v>367</v>
      </c>
    </row>
    <row r="377" spans="1:9" x14ac:dyDescent="0.3">
      <c r="A377" s="16" t="s">
        <v>797</v>
      </c>
      <c r="B377">
        <v>50</v>
      </c>
      <c r="C377">
        <v>0.5</v>
      </c>
      <c r="D377">
        <v>0</v>
      </c>
      <c r="E377">
        <v>0</v>
      </c>
      <c r="F377">
        <v>11</v>
      </c>
      <c r="G377">
        <v>0</v>
      </c>
      <c r="H377">
        <v>25</v>
      </c>
    </row>
    <row r="378" spans="1:9" x14ac:dyDescent="0.3">
      <c r="A378" s="16" t="s">
        <v>800</v>
      </c>
      <c r="B378">
        <v>300</v>
      </c>
      <c r="C378">
        <v>10</v>
      </c>
      <c r="D378">
        <v>5</v>
      </c>
      <c r="E378">
        <v>16</v>
      </c>
      <c r="F378">
        <v>37</v>
      </c>
      <c r="G378">
        <v>1</v>
      </c>
      <c r="H378">
        <v>700</v>
      </c>
    </row>
    <row r="379" spans="1:9" x14ac:dyDescent="0.3">
      <c r="A379" s="16" t="s">
        <v>802</v>
      </c>
      <c r="B379">
        <v>180</v>
      </c>
      <c r="C379">
        <v>5</v>
      </c>
      <c r="D379">
        <v>2.5</v>
      </c>
      <c r="E379">
        <v>8</v>
      </c>
      <c r="F379">
        <v>25</v>
      </c>
      <c r="G379">
        <v>4</v>
      </c>
      <c r="H379">
        <v>310</v>
      </c>
    </row>
    <row r="380" spans="1:9" x14ac:dyDescent="0.3">
      <c r="A380" s="16" t="s">
        <v>803</v>
      </c>
      <c r="B380">
        <v>80</v>
      </c>
      <c r="C380">
        <v>4</v>
      </c>
      <c r="D380">
        <v>0</v>
      </c>
      <c r="E380">
        <v>0</v>
      </c>
      <c r="F380">
        <v>8</v>
      </c>
      <c r="G380">
        <v>0</v>
      </c>
      <c r="H380">
        <v>0</v>
      </c>
    </row>
    <row r="381" spans="1:9" x14ac:dyDescent="0.3">
      <c r="A381" s="16" t="s">
        <v>805</v>
      </c>
      <c r="B381">
        <v>150</v>
      </c>
      <c r="C381">
        <v>9</v>
      </c>
      <c r="D381">
        <v>5</v>
      </c>
      <c r="E381">
        <v>2</v>
      </c>
      <c r="F381">
        <v>17</v>
      </c>
      <c r="G381">
        <v>1</v>
      </c>
      <c r="H381">
        <v>50</v>
      </c>
    </row>
    <row r="382" spans="1:9" x14ac:dyDescent="0.3">
      <c r="A382" s="16" t="s">
        <v>807</v>
      </c>
      <c r="B382" s="17">
        <v>110</v>
      </c>
      <c r="C382" s="17">
        <v>0</v>
      </c>
      <c r="D382" s="17">
        <v>0</v>
      </c>
      <c r="E382" s="17">
        <v>0</v>
      </c>
      <c r="F382" s="17">
        <v>28</v>
      </c>
      <c r="G382" s="17">
        <v>0</v>
      </c>
      <c r="H382" s="17">
        <v>175</v>
      </c>
    </row>
    <row r="383" spans="1:9" x14ac:dyDescent="0.3">
      <c r="A383" s="16" t="s">
        <v>808</v>
      </c>
      <c r="B383">
        <v>100</v>
      </c>
      <c r="C383">
        <v>0</v>
      </c>
      <c r="D383">
        <v>0</v>
      </c>
      <c r="E383">
        <v>25</v>
      </c>
      <c r="F383">
        <v>0</v>
      </c>
      <c r="G383">
        <v>0</v>
      </c>
      <c r="H383">
        <v>150</v>
      </c>
    </row>
    <row r="384" spans="1:9" x14ac:dyDescent="0.3">
      <c r="A384" s="16" t="s">
        <v>809</v>
      </c>
      <c r="B384">
        <v>574</v>
      </c>
      <c r="C384">
        <v>29.6</v>
      </c>
      <c r="D384">
        <v>13.1</v>
      </c>
      <c r="E384">
        <v>26.8</v>
      </c>
      <c r="F384">
        <v>50.2</v>
      </c>
      <c r="G384">
        <v>3.8</v>
      </c>
      <c r="H384">
        <v>1098</v>
      </c>
    </row>
    <row r="385" spans="1:8" x14ac:dyDescent="0.3">
      <c r="A385" s="16" t="s">
        <v>810</v>
      </c>
      <c r="B385">
        <v>20</v>
      </c>
      <c r="C385">
        <v>0</v>
      </c>
      <c r="D385">
        <v>0</v>
      </c>
      <c r="E385">
        <v>2</v>
      </c>
      <c r="F385">
        <v>4</v>
      </c>
      <c r="G385">
        <v>3</v>
      </c>
      <c r="H385">
        <v>20</v>
      </c>
    </row>
    <row r="386" spans="1:8" x14ac:dyDescent="0.3">
      <c r="A386" s="16" t="s">
        <v>814</v>
      </c>
      <c r="B386">
        <v>70</v>
      </c>
      <c r="C386">
        <v>1.5</v>
      </c>
      <c r="D386">
        <v>1</v>
      </c>
      <c r="E386">
        <v>3</v>
      </c>
      <c r="F386">
        <v>13</v>
      </c>
      <c r="G386">
        <v>0</v>
      </c>
      <c r="H386">
        <v>45</v>
      </c>
    </row>
    <row r="387" spans="1:8" x14ac:dyDescent="0.3">
      <c r="A387" s="16" t="s">
        <v>815</v>
      </c>
      <c r="B387">
        <v>310</v>
      </c>
      <c r="C387">
        <v>9</v>
      </c>
      <c r="D387">
        <v>4.5</v>
      </c>
      <c r="E387">
        <v>14</v>
      </c>
      <c r="F387">
        <v>42</v>
      </c>
      <c r="G387">
        <v>2</v>
      </c>
      <c r="H387">
        <v>680</v>
      </c>
    </row>
    <row r="388" spans="1:8" x14ac:dyDescent="0.3">
      <c r="A388" s="16" t="s">
        <v>816</v>
      </c>
      <c r="B388">
        <v>250</v>
      </c>
      <c r="C388">
        <v>5</v>
      </c>
      <c r="D388">
        <v>2.5</v>
      </c>
      <c r="E388">
        <v>10</v>
      </c>
      <c r="F388">
        <v>42</v>
      </c>
      <c r="G388">
        <v>1</v>
      </c>
      <c r="H388">
        <v>340</v>
      </c>
    </row>
    <row r="389" spans="1:8" x14ac:dyDescent="0.3">
      <c r="A389" s="16" t="s">
        <v>817</v>
      </c>
      <c r="B389">
        <v>140</v>
      </c>
      <c r="C389">
        <v>4</v>
      </c>
      <c r="D389">
        <v>1</v>
      </c>
      <c r="E389">
        <v>3</v>
      </c>
      <c r="F389">
        <v>22</v>
      </c>
      <c r="G389">
        <v>1</v>
      </c>
      <c r="H389">
        <v>240</v>
      </c>
    </row>
    <row r="390" spans="1:8" x14ac:dyDescent="0.3">
      <c r="A390" s="16" t="s">
        <v>818</v>
      </c>
      <c r="B390" s="17">
        <f>(B338+B6*10+B19*2)/3</f>
        <v>513.33333333333337</v>
      </c>
      <c r="C390" s="17">
        <f t="shared" ref="C390:H390" si="92">(C338+C6*10+C19*2)/3</f>
        <v>22.5</v>
      </c>
      <c r="D390" s="17">
        <f t="shared" si="92"/>
        <v>15.5</v>
      </c>
      <c r="E390" s="17">
        <f t="shared" si="92"/>
        <v>16.333333333333332</v>
      </c>
      <c r="F390" s="17">
        <f t="shared" si="92"/>
        <v>55.333333333333336</v>
      </c>
      <c r="G390" s="17">
        <f t="shared" si="92"/>
        <v>2</v>
      </c>
      <c r="H390" s="17">
        <f t="shared" si="92"/>
        <v>736.66666666666663</v>
      </c>
    </row>
    <row r="391" spans="1:8" x14ac:dyDescent="0.3">
      <c r="A391" s="16" t="s">
        <v>822</v>
      </c>
      <c r="B391" s="17">
        <v>70</v>
      </c>
      <c r="C391" s="17">
        <v>0</v>
      </c>
      <c r="D391" s="17">
        <v>0</v>
      </c>
      <c r="E391" s="17">
        <v>1</v>
      </c>
      <c r="F391" s="17">
        <v>17</v>
      </c>
      <c r="G391" s="17">
        <v>0</v>
      </c>
      <c r="H391" s="17">
        <v>25</v>
      </c>
    </row>
    <row r="392" spans="1:8" x14ac:dyDescent="0.3">
      <c r="A392" s="16" t="s">
        <v>829</v>
      </c>
      <c r="B392">
        <f>3*190</f>
        <v>570</v>
      </c>
      <c r="C392">
        <f>3*4.5</f>
        <v>13.5</v>
      </c>
      <c r="D392">
        <f>3*2</f>
        <v>6</v>
      </c>
      <c r="E392">
        <f>3*11</f>
        <v>33</v>
      </c>
      <c r="F392">
        <f>3*24</f>
        <v>72</v>
      </c>
      <c r="G392">
        <f>3*1</f>
        <v>3</v>
      </c>
      <c r="H392">
        <f>3*430</f>
        <v>1290</v>
      </c>
    </row>
    <row r="393" spans="1:8" x14ac:dyDescent="0.3">
      <c r="A393" s="16" t="s">
        <v>832</v>
      </c>
      <c r="B393" s="17">
        <f>B338+B6*4+B19*2+B370*2/3</f>
        <v>1226.6666666666667</v>
      </c>
      <c r="C393" s="17">
        <f t="shared" ref="C393:H393" si="93">C338+C6*4+C19*2+C370*2/3</f>
        <v>39.166666666666664</v>
      </c>
      <c r="D393" s="17">
        <f t="shared" si="93"/>
        <v>25.5</v>
      </c>
      <c r="E393" s="17">
        <f t="shared" si="93"/>
        <v>49.666666666666664</v>
      </c>
      <c r="F393" s="17">
        <f t="shared" si="93"/>
        <v>156.66666666666666</v>
      </c>
      <c r="G393" s="17">
        <f t="shared" si="93"/>
        <v>8</v>
      </c>
      <c r="H393" s="17">
        <f t="shared" si="93"/>
        <v>2260</v>
      </c>
    </row>
    <row r="394" spans="1:8" x14ac:dyDescent="0.3">
      <c r="A394" s="16" t="s">
        <v>833</v>
      </c>
      <c r="B394" s="17">
        <v>190</v>
      </c>
      <c r="C394" s="17">
        <v>10</v>
      </c>
      <c r="D394" s="17">
        <v>6</v>
      </c>
      <c r="E394" s="17">
        <v>7</v>
      </c>
      <c r="F394" s="17">
        <v>34</v>
      </c>
      <c r="G394" s="17">
        <v>0</v>
      </c>
      <c r="H394" s="17">
        <v>15</v>
      </c>
    </row>
    <row r="395" spans="1:8" x14ac:dyDescent="0.3">
      <c r="A395" s="16" t="s">
        <v>837</v>
      </c>
      <c r="B395">
        <v>350</v>
      </c>
      <c r="C395">
        <v>11</v>
      </c>
      <c r="D395">
        <v>6</v>
      </c>
      <c r="E395">
        <v>14</v>
      </c>
      <c r="F395">
        <v>51</v>
      </c>
      <c r="G395">
        <v>5</v>
      </c>
      <c r="H395">
        <v>780</v>
      </c>
    </row>
    <row r="396" spans="1:8" x14ac:dyDescent="0.3">
      <c r="A396" s="16" t="s">
        <v>839</v>
      </c>
      <c r="B396">
        <v>350</v>
      </c>
      <c r="C396">
        <v>11</v>
      </c>
      <c r="D396">
        <v>1.5</v>
      </c>
      <c r="E396">
        <v>9</v>
      </c>
      <c r="F396">
        <v>55</v>
      </c>
      <c r="G396">
        <v>3</v>
      </c>
      <c r="H396">
        <v>570</v>
      </c>
    </row>
    <row r="397" spans="1:8" x14ac:dyDescent="0.3">
      <c r="A397" s="16" t="s">
        <v>840</v>
      </c>
      <c r="B397">
        <f>190*3</f>
        <v>570</v>
      </c>
      <c r="C397">
        <f>4*3</f>
        <v>12</v>
      </c>
      <c r="D397">
        <f>2.5*3</f>
        <v>7.5</v>
      </c>
      <c r="E397">
        <f>7*3</f>
        <v>21</v>
      </c>
      <c r="F397">
        <f>32*3</f>
        <v>96</v>
      </c>
      <c r="G397">
        <f>0*3</f>
        <v>0</v>
      </c>
      <c r="H397">
        <f>100*3</f>
        <v>300</v>
      </c>
    </row>
    <row r="398" spans="1:8" x14ac:dyDescent="0.3">
      <c r="A398" s="16" t="s">
        <v>843</v>
      </c>
      <c r="B398" s="17">
        <v>100</v>
      </c>
      <c r="C398" s="17">
        <v>1</v>
      </c>
      <c r="D398" s="17">
        <v>0</v>
      </c>
      <c r="E398" s="17">
        <v>16</v>
      </c>
      <c r="F398" s="17">
        <v>6</v>
      </c>
      <c r="G398" s="17">
        <v>4</v>
      </c>
      <c r="H398" s="17">
        <v>320</v>
      </c>
    </row>
    <row r="399" spans="1:8" x14ac:dyDescent="0.3">
      <c r="A399" s="16" t="s">
        <v>847</v>
      </c>
      <c r="B399" s="17">
        <v>94</v>
      </c>
      <c r="C399" s="17">
        <v>2.2999999999999998</v>
      </c>
      <c r="D399" s="17">
        <v>0.6</v>
      </c>
      <c r="E399" s="17">
        <v>2.5</v>
      </c>
      <c r="F399" s="17">
        <v>15.4</v>
      </c>
      <c r="G399" s="17">
        <v>0.9</v>
      </c>
      <c r="H399" s="17">
        <v>191</v>
      </c>
    </row>
    <row r="400" spans="1:8" x14ac:dyDescent="0.3">
      <c r="A400" s="16" t="s">
        <v>848</v>
      </c>
      <c r="B400" s="17">
        <f>B19+B13+B228*4+B57+B335+B6</f>
        <v>991</v>
      </c>
      <c r="C400" s="17">
        <f t="shared" ref="C400:H400" si="94">C19+C13+C228*4+C57+C335+C6</f>
        <v>83.5</v>
      </c>
      <c r="D400" s="17">
        <f t="shared" si="94"/>
        <v>19</v>
      </c>
      <c r="E400" s="17">
        <f t="shared" si="94"/>
        <v>13</v>
      </c>
      <c r="F400" s="17">
        <f t="shared" si="94"/>
        <v>52.5</v>
      </c>
      <c r="G400" s="17">
        <f t="shared" si="94"/>
        <v>9.5</v>
      </c>
      <c r="H400" s="17">
        <f t="shared" si="94"/>
        <v>802</v>
      </c>
    </row>
    <row r="401" spans="1:8" x14ac:dyDescent="0.3">
      <c r="A401" s="16" t="s">
        <v>850</v>
      </c>
      <c r="B401" s="17">
        <v>410</v>
      </c>
      <c r="C401" s="17">
        <v>14</v>
      </c>
      <c r="D401" s="17">
        <v>8</v>
      </c>
      <c r="E401" s="17">
        <v>12</v>
      </c>
      <c r="F401" s="17">
        <v>60</v>
      </c>
      <c r="G401" s="17">
        <v>0</v>
      </c>
      <c r="H401" s="17">
        <v>340</v>
      </c>
    </row>
    <row r="402" spans="1:8" x14ac:dyDescent="0.3">
      <c r="A402" s="16" t="s">
        <v>855</v>
      </c>
      <c r="B402" s="17">
        <v>180</v>
      </c>
      <c r="C402" s="17">
        <v>15</v>
      </c>
      <c r="D402" s="17">
        <v>2.5</v>
      </c>
      <c r="E402" s="17">
        <v>7</v>
      </c>
      <c r="F402" s="17">
        <v>8</v>
      </c>
      <c r="G402" s="17">
        <v>2</v>
      </c>
      <c r="H402" s="17">
        <v>135</v>
      </c>
    </row>
    <row r="403" spans="1:8" x14ac:dyDescent="0.3">
      <c r="A403" s="16" t="s">
        <v>856</v>
      </c>
      <c r="B403" s="17">
        <v>50</v>
      </c>
      <c r="C403" s="17">
        <v>0</v>
      </c>
      <c r="D403" s="17">
        <v>0</v>
      </c>
      <c r="E403" s="17">
        <v>0</v>
      </c>
      <c r="F403" s="17">
        <v>13</v>
      </c>
      <c r="G403" s="17">
        <v>0</v>
      </c>
      <c r="H403" s="17">
        <v>0</v>
      </c>
    </row>
    <row r="404" spans="1:8" x14ac:dyDescent="0.3">
      <c r="A404" s="16" t="s">
        <v>857</v>
      </c>
      <c r="B404" s="17">
        <v>180</v>
      </c>
      <c r="C404" s="17">
        <v>9</v>
      </c>
      <c r="D404" s="17">
        <v>2</v>
      </c>
      <c r="E404" s="17">
        <v>2</v>
      </c>
      <c r="F404" s="17">
        <v>22</v>
      </c>
      <c r="G404" s="17">
        <v>0</v>
      </c>
      <c r="H404" s="17">
        <v>170</v>
      </c>
    </row>
    <row r="405" spans="1:8" x14ac:dyDescent="0.3">
      <c r="A405" s="16" t="s">
        <v>858</v>
      </c>
      <c r="B405" s="17">
        <f>3*190</f>
        <v>570</v>
      </c>
      <c r="C405" s="17">
        <f>3*4</f>
        <v>12</v>
      </c>
      <c r="D405" s="17">
        <f>2.5*3</f>
        <v>7.5</v>
      </c>
      <c r="E405" s="17">
        <f>7*3</f>
        <v>21</v>
      </c>
      <c r="F405" s="17">
        <f>32*3</f>
        <v>96</v>
      </c>
      <c r="G405" s="17">
        <f>0*3</f>
        <v>0</v>
      </c>
      <c r="H405" s="17">
        <f>100*3</f>
        <v>300</v>
      </c>
    </row>
    <row r="406" spans="1:8" x14ac:dyDescent="0.3">
      <c r="A406" s="16" t="s">
        <v>862</v>
      </c>
      <c r="B406" s="17">
        <v>60</v>
      </c>
      <c r="C406" s="17">
        <v>1</v>
      </c>
      <c r="D406" s="17">
        <v>0</v>
      </c>
      <c r="E406" s="17">
        <v>2</v>
      </c>
      <c r="F406" s="17">
        <v>10</v>
      </c>
      <c r="G406" s="17">
        <v>2</v>
      </c>
      <c r="H406" s="17">
        <v>500</v>
      </c>
    </row>
    <row r="407" spans="1:8" x14ac:dyDescent="0.3">
      <c r="A407" s="16" t="s">
        <v>863</v>
      </c>
      <c r="B407" s="17">
        <v>200</v>
      </c>
      <c r="C407" s="17">
        <v>7</v>
      </c>
      <c r="D407" s="17">
        <v>2.5</v>
      </c>
      <c r="E407" s="17">
        <v>4</v>
      </c>
      <c r="F407" s="17">
        <v>32</v>
      </c>
      <c r="G407" s="17">
        <v>1</v>
      </c>
      <c r="H407" s="17">
        <v>370</v>
      </c>
    </row>
    <row r="408" spans="1:8" x14ac:dyDescent="0.3">
      <c r="A408" s="16" t="s">
        <v>864</v>
      </c>
      <c r="B408" s="17">
        <v>310</v>
      </c>
      <c r="C408" s="17">
        <v>15</v>
      </c>
      <c r="D408" s="17">
        <v>8</v>
      </c>
      <c r="E408" s="17">
        <v>15</v>
      </c>
      <c r="F408" s="17">
        <v>28</v>
      </c>
      <c r="G408" s="17">
        <v>1</v>
      </c>
      <c r="H408" s="17">
        <v>630</v>
      </c>
    </row>
    <row r="409" spans="1:8" x14ac:dyDescent="0.3">
      <c r="A409" s="16" t="s">
        <v>865</v>
      </c>
      <c r="B409" s="17">
        <v>320</v>
      </c>
      <c r="C409" s="17">
        <v>17</v>
      </c>
      <c r="D409" s="17">
        <v>7</v>
      </c>
      <c r="E409" s="17">
        <v>12</v>
      </c>
      <c r="F409" s="17">
        <v>29</v>
      </c>
      <c r="G409" s="17">
        <v>2</v>
      </c>
      <c r="H409" s="17">
        <v>480</v>
      </c>
    </row>
    <row r="410" spans="1:8" x14ac:dyDescent="0.3">
      <c r="A410" s="16" t="s">
        <v>866</v>
      </c>
      <c r="B410" s="17">
        <v>260</v>
      </c>
      <c r="C410" s="17">
        <v>9</v>
      </c>
      <c r="D410" s="17">
        <v>5</v>
      </c>
      <c r="E410" s="17">
        <v>11</v>
      </c>
      <c r="F410" s="17">
        <v>33</v>
      </c>
      <c r="G410" s="17">
        <v>2</v>
      </c>
      <c r="H410" s="17">
        <v>460</v>
      </c>
    </row>
    <row r="411" spans="1:8" x14ac:dyDescent="0.3">
      <c r="A411" s="16" t="s">
        <v>867</v>
      </c>
      <c r="B411" s="17">
        <v>140</v>
      </c>
      <c r="C411" s="17">
        <v>5</v>
      </c>
      <c r="D411" s="17">
        <v>0</v>
      </c>
      <c r="E411" s="17">
        <v>2</v>
      </c>
      <c r="F411" s="17">
        <v>22</v>
      </c>
      <c r="G411" s="17">
        <v>2</v>
      </c>
      <c r="H411" s="17">
        <v>240</v>
      </c>
    </row>
    <row r="412" spans="1:8" x14ac:dyDescent="0.3">
      <c r="A412" s="16" t="s">
        <v>868</v>
      </c>
      <c r="B412" s="17">
        <v>180</v>
      </c>
      <c r="C412" s="17">
        <v>9</v>
      </c>
      <c r="D412" s="17">
        <v>6</v>
      </c>
      <c r="E412" s="17">
        <v>3</v>
      </c>
      <c r="F412" s="17">
        <v>22</v>
      </c>
      <c r="G412" s="17">
        <v>1</v>
      </c>
      <c r="H412" s="17">
        <v>55</v>
      </c>
    </row>
    <row r="413" spans="1:8" x14ac:dyDescent="0.3">
      <c r="A413" s="16" t="s">
        <v>876</v>
      </c>
      <c r="B413" s="17">
        <v>720</v>
      </c>
      <c r="C413" s="17">
        <v>50</v>
      </c>
      <c r="D413" s="17">
        <v>17</v>
      </c>
      <c r="E413" s="17">
        <v>11</v>
      </c>
      <c r="F413" s="17">
        <v>58</v>
      </c>
      <c r="G413" s="17">
        <v>3</v>
      </c>
      <c r="H413" s="17">
        <v>1940</v>
      </c>
    </row>
    <row r="414" spans="1:8" x14ac:dyDescent="0.3">
      <c r="A414" s="16" t="s">
        <v>877</v>
      </c>
      <c r="B414" s="17">
        <v>670</v>
      </c>
      <c r="C414" s="17">
        <v>22</v>
      </c>
      <c r="D414" s="17">
        <v>3.5</v>
      </c>
      <c r="E414" s="17">
        <v>32</v>
      </c>
      <c r="F414" s="17">
        <v>84</v>
      </c>
      <c r="G414" s="17">
        <v>4</v>
      </c>
      <c r="H414" s="17">
        <v>3700</v>
      </c>
    </row>
    <row r="415" spans="1:8" x14ac:dyDescent="0.3">
      <c r="A415" s="16" t="s">
        <v>878</v>
      </c>
      <c r="B415" s="17">
        <v>140</v>
      </c>
      <c r="C415" s="17">
        <v>6</v>
      </c>
      <c r="D415" s="17">
        <v>1</v>
      </c>
      <c r="E415" s="17">
        <v>7</v>
      </c>
      <c r="F415" s="17">
        <v>13</v>
      </c>
      <c r="G415" s="17">
        <v>3</v>
      </c>
      <c r="H415" s="17">
        <v>400</v>
      </c>
    </row>
    <row r="416" spans="1:8" x14ac:dyDescent="0.3">
      <c r="A416" s="16" t="s">
        <v>879</v>
      </c>
      <c r="B416" s="17">
        <v>150</v>
      </c>
      <c r="C416" s="17">
        <v>7</v>
      </c>
      <c r="D416" s="17">
        <v>0.5</v>
      </c>
      <c r="E416" s="17">
        <v>2</v>
      </c>
      <c r="F416" s="17">
        <v>21</v>
      </c>
      <c r="G416" s="17">
        <v>2</v>
      </c>
      <c r="H416" s="17">
        <v>290</v>
      </c>
    </row>
    <row r="417" spans="1:8" x14ac:dyDescent="0.3">
      <c r="A417" s="16" t="s">
        <v>880</v>
      </c>
      <c r="B417" s="17">
        <v>160</v>
      </c>
      <c r="C417" s="17">
        <v>9</v>
      </c>
      <c r="D417" s="17">
        <v>3</v>
      </c>
      <c r="E417" s="17">
        <v>3</v>
      </c>
      <c r="F417" s="17">
        <v>18</v>
      </c>
      <c r="G417" s="17">
        <v>1</v>
      </c>
      <c r="H417" s="17">
        <v>110</v>
      </c>
    </row>
    <row r="418" spans="1:8" x14ac:dyDescent="0.3">
      <c r="A418" s="16" t="s">
        <v>883</v>
      </c>
      <c r="B418" s="17">
        <f>160*5</f>
        <v>800</v>
      </c>
      <c r="C418" s="17">
        <f>9*5</f>
        <v>45</v>
      </c>
      <c r="D418" s="17">
        <f>1*5</f>
        <v>5</v>
      </c>
      <c r="E418" s="17">
        <f>3*5</f>
        <v>15</v>
      </c>
      <c r="F418" s="17">
        <f>16*5</f>
        <v>80</v>
      </c>
      <c r="G418" s="17">
        <f>3*5</f>
        <v>15</v>
      </c>
      <c r="H418" s="17">
        <f>210*5</f>
        <v>1050</v>
      </c>
    </row>
    <row r="419" spans="1:8" x14ac:dyDescent="0.3">
      <c r="A419" s="16" t="s">
        <v>884</v>
      </c>
      <c r="B419" s="17">
        <v>70</v>
      </c>
      <c r="C419" s="17">
        <v>6</v>
      </c>
      <c r="D419" s="17">
        <v>3.5</v>
      </c>
      <c r="E419" s="17">
        <v>5</v>
      </c>
      <c r="F419" s="17">
        <v>0</v>
      </c>
      <c r="G419" s="17">
        <v>0</v>
      </c>
      <c r="H419" s="17">
        <v>170</v>
      </c>
    </row>
    <row r="420" spans="1:8" x14ac:dyDescent="0.3">
      <c r="A420" s="16" t="s">
        <v>885</v>
      </c>
      <c r="B420" s="17">
        <v>290</v>
      </c>
      <c r="C420" s="17">
        <v>5</v>
      </c>
      <c r="D420" s="17">
        <v>3</v>
      </c>
      <c r="E420" s="17">
        <v>9</v>
      </c>
      <c r="F420" s="17">
        <v>52</v>
      </c>
      <c r="G420" s="17">
        <v>1</v>
      </c>
      <c r="H420" s="17">
        <v>210</v>
      </c>
    </row>
    <row r="421" spans="1:8" x14ac:dyDescent="0.3">
      <c r="A421" s="16" t="s">
        <v>886</v>
      </c>
      <c r="B421" s="17">
        <v>130</v>
      </c>
      <c r="C421" s="17">
        <v>4.5</v>
      </c>
      <c r="D421" s="17">
        <v>0.5</v>
      </c>
      <c r="E421" s="17">
        <v>2</v>
      </c>
      <c r="F421" s="17">
        <v>19</v>
      </c>
      <c r="G421" s="17">
        <v>1</v>
      </c>
      <c r="H421" s="17">
        <v>250</v>
      </c>
    </row>
    <row r="422" spans="1:8" x14ac:dyDescent="0.3">
      <c r="A422" s="16" t="s">
        <v>887</v>
      </c>
      <c r="B422" s="17">
        <v>168</v>
      </c>
      <c r="C422" s="17">
        <v>4</v>
      </c>
      <c r="D422" s="17">
        <v>1</v>
      </c>
      <c r="E422" s="17">
        <v>4</v>
      </c>
      <c r="F422" s="17">
        <v>27</v>
      </c>
      <c r="G422" s="17">
        <v>1</v>
      </c>
      <c r="H422" s="17">
        <v>301</v>
      </c>
    </row>
    <row r="423" spans="1:8" x14ac:dyDescent="0.3">
      <c r="A423" s="16" t="s">
        <v>889</v>
      </c>
      <c r="B423" s="17">
        <f>B200*4</f>
        <v>140</v>
      </c>
      <c r="C423" s="17">
        <f t="shared" ref="C423:H423" si="95">C200*4</f>
        <v>6</v>
      </c>
      <c r="D423" s="17">
        <f t="shared" si="95"/>
        <v>0</v>
      </c>
      <c r="E423" s="17">
        <f t="shared" si="95"/>
        <v>0</v>
      </c>
      <c r="F423" s="17">
        <f t="shared" si="95"/>
        <v>20</v>
      </c>
      <c r="G423" s="17">
        <f t="shared" si="95"/>
        <v>0</v>
      </c>
      <c r="H423" s="17">
        <f t="shared" si="95"/>
        <v>60</v>
      </c>
    </row>
    <row r="424" spans="1:8" x14ac:dyDescent="0.3">
      <c r="A424" s="16" t="s">
        <v>890</v>
      </c>
      <c r="B424" s="17">
        <f>370*2</f>
        <v>740</v>
      </c>
      <c r="C424" s="17">
        <f>16*2</f>
        <v>32</v>
      </c>
      <c r="D424" s="17">
        <f>16*2</f>
        <v>32</v>
      </c>
      <c r="E424" s="17">
        <f>0*2</f>
        <v>0</v>
      </c>
      <c r="F424" s="17">
        <f>64*2</f>
        <v>128</v>
      </c>
      <c r="G424" s="17">
        <f>0*2</f>
        <v>0</v>
      </c>
      <c r="H424" s="17">
        <f>5*2</f>
        <v>10</v>
      </c>
    </row>
    <row r="425" spans="1:8" x14ac:dyDescent="0.3">
      <c r="A425" s="16" t="s">
        <v>891</v>
      </c>
      <c r="B425" s="17">
        <v>810</v>
      </c>
      <c r="C425" s="17">
        <v>33</v>
      </c>
      <c r="D425" s="17">
        <v>15</v>
      </c>
      <c r="E425" s="17">
        <v>17</v>
      </c>
      <c r="F425" s="17">
        <v>106</v>
      </c>
      <c r="G425" s="17">
        <v>2</v>
      </c>
      <c r="H425" s="17">
        <v>590</v>
      </c>
    </row>
    <row r="426" spans="1:8" x14ac:dyDescent="0.3">
      <c r="A426" s="16" t="s">
        <v>897</v>
      </c>
      <c r="B426" s="17">
        <v>210</v>
      </c>
      <c r="C426" s="17">
        <v>8</v>
      </c>
      <c r="D426" s="17">
        <v>2</v>
      </c>
      <c r="E426" s="17">
        <v>5</v>
      </c>
      <c r="F426" s="17">
        <v>31</v>
      </c>
      <c r="G426" s="17">
        <v>1</v>
      </c>
      <c r="H426" s="17">
        <v>320</v>
      </c>
    </row>
    <row r="427" spans="1:8" x14ac:dyDescent="0.3">
      <c r="A427" s="16" t="s">
        <v>898</v>
      </c>
      <c r="B427" s="17">
        <v>60</v>
      </c>
      <c r="C427" s="17">
        <v>0</v>
      </c>
      <c r="D427" s="17">
        <v>0</v>
      </c>
      <c r="E427" s="17">
        <v>1</v>
      </c>
      <c r="F427" s="17">
        <v>11</v>
      </c>
      <c r="G427" s="17">
        <v>0</v>
      </c>
      <c r="H427" s="17">
        <v>25</v>
      </c>
    </row>
    <row r="428" spans="1:8" x14ac:dyDescent="0.3">
      <c r="A428" s="16" t="s">
        <v>902</v>
      </c>
      <c r="B428" s="17">
        <f>110*2</f>
        <v>220</v>
      </c>
      <c r="C428" s="17">
        <f>1.5*2</f>
        <v>3</v>
      </c>
      <c r="D428" s="17">
        <f>0*2</f>
        <v>0</v>
      </c>
      <c r="E428" s="17">
        <f>3*2</f>
        <v>6</v>
      </c>
      <c r="F428" s="17">
        <f>20*2</f>
        <v>40</v>
      </c>
      <c r="G428" s="17">
        <f>1*2</f>
        <v>2</v>
      </c>
      <c r="H428" s="17">
        <f>190*2</f>
        <v>380</v>
      </c>
    </row>
    <row r="429" spans="1:8" x14ac:dyDescent="0.3">
      <c r="A429" s="16" t="s">
        <v>905</v>
      </c>
      <c r="B429" s="17">
        <v>70</v>
      </c>
      <c r="C429" s="17">
        <v>0</v>
      </c>
      <c r="D429" s="17">
        <v>0</v>
      </c>
      <c r="E429" s="17">
        <v>0</v>
      </c>
      <c r="F429" s="17">
        <v>17</v>
      </c>
      <c r="G429" s="17">
        <v>0</v>
      </c>
      <c r="H429" s="17">
        <v>20</v>
      </c>
    </row>
    <row r="430" spans="1:8" x14ac:dyDescent="0.3">
      <c r="A430" s="16" t="s">
        <v>907</v>
      </c>
      <c r="B430" s="17">
        <v>250</v>
      </c>
      <c r="C430" s="17">
        <v>13</v>
      </c>
      <c r="D430" s="17">
        <v>3</v>
      </c>
      <c r="E430" s="17">
        <v>6</v>
      </c>
      <c r="F430" s="17">
        <v>26</v>
      </c>
      <c r="G430" s="17">
        <v>0</v>
      </c>
      <c r="H430" s="17">
        <v>350</v>
      </c>
    </row>
    <row r="431" spans="1:8" x14ac:dyDescent="0.3">
      <c r="A431" s="16" t="s">
        <v>908</v>
      </c>
      <c r="B431" s="17">
        <v>210</v>
      </c>
      <c r="C431" s="17">
        <v>11</v>
      </c>
      <c r="D431" s="17">
        <v>9</v>
      </c>
      <c r="E431" s="17">
        <v>20</v>
      </c>
      <c r="F431" s="17">
        <v>7</v>
      </c>
      <c r="G431" s="17">
        <v>1</v>
      </c>
      <c r="H431" s="17">
        <v>450</v>
      </c>
    </row>
    <row r="432" spans="1:8" x14ac:dyDescent="0.3">
      <c r="A432" s="16" t="s">
        <v>909</v>
      </c>
      <c r="B432" s="17">
        <v>463</v>
      </c>
      <c r="C432" s="17">
        <v>15.6</v>
      </c>
      <c r="D432" s="17">
        <v>4.5</v>
      </c>
      <c r="E432" s="17">
        <v>4.4000000000000004</v>
      </c>
      <c r="F432" s="17">
        <v>78.900000000000006</v>
      </c>
      <c r="G432" s="17">
        <v>2.6</v>
      </c>
      <c r="H432" s="17">
        <v>265</v>
      </c>
    </row>
    <row r="433" spans="1:9" x14ac:dyDescent="0.3">
      <c r="A433" s="16" t="s">
        <v>917</v>
      </c>
      <c r="B433" s="17">
        <v>130</v>
      </c>
      <c r="C433" s="17">
        <v>7</v>
      </c>
      <c r="D433" s="17">
        <v>1</v>
      </c>
      <c r="E433" s="17">
        <v>3</v>
      </c>
      <c r="F433" s="17">
        <v>15</v>
      </c>
      <c r="G433" s="17">
        <v>2</v>
      </c>
      <c r="H433" s="17">
        <v>310</v>
      </c>
      <c r="I433" s="17"/>
    </row>
    <row r="434" spans="1:9" x14ac:dyDescent="0.3">
      <c r="A434" s="16" t="s">
        <v>918</v>
      </c>
      <c r="B434" s="17">
        <v>440</v>
      </c>
      <c r="C434" s="17">
        <v>11</v>
      </c>
      <c r="D434" s="17">
        <v>2</v>
      </c>
      <c r="E434" s="17">
        <v>6</v>
      </c>
      <c r="F434" s="17">
        <v>78</v>
      </c>
      <c r="G434" s="17">
        <v>6</v>
      </c>
      <c r="H434" s="17">
        <v>1660</v>
      </c>
    </row>
    <row r="435" spans="1:9" x14ac:dyDescent="0.3">
      <c r="A435" s="16" t="s">
        <v>919</v>
      </c>
      <c r="B435" s="17">
        <v>180</v>
      </c>
      <c r="C435" s="17">
        <v>3.5</v>
      </c>
      <c r="D435" s="17">
        <v>2.5</v>
      </c>
      <c r="E435" s="17">
        <v>5</v>
      </c>
      <c r="F435" s="17">
        <v>32</v>
      </c>
      <c r="G435" s="17">
        <v>0</v>
      </c>
      <c r="H435" s="17">
        <v>120</v>
      </c>
    </row>
    <row r="436" spans="1:9" x14ac:dyDescent="0.3">
      <c r="A436" s="16" t="s">
        <v>923</v>
      </c>
      <c r="B436" s="17">
        <v>140</v>
      </c>
      <c r="C436" s="17">
        <v>5</v>
      </c>
      <c r="D436" s="17">
        <f t="shared" ref="D436" si="96">D429*6</f>
        <v>0</v>
      </c>
      <c r="E436" s="17">
        <v>1</v>
      </c>
      <c r="F436" s="17">
        <v>24</v>
      </c>
      <c r="G436" s="17">
        <v>3</v>
      </c>
      <c r="H436" s="17">
        <v>140</v>
      </c>
    </row>
    <row r="437" spans="1:9" x14ac:dyDescent="0.3">
      <c r="A437" s="16" t="s">
        <v>925</v>
      </c>
      <c r="B437" s="17">
        <v>134</v>
      </c>
      <c r="C437" s="17">
        <v>0.2</v>
      </c>
      <c r="D437" s="17">
        <v>0.1</v>
      </c>
      <c r="E437" s="17">
        <v>3.6</v>
      </c>
      <c r="F437" s="17">
        <v>29.6</v>
      </c>
      <c r="G437" s="17">
        <v>3.2</v>
      </c>
      <c r="H437" s="17">
        <v>11</v>
      </c>
    </row>
    <row r="438" spans="1:9" x14ac:dyDescent="0.3">
      <c r="A438" s="16" t="s">
        <v>924</v>
      </c>
      <c r="B438" s="17">
        <v>0</v>
      </c>
      <c r="C438" s="17">
        <v>0</v>
      </c>
      <c r="D438" s="17">
        <v>0</v>
      </c>
      <c r="E438" s="17">
        <v>0</v>
      </c>
      <c r="F438" s="17">
        <v>0</v>
      </c>
      <c r="G438" s="17">
        <v>0</v>
      </c>
      <c r="H438" s="17">
        <v>2325</v>
      </c>
    </row>
    <row r="439" spans="1:9" x14ac:dyDescent="0.3">
      <c r="A439" s="16" t="s">
        <v>926</v>
      </c>
      <c r="B439" s="17">
        <v>102</v>
      </c>
      <c r="C439" s="17">
        <v>11.5</v>
      </c>
      <c r="D439" s="17">
        <v>7.3</v>
      </c>
      <c r="E439" s="17">
        <v>0.1</v>
      </c>
      <c r="F439" s="17">
        <v>0.1</v>
      </c>
      <c r="G439" s="17">
        <v>0</v>
      </c>
      <c r="H439" s="17">
        <v>82</v>
      </c>
    </row>
    <row r="440" spans="1:9" x14ac:dyDescent="0.3">
      <c r="A440" s="16" t="s">
        <v>927</v>
      </c>
      <c r="B440" s="17">
        <v>192</v>
      </c>
      <c r="C440" s="17">
        <v>10.3</v>
      </c>
      <c r="D440" s="17">
        <v>2.7</v>
      </c>
      <c r="E440" s="17">
        <v>2.2999999999999998</v>
      </c>
      <c r="F440" s="17">
        <v>22.9</v>
      </c>
      <c r="G440" s="17">
        <v>0.7</v>
      </c>
      <c r="H440" s="17">
        <v>181</v>
      </c>
    </row>
    <row r="441" spans="1:9" x14ac:dyDescent="0.3">
      <c r="A441" s="16" t="s">
        <v>929</v>
      </c>
      <c r="B441" s="17">
        <v>400</v>
      </c>
      <c r="C441" s="17">
        <v>11</v>
      </c>
      <c r="D441" s="17">
        <v>1</v>
      </c>
      <c r="E441" s="17">
        <v>12</v>
      </c>
      <c r="F441" s="17">
        <v>63</v>
      </c>
      <c r="G441" s="17">
        <v>2</v>
      </c>
      <c r="H441" s="17">
        <v>890</v>
      </c>
    </row>
    <row r="442" spans="1:9" x14ac:dyDescent="0.3">
      <c r="A442" s="16" t="s">
        <v>934</v>
      </c>
      <c r="B442" s="17">
        <v>2</v>
      </c>
      <c r="C442" s="17">
        <v>0.1</v>
      </c>
      <c r="D442" s="17">
        <v>0.1</v>
      </c>
      <c r="E442" s="17">
        <v>0.2</v>
      </c>
      <c r="F442" s="17">
        <v>0.3</v>
      </c>
      <c r="G442" s="17">
        <v>0.2</v>
      </c>
      <c r="H442" s="17">
        <v>1</v>
      </c>
    </row>
    <row r="443" spans="1:9" x14ac:dyDescent="0.3">
      <c r="A443" s="16" t="s">
        <v>935</v>
      </c>
      <c r="B443" s="17">
        <f>B171+B162+B251+B163+B167+B169+B172+B173+B161</f>
        <v>610</v>
      </c>
      <c r="C443" s="17">
        <f t="shared" ref="C443:H443" si="97">C171+C162+C251+C163+C167+C169+C172+C173+C161</f>
        <v>15.2</v>
      </c>
      <c r="D443" s="17">
        <f t="shared" si="97"/>
        <v>3.2</v>
      </c>
      <c r="E443" s="17">
        <f t="shared" si="97"/>
        <v>23.6</v>
      </c>
      <c r="F443" s="17">
        <f t="shared" si="97"/>
        <v>93.9</v>
      </c>
      <c r="G443" s="17">
        <f t="shared" si="97"/>
        <v>7</v>
      </c>
      <c r="H443" s="17">
        <f t="shared" si="97"/>
        <v>1954</v>
      </c>
    </row>
    <row r="444" spans="1:9" x14ac:dyDescent="0.3">
      <c r="A444" s="16" t="s">
        <v>939</v>
      </c>
      <c r="B444" s="17">
        <f>B37*4.5+B117+B423*9+B137+B50*2</f>
        <v>2861</v>
      </c>
      <c r="C444" s="17">
        <f t="shared" ref="C444:H444" si="98">C37*4.5+C117+C423*9+C137+C50*2</f>
        <v>177.1</v>
      </c>
      <c r="D444" s="17">
        <f t="shared" si="98"/>
        <v>29.1</v>
      </c>
      <c r="E444" s="17">
        <f t="shared" si="98"/>
        <v>96.8</v>
      </c>
      <c r="F444" s="17">
        <f t="shared" si="98"/>
        <v>215.70000000000002</v>
      </c>
      <c r="G444" s="17">
        <f t="shared" si="98"/>
        <v>11.700000000000001</v>
      </c>
      <c r="H444" s="17">
        <f t="shared" si="98"/>
        <v>2124.4</v>
      </c>
    </row>
    <row r="445" spans="1:9" x14ac:dyDescent="0.3">
      <c r="A445" s="16" t="s">
        <v>940</v>
      </c>
      <c r="B445" s="17">
        <f>B444/3</f>
        <v>953.66666666666663</v>
      </c>
      <c r="C445" s="17">
        <f t="shared" ref="C445:H445" si="99">C444/3</f>
        <v>59.033333333333331</v>
      </c>
      <c r="D445" s="17">
        <f t="shared" si="99"/>
        <v>9.7000000000000011</v>
      </c>
      <c r="E445" s="17">
        <f t="shared" si="99"/>
        <v>32.266666666666666</v>
      </c>
      <c r="F445" s="17">
        <f t="shared" si="99"/>
        <v>71.900000000000006</v>
      </c>
      <c r="G445" s="17">
        <f t="shared" si="99"/>
        <v>3.9000000000000004</v>
      </c>
      <c r="H445" s="17">
        <f t="shared" si="99"/>
        <v>708.13333333333333</v>
      </c>
    </row>
    <row r="446" spans="1:9" x14ac:dyDescent="0.3">
      <c r="A446" s="16" t="s">
        <v>942</v>
      </c>
      <c r="B446" s="17">
        <v>240</v>
      </c>
      <c r="C446" s="17">
        <v>27.2</v>
      </c>
      <c r="D446" s="17">
        <v>3.9</v>
      </c>
      <c r="E446" s="17">
        <v>0</v>
      </c>
      <c r="F446" s="17">
        <v>0</v>
      </c>
      <c r="G446" s="17">
        <v>0</v>
      </c>
      <c r="H446" s="17">
        <v>0</v>
      </c>
    </row>
    <row r="447" spans="1:9" x14ac:dyDescent="0.3">
      <c r="A447" s="16" t="s">
        <v>943</v>
      </c>
      <c r="B447" s="17">
        <f>B446+B161*2+B193*4+B172*4+B167+B171+B173</f>
        <v>992</v>
      </c>
      <c r="C447" s="17">
        <f t="shared" ref="C447:H447" si="100">C446+C161*2+C193*4+C172*4+C167+C171+C173</f>
        <v>61.999999999999993</v>
      </c>
      <c r="D447" s="17">
        <f t="shared" si="100"/>
        <v>19.899999999999999</v>
      </c>
      <c r="E447" s="17">
        <f t="shared" si="100"/>
        <v>25.7</v>
      </c>
      <c r="F447" s="17">
        <f t="shared" si="100"/>
        <v>84.9</v>
      </c>
      <c r="G447" s="17">
        <f t="shared" si="100"/>
        <v>6.8</v>
      </c>
      <c r="H447" s="17">
        <f t="shared" si="100"/>
        <v>574</v>
      </c>
    </row>
    <row r="448" spans="1:9" x14ac:dyDescent="0.3">
      <c r="A448" s="16" t="s">
        <v>944</v>
      </c>
      <c r="B448" s="17">
        <v>50</v>
      </c>
      <c r="C448" s="17">
        <v>0</v>
      </c>
      <c r="D448" s="17">
        <v>0</v>
      </c>
      <c r="E448" s="17">
        <v>1</v>
      </c>
      <c r="F448" s="17">
        <v>12</v>
      </c>
      <c r="G448" s="17">
        <v>2</v>
      </c>
      <c r="H448" s="17">
        <v>140</v>
      </c>
    </row>
    <row r="449" spans="1:8" x14ac:dyDescent="0.3">
      <c r="A449" s="16" t="s">
        <v>946</v>
      </c>
      <c r="B449" s="17">
        <f>180*4.5</f>
        <v>810</v>
      </c>
      <c r="C449" s="17">
        <f>1.5*4.5</f>
        <v>6.75</v>
      </c>
      <c r="D449" s="17">
        <f>0*4.5</f>
        <v>0</v>
      </c>
      <c r="E449" s="17">
        <f>13*4.5</f>
        <v>58.5</v>
      </c>
      <c r="F449" s="17">
        <f>34*4.5</f>
        <v>153</v>
      </c>
      <c r="G449" s="17">
        <f>6*4.5</f>
        <v>27</v>
      </c>
      <c r="H449" s="17">
        <f>0*4.5</f>
        <v>0</v>
      </c>
    </row>
    <row r="450" spans="1:8" x14ac:dyDescent="0.3">
      <c r="A450" s="16" t="s">
        <v>945</v>
      </c>
      <c r="B450" s="17">
        <f>B37*4+B449+B29*3+B50*2</f>
        <v>2276</v>
      </c>
      <c r="C450" s="17">
        <f t="shared" ref="C450:H450" si="101">C37*4+C449+C29*3+C50*2</f>
        <v>107.05</v>
      </c>
      <c r="D450" s="17">
        <f t="shared" si="101"/>
        <v>24</v>
      </c>
      <c r="E450" s="17">
        <f t="shared" si="101"/>
        <v>139.4</v>
      </c>
      <c r="F450" s="17">
        <f t="shared" si="101"/>
        <v>217.7</v>
      </c>
      <c r="G450" s="17">
        <f t="shared" si="101"/>
        <v>42.5</v>
      </c>
      <c r="H450" s="17">
        <f t="shared" si="101"/>
        <v>1400</v>
      </c>
    </row>
    <row r="451" spans="1:8" x14ac:dyDescent="0.3">
      <c r="A451" s="16" t="s">
        <v>947</v>
      </c>
      <c r="B451" s="17">
        <f>B450/4</f>
        <v>569</v>
      </c>
      <c r="C451" s="17">
        <f t="shared" ref="C451:H451" si="102">C450/4</f>
        <v>26.762499999999999</v>
      </c>
      <c r="D451" s="17">
        <f t="shared" si="102"/>
        <v>6</v>
      </c>
      <c r="E451" s="17">
        <f t="shared" si="102"/>
        <v>34.85</v>
      </c>
      <c r="F451" s="17">
        <f t="shared" si="102"/>
        <v>54.424999999999997</v>
      </c>
      <c r="G451" s="17">
        <f t="shared" si="102"/>
        <v>10.625</v>
      </c>
      <c r="H451" s="17">
        <f t="shared" si="102"/>
        <v>350</v>
      </c>
    </row>
    <row r="452" spans="1:8" x14ac:dyDescent="0.3">
      <c r="A452" s="16" t="s">
        <v>954</v>
      </c>
      <c r="B452" s="17">
        <f>B37*4+B449+B50*2+B38+B137</f>
        <v>2285</v>
      </c>
      <c r="C452" s="17">
        <f t="shared" ref="C452:H452" si="103">C37*4+C449+C50*2+C38+C137</f>
        <v>120.59</v>
      </c>
      <c r="D452" s="17">
        <f t="shared" si="103"/>
        <v>26.54</v>
      </c>
      <c r="E452" s="17">
        <f t="shared" si="103"/>
        <v>146.19999999999999</v>
      </c>
      <c r="F452" s="17">
        <f t="shared" si="103"/>
        <v>187.4</v>
      </c>
      <c r="G452" s="17">
        <f t="shared" si="103"/>
        <v>37.9</v>
      </c>
      <c r="H452" s="17">
        <f t="shared" si="103"/>
        <v>1434.03</v>
      </c>
    </row>
    <row r="453" spans="1:8" x14ac:dyDescent="0.3">
      <c r="A453" s="16" t="s">
        <v>955</v>
      </c>
      <c r="B453" s="17">
        <f>B452/4</f>
        <v>571.25</v>
      </c>
      <c r="C453" s="17">
        <f t="shared" ref="C453:H453" si="104">C452/4</f>
        <v>30.147500000000001</v>
      </c>
      <c r="D453" s="17">
        <f t="shared" si="104"/>
        <v>6.6349999999999998</v>
      </c>
      <c r="E453" s="17">
        <f t="shared" si="104"/>
        <v>36.549999999999997</v>
      </c>
      <c r="F453" s="17">
        <f t="shared" si="104"/>
        <v>46.85</v>
      </c>
      <c r="G453" s="17">
        <f t="shared" si="104"/>
        <v>9.4749999999999996</v>
      </c>
      <c r="H453" s="17">
        <f t="shared" si="104"/>
        <v>358.50749999999999</v>
      </c>
    </row>
    <row r="454" spans="1:8" x14ac:dyDescent="0.3">
      <c r="A454" s="16" t="s">
        <v>958</v>
      </c>
      <c r="B454" s="17">
        <f>B38+B37*4+B137+B29*3</f>
        <v>1421</v>
      </c>
      <c r="C454" s="17">
        <f t="shared" ref="C454:H454" si="105">C38+C37*4+C137+C29*3</f>
        <v>86.14</v>
      </c>
      <c r="D454" s="17">
        <f t="shared" si="105"/>
        <v>22.54</v>
      </c>
      <c r="E454" s="17">
        <f t="shared" si="105"/>
        <v>88.600000000000009</v>
      </c>
      <c r="F454" s="17">
        <f t="shared" si="105"/>
        <v>79.099999999999994</v>
      </c>
      <c r="G454" s="17">
        <f t="shared" si="105"/>
        <v>18.399999999999999</v>
      </c>
      <c r="H454" s="17">
        <f t="shared" si="105"/>
        <v>1434.03</v>
      </c>
    </row>
    <row r="455" spans="1:8" x14ac:dyDescent="0.3">
      <c r="A455" s="16" t="s">
        <v>989</v>
      </c>
      <c r="B455" s="17">
        <v>7</v>
      </c>
      <c r="C455" s="17">
        <v>0</v>
      </c>
      <c r="D455" s="17">
        <v>0</v>
      </c>
      <c r="E455" s="17">
        <v>0.7</v>
      </c>
      <c r="F455" s="17">
        <v>1</v>
      </c>
      <c r="G455" s="17">
        <v>0.2</v>
      </c>
      <c r="H455" s="17">
        <v>17</v>
      </c>
    </row>
    <row r="456" spans="1:8" x14ac:dyDescent="0.3">
      <c r="A456" s="16" t="s">
        <v>990</v>
      </c>
      <c r="B456" s="17">
        <v>25</v>
      </c>
      <c r="C456" s="17">
        <v>0</v>
      </c>
      <c r="D456" s="17">
        <v>0</v>
      </c>
      <c r="E456" s="17">
        <v>3</v>
      </c>
      <c r="F456" s="17">
        <v>1</v>
      </c>
      <c r="G456" s="17">
        <v>0</v>
      </c>
      <c r="H456" s="17">
        <v>350</v>
      </c>
    </row>
    <row r="457" spans="1:8" x14ac:dyDescent="0.3">
      <c r="A457" s="16" t="s">
        <v>991</v>
      </c>
      <c r="B457" s="17">
        <f>B167+B169/4+B171+B172*12+B455+B446+B161*3+B456</f>
        <v>969</v>
      </c>
      <c r="C457" s="17">
        <f t="shared" ref="C457:H457" si="106">C167+C169/4+C171+C172*12+C455+C446+C161*3+C456</f>
        <v>46.224999999999994</v>
      </c>
      <c r="D457" s="17">
        <f t="shared" si="106"/>
        <v>8.8249999999999993</v>
      </c>
      <c r="E457" s="17">
        <f t="shared" si="106"/>
        <v>32.875</v>
      </c>
      <c r="F457" s="17">
        <f t="shared" si="106"/>
        <v>104.94999999999999</v>
      </c>
      <c r="G457" s="17">
        <f t="shared" si="106"/>
        <v>8.125</v>
      </c>
      <c r="H457" s="17">
        <f t="shared" si="106"/>
        <v>969.5</v>
      </c>
    </row>
    <row r="458" spans="1:8" x14ac:dyDescent="0.3">
      <c r="A458" s="16" t="s">
        <v>994</v>
      </c>
      <c r="B458" s="17">
        <v>50</v>
      </c>
      <c r="C458" s="17">
        <v>1</v>
      </c>
      <c r="D458" s="17">
        <v>0</v>
      </c>
      <c r="E458" s="17">
        <v>2</v>
      </c>
      <c r="F458" s="17">
        <v>7</v>
      </c>
      <c r="G458" s="17">
        <v>2</v>
      </c>
      <c r="H458" s="17">
        <v>260</v>
      </c>
    </row>
    <row r="459" spans="1:8" x14ac:dyDescent="0.3">
      <c r="A459" s="16" t="s">
        <v>995</v>
      </c>
      <c r="B459" s="17">
        <v>120</v>
      </c>
      <c r="C459" s="17">
        <v>0</v>
      </c>
      <c r="D459" s="17">
        <v>0</v>
      </c>
      <c r="E459" s="17">
        <v>0</v>
      </c>
      <c r="F459" s="17">
        <v>29</v>
      </c>
      <c r="G459" s="17">
        <v>0</v>
      </c>
      <c r="H459" s="17">
        <v>16</v>
      </c>
    </row>
    <row r="460" spans="1:8" x14ac:dyDescent="0.3">
      <c r="A460" s="16" t="s">
        <v>996</v>
      </c>
      <c r="B460" s="17">
        <v>104</v>
      </c>
      <c r="C460" s="17">
        <v>0</v>
      </c>
      <c r="D460" s="17">
        <v>0</v>
      </c>
      <c r="E460" s="17">
        <v>0</v>
      </c>
      <c r="F460" s="17">
        <v>26</v>
      </c>
      <c r="G460" s="17">
        <v>0</v>
      </c>
      <c r="H460" s="17">
        <v>14</v>
      </c>
    </row>
    <row r="461" spans="1:8" x14ac:dyDescent="0.3">
      <c r="A461" s="16" t="s">
        <v>997</v>
      </c>
      <c r="B461" s="17">
        <v>663</v>
      </c>
      <c r="C461" s="17">
        <v>3.9</v>
      </c>
      <c r="D461" s="17">
        <v>0.7</v>
      </c>
      <c r="E461" s="17">
        <v>24.4</v>
      </c>
      <c r="F461" s="17">
        <v>129.6</v>
      </c>
      <c r="G461" s="17">
        <v>7.6</v>
      </c>
      <c r="H461" s="17">
        <v>4</v>
      </c>
    </row>
    <row r="462" spans="1:8" x14ac:dyDescent="0.3">
      <c r="A462" s="16" t="s">
        <v>998</v>
      </c>
      <c r="B462" s="17">
        <f>B31*2+B461+4*B6+2*B19</f>
        <v>1203</v>
      </c>
      <c r="C462" s="17">
        <f t="shared" ref="C462:H462" si="107">C31*2+C461+4*C6+2*C19</f>
        <v>43.9</v>
      </c>
      <c r="D462" s="17">
        <f t="shared" si="107"/>
        <v>27.7</v>
      </c>
      <c r="E462" s="17">
        <f t="shared" si="107"/>
        <v>48.4</v>
      </c>
      <c r="F462" s="17">
        <f t="shared" si="107"/>
        <v>141.6</v>
      </c>
      <c r="G462" s="17">
        <f t="shared" si="107"/>
        <v>7.6</v>
      </c>
      <c r="H462" s="17">
        <f t="shared" si="107"/>
        <v>944</v>
      </c>
    </row>
    <row r="463" spans="1:8" x14ac:dyDescent="0.3">
      <c r="A463" s="16" t="s">
        <v>1001</v>
      </c>
      <c r="B463" s="17">
        <v>45</v>
      </c>
      <c r="C463" s="17">
        <v>0</v>
      </c>
      <c r="D463" s="17">
        <v>0</v>
      </c>
      <c r="E463" s="17">
        <v>0</v>
      </c>
      <c r="F463" s="17">
        <v>11</v>
      </c>
      <c r="G463" s="17">
        <v>1</v>
      </c>
      <c r="H463" s="17">
        <v>0</v>
      </c>
    </row>
    <row r="464" spans="1:8" x14ac:dyDescent="0.3">
      <c r="A464" s="16" t="s">
        <v>1009</v>
      </c>
      <c r="B464" s="17">
        <v>240</v>
      </c>
      <c r="C464" s="17">
        <v>14</v>
      </c>
      <c r="D464" s="17">
        <v>8</v>
      </c>
      <c r="E464" s="17">
        <v>19</v>
      </c>
      <c r="F464" s="17">
        <v>9</v>
      </c>
      <c r="G464" s="17">
        <v>3</v>
      </c>
      <c r="H464" s="17">
        <v>370</v>
      </c>
    </row>
    <row r="465" spans="1:8" x14ac:dyDescent="0.3">
      <c r="A465" s="16" t="s">
        <v>1010</v>
      </c>
      <c r="B465" s="17">
        <v>190</v>
      </c>
      <c r="C465" s="17">
        <v>2</v>
      </c>
      <c r="D465" s="17">
        <v>0.5</v>
      </c>
      <c r="E465" s="17">
        <v>6</v>
      </c>
      <c r="F465" s="17">
        <v>36</v>
      </c>
      <c r="G465" s="17">
        <v>1</v>
      </c>
      <c r="H465" s="17">
        <v>380</v>
      </c>
    </row>
    <row r="466" spans="1:8" x14ac:dyDescent="0.3">
      <c r="A466" s="16" t="s">
        <v>1011</v>
      </c>
      <c r="B466" s="17">
        <v>120</v>
      </c>
      <c r="C466" s="17">
        <v>3</v>
      </c>
      <c r="D466" s="17">
        <v>0</v>
      </c>
      <c r="E466" s="17">
        <v>2</v>
      </c>
      <c r="F466" s="17">
        <v>20</v>
      </c>
      <c r="G466" s="17">
        <v>1</v>
      </c>
      <c r="H466" s="17">
        <v>120</v>
      </c>
    </row>
    <row r="467" spans="1:8" x14ac:dyDescent="0.3">
      <c r="A467" s="16" t="s">
        <v>1015</v>
      </c>
      <c r="B467" s="17">
        <f>B457-B455-B446-B161/3</f>
        <v>677.33333333333337</v>
      </c>
      <c r="C467" s="17">
        <f t="shared" ref="C467:H467" si="108">C457-C455-C446-C161/3</f>
        <v>17.724999999999994</v>
      </c>
      <c r="D467" s="17">
        <f t="shared" si="108"/>
        <v>4.6249999999999991</v>
      </c>
      <c r="E467" s="17">
        <f t="shared" si="108"/>
        <v>29.80833333333333</v>
      </c>
      <c r="F467" s="17">
        <f t="shared" si="108"/>
        <v>98.383333333333326</v>
      </c>
      <c r="G467" s="17">
        <f t="shared" si="108"/>
        <v>7.7249999999999996</v>
      </c>
      <c r="H467" s="17">
        <f t="shared" si="108"/>
        <v>888.16666666666663</v>
      </c>
    </row>
    <row r="468" spans="1:8" x14ac:dyDescent="0.3">
      <c r="A468" s="16" t="s">
        <v>1017</v>
      </c>
      <c r="B468" s="17">
        <v>190</v>
      </c>
      <c r="C468" s="17">
        <v>16</v>
      </c>
      <c r="D468" s="17">
        <v>3.5</v>
      </c>
      <c r="E468" s="17">
        <v>7</v>
      </c>
      <c r="F468" s="17">
        <v>8</v>
      </c>
      <c r="G468" s="17">
        <v>2</v>
      </c>
      <c r="H468" s="17">
        <v>140</v>
      </c>
    </row>
    <row r="469" spans="1:8" x14ac:dyDescent="0.3">
      <c r="A469" s="16" t="s">
        <v>1016</v>
      </c>
      <c r="B469" s="17">
        <v>50</v>
      </c>
      <c r="C469" s="17">
        <v>0</v>
      </c>
      <c r="D469" s="17">
        <v>0</v>
      </c>
      <c r="E469" s="17">
        <v>0</v>
      </c>
      <c r="F469" s="17">
        <v>13</v>
      </c>
      <c r="G469" s="17">
        <v>0</v>
      </c>
      <c r="H469" s="17">
        <v>10</v>
      </c>
    </row>
    <row r="470" spans="1:8" x14ac:dyDescent="0.3">
      <c r="A470" s="16" t="s">
        <v>58</v>
      </c>
      <c r="B470" s="17">
        <v>103</v>
      </c>
      <c r="C470" s="17">
        <v>0.2</v>
      </c>
      <c r="D470" s="17">
        <v>0.1</v>
      </c>
      <c r="E470" s="17">
        <v>0.7</v>
      </c>
      <c r="F470" s="17">
        <v>27.5</v>
      </c>
      <c r="G470" s="17">
        <v>5.5</v>
      </c>
      <c r="H470" s="17">
        <v>2</v>
      </c>
    </row>
    <row r="471" spans="1:8" x14ac:dyDescent="0.3">
      <c r="A471" s="16" t="s">
        <v>1023</v>
      </c>
      <c r="B471" s="17">
        <f>B37*4+B137+B39+B40+B117+B470*3</f>
        <v>1617</v>
      </c>
      <c r="C471" s="17">
        <f t="shared" ref="C471:H471" si="109">C37*4+C137+C39+C40+C117+C470*3</f>
        <v>86.699999999999989</v>
      </c>
      <c r="D471" s="17">
        <f t="shared" si="109"/>
        <v>22.900000000000002</v>
      </c>
      <c r="E471" s="17">
        <f t="shared" si="109"/>
        <v>90.899999999999991</v>
      </c>
      <c r="F471" s="17">
        <f t="shared" si="109"/>
        <v>132.69999999999999</v>
      </c>
      <c r="G471" s="17">
        <f t="shared" si="109"/>
        <v>32.200000000000003</v>
      </c>
      <c r="H471" s="17">
        <f t="shared" si="109"/>
        <v>1420.4</v>
      </c>
    </row>
    <row r="472" spans="1:8" x14ac:dyDescent="0.3">
      <c r="A472" s="16" t="s">
        <v>1027</v>
      </c>
      <c r="B472" s="17">
        <v>110</v>
      </c>
      <c r="C472" s="17">
        <v>2</v>
      </c>
      <c r="D472" s="17">
        <v>0</v>
      </c>
      <c r="E472" s="17">
        <v>4</v>
      </c>
      <c r="F472" s="17">
        <v>19</v>
      </c>
      <c r="G472" s="17">
        <v>2</v>
      </c>
      <c r="H472" s="17">
        <v>135</v>
      </c>
    </row>
    <row r="473" spans="1:8" x14ac:dyDescent="0.3">
      <c r="A473" s="16" t="s">
        <v>1028</v>
      </c>
      <c r="B473" s="17">
        <v>180</v>
      </c>
      <c r="C473" s="17">
        <v>6</v>
      </c>
      <c r="D473" s="17">
        <v>3</v>
      </c>
      <c r="E473" s="17">
        <v>14</v>
      </c>
      <c r="F473" s="17">
        <v>19</v>
      </c>
      <c r="G473" s="17">
        <v>0</v>
      </c>
      <c r="H473" s="17">
        <v>50</v>
      </c>
    </row>
    <row r="474" spans="1:8" x14ac:dyDescent="0.3">
      <c r="A474" s="16" t="s">
        <v>1029</v>
      </c>
      <c r="B474" s="17">
        <v>100</v>
      </c>
      <c r="C474" s="17">
        <v>6</v>
      </c>
      <c r="D474" s="17">
        <v>4</v>
      </c>
      <c r="E474" s="17">
        <v>8</v>
      </c>
      <c r="F474" s="17">
        <v>2</v>
      </c>
      <c r="G474" s="17">
        <v>0</v>
      </c>
      <c r="H474" s="17">
        <v>280</v>
      </c>
    </row>
    <row r="475" spans="1:8" x14ac:dyDescent="0.3">
      <c r="A475" s="16" t="s">
        <v>1033</v>
      </c>
      <c r="B475" s="17">
        <v>450</v>
      </c>
      <c r="C475" s="17">
        <v>11</v>
      </c>
      <c r="D475" s="17">
        <v>2</v>
      </c>
      <c r="E475" s="17">
        <v>9</v>
      </c>
      <c r="F475" s="17">
        <v>80</v>
      </c>
      <c r="G475" s="17">
        <v>3</v>
      </c>
      <c r="H475" s="17">
        <v>360</v>
      </c>
    </row>
    <row r="476" spans="1:8" x14ac:dyDescent="0.3">
      <c r="A476" s="16" t="s">
        <v>1034</v>
      </c>
      <c r="B476" s="17">
        <v>110</v>
      </c>
      <c r="C476" s="17">
        <v>9</v>
      </c>
      <c r="D476" s="17">
        <v>5</v>
      </c>
      <c r="E476" s="17">
        <v>6</v>
      </c>
      <c r="F476" s="17">
        <v>1</v>
      </c>
      <c r="G476" s="17">
        <v>0</v>
      </c>
      <c r="H476" s="17">
        <v>180</v>
      </c>
    </row>
    <row r="477" spans="1:8" x14ac:dyDescent="0.3">
      <c r="A477" s="16" t="s">
        <v>1035</v>
      </c>
      <c r="B477" s="17">
        <v>80</v>
      </c>
      <c r="C477" s="17">
        <v>6</v>
      </c>
      <c r="D477" s="17">
        <v>3</v>
      </c>
      <c r="E477" s="17">
        <v>7</v>
      </c>
      <c r="F477" s="17">
        <v>2</v>
      </c>
      <c r="G477" s="17">
        <v>0</v>
      </c>
      <c r="H477" s="17">
        <v>190</v>
      </c>
    </row>
    <row r="478" spans="1:8" x14ac:dyDescent="0.3">
      <c r="A478" s="16" t="s">
        <v>1036</v>
      </c>
      <c r="B478" s="17">
        <v>110</v>
      </c>
      <c r="C478" s="17">
        <v>9</v>
      </c>
      <c r="D478" s="17">
        <v>5</v>
      </c>
      <c r="E478" s="17">
        <v>7</v>
      </c>
      <c r="F478" s="17">
        <v>0</v>
      </c>
      <c r="G478" s="17">
        <v>0</v>
      </c>
      <c r="H478" s="17">
        <v>170</v>
      </c>
    </row>
    <row r="479" spans="1:8" x14ac:dyDescent="0.3">
      <c r="A479" s="16" t="s">
        <v>1039</v>
      </c>
      <c r="B479" s="17">
        <v>35</v>
      </c>
      <c r="C479" s="17">
        <v>0</v>
      </c>
      <c r="D479" s="17">
        <v>0</v>
      </c>
      <c r="E479" s="17">
        <v>0</v>
      </c>
      <c r="F479" s="17">
        <v>7</v>
      </c>
      <c r="G479" s="17">
        <v>0</v>
      </c>
      <c r="H479" s="17">
        <v>0</v>
      </c>
    </row>
    <row r="480" spans="1:8" x14ac:dyDescent="0.3">
      <c r="A480" s="16" t="s">
        <v>1049</v>
      </c>
      <c r="B480" s="17">
        <v>220</v>
      </c>
      <c r="C480" s="17">
        <v>12</v>
      </c>
      <c r="D480" s="17">
        <v>6</v>
      </c>
      <c r="E480" s="17">
        <v>4</v>
      </c>
      <c r="F480" s="17">
        <v>25</v>
      </c>
      <c r="G480" s="17">
        <v>1</v>
      </c>
      <c r="H480" s="17">
        <v>60</v>
      </c>
    </row>
    <row r="481" spans="1:9" x14ac:dyDescent="0.3">
      <c r="A481" s="16" t="s">
        <v>1051</v>
      </c>
      <c r="B481" s="17">
        <f>B95*4+B38*0.5+B39*0.5+B40*0.5+B41*0.5</f>
        <v>1107.5</v>
      </c>
      <c r="C481" s="17">
        <f t="shared" ref="C481:H481" si="110">C95*4+C38*0.5+C39*0.5+C40*0.5+C41*0.5</f>
        <v>72.17</v>
      </c>
      <c r="D481" s="17">
        <f t="shared" si="110"/>
        <v>20.02</v>
      </c>
      <c r="E481" s="17">
        <f t="shared" si="110"/>
        <v>83</v>
      </c>
      <c r="F481" s="17">
        <f t="shared" si="110"/>
        <v>34.5</v>
      </c>
      <c r="G481" s="17">
        <f t="shared" si="110"/>
        <v>12</v>
      </c>
      <c r="H481" s="17">
        <f t="shared" si="110"/>
        <v>1418.5150000000001</v>
      </c>
      <c r="I481" s="17"/>
    </row>
    <row r="482" spans="1:9" x14ac:dyDescent="0.3">
      <c r="A482" s="16" t="s">
        <v>1052</v>
      </c>
      <c r="B482" s="17">
        <f>B481/3</f>
        <v>369.16666666666669</v>
      </c>
      <c r="C482" s="17">
        <f t="shared" ref="C482:H482" si="111">C481/3</f>
        <v>24.056666666666668</v>
      </c>
      <c r="D482" s="17">
        <f t="shared" si="111"/>
        <v>6.6733333333333329</v>
      </c>
      <c r="E482" s="17">
        <f t="shared" si="111"/>
        <v>27.666666666666668</v>
      </c>
      <c r="F482" s="17">
        <f t="shared" si="111"/>
        <v>11.5</v>
      </c>
      <c r="G482" s="17">
        <f t="shared" si="111"/>
        <v>4</v>
      </c>
      <c r="H482" s="17">
        <f t="shared" si="111"/>
        <v>472.83833333333337</v>
      </c>
    </row>
    <row r="483" spans="1:9" x14ac:dyDescent="0.3">
      <c r="A483" s="16" t="s">
        <v>1056</v>
      </c>
      <c r="B483" s="17">
        <v>226</v>
      </c>
      <c r="C483" s="17">
        <v>8.3000000000000007</v>
      </c>
      <c r="D483" s="17">
        <v>4.0999999999999996</v>
      </c>
      <c r="E483" s="17">
        <v>12.9</v>
      </c>
      <c r="F483" s="17">
        <v>30.3</v>
      </c>
      <c r="G483" s="17">
        <v>6.7</v>
      </c>
      <c r="H483" s="17">
        <v>263.8</v>
      </c>
    </row>
    <row r="484" spans="1:9" x14ac:dyDescent="0.3">
      <c r="A484" s="16" t="s">
        <v>1057</v>
      </c>
      <c r="B484" s="17">
        <v>299</v>
      </c>
      <c r="C484" s="17">
        <v>12</v>
      </c>
      <c r="D484" s="17">
        <v>6.3</v>
      </c>
      <c r="E484" s="17">
        <v>5.2</v>
      </c>
      <c r="F484" s="17">
        <v>44</v>
      </c>
      <c r="G484" s="17">
        <v>5.2</v>
      </c>
      <c r="H484" s="17">
        <v>356</v>
      </c>
    </row>
    <row r="485" spans="1:9" x14ac:dyDescent="0.3">
      <c r="A485" s="16" t="s">
        <v>1058</v>
      </c>
      <c r="B485" s="17">
        <v>199</v>
      </c>
      <c r="C485" s="17">
        <v>0</v>
      </c>
      <c r="D485" s="17">
        <v>0</v>
      </c>
      <c r="E485" s="17">
        <v>0</v>
      </c>
      <c r="F485" s="17">
        <v>55.9</v>
      </c>
      <c r="G485" s="17">
        <v>0</v>
      </c>
      <c r="H485" s="17">
        <v>50</v>
      </c>
    </row>
    <row r="486" spans="1:9" x14ac:dyDescent="0.3">
      <c r="A486" s="16" t="s">
        <v>1069</v>
      </c>
      <c r="B486" s="17">
        <v>210</v>
      </c>
      <c r="C486" s="17">
        <v>8</v>
      </c>
      <c r="D486" s="17">
        <v>4.5</v>
      </c>
      <c r="E486" s="17">
        <v>3</v>
      </c>
      <c r="F486" s="17">
        <v>32</v>
      </c>
      <c r="G486" s="17">
        <v>0</v>
      </c>
      <c r="H486" s="17">
        <v>105</v>
      </c>
    </row>
    <row r="487" spans="1:9" x14ac:dyDescent="0.3">
      <c r="A487" s="16" t="s">
        <v>1070</v>
      </c>
      <c r="B487" s="17">
        <v>390</v>
      </c>
      <c r="C487" s="17">
        <v>25</v>
      </c>
      <c r="D487" s="17">
        <v>8</v>
      </c>
      <c r="E487" s="17">
        <v>14</v>
      </c>
      <c r="F487" s="17">
        <v>28</v>
      </c>
      <c r="G487" s="17">
        <v>3</v>
      </c>
      <c r="H487" s="17">
        <v>15</v>
      </c>
    </row>
    <row r="488" spans="1:9" x14ac:dyDescent="0.3">
      <c r="A488" s="16" t="s">
        <v>1071</v>
      </c>
      <c r="B488" s="17">
        <v>267</v>
      </c>
      <c r="C488" s="17">
        <v>13.7</v>
      </c>
      <c r="D488" s="17">
        <v>1.8</v>
      </c>
      <c r="E488" s="17">
        <v>3.2</v>
      </c>
      <c r="F488" s="17">
        <v>32.700000000000003</v>
      </c>
      <c r="G488" s="17">
        <v>3</v>
      </c>
      <c r="H488" s="17">
        <v>247</v>
      </c>
    </row>
    <row r="489" spans="1:9" x14ac:dyDescent="0.3">
      <c r="A489" s="16" t="s">
        <v>1086</v>
      </c>
      <c r="B489" s="17">
        <v>231</v>
      </c>
      <c r="C489" s="17">
        <v>12</v>
      </c>
      <c r="D489" s="17">
        <v>6.6</v>
      </c>
      <c r="E489" s="17">
        <v>4.7</v>
      </c>
      <c r="F489" s="17">
        <v>26.1</v>
      </c>
      <c r="G489" s="17">
        <v>1.5</v>
      </c>
      <c r="H489" s="17">
        <v>424</v>
      </c>
    </row>
    <row r="490" spans="1:9" x14ac:dyDescent="0.3">
      <c r="A490" s="16" t="s">
        <v>1087</v>
      </c>
      <c r="B490" s="17">
        <v>880</v>
      </c>
      <c r="C490" s="17">
        <v>37</v>
      </c>
      <c r="D490" s="17">
        <v>17</v>
      </c>
      <c r="E490" s="17">
        <v>13</v>
      </c>
      <c r="F490" s="17">
        <v>127</v>
      </c>
      <c r="G490" s="17">
        <v>2</v>
      </c>
      <c r="H490" s="17">
        <v>1140</v>
      </c>
    </row>
    <row r="491" spans="1:9" x14ac:dyDescent="0.3">
      <c r="A491" s="16" t="s">
        <v>1088</v>
      </c>
      <c r="B491" s="17">
        <v>180</v>
      </c>
      <c r="C491" s="17">
        <v>3.5</v>
      </c>
      <c r="D491" s="17">
        <v>2</v>
      </c>
      <c r="E491" s="17">
        <v>3</v>
      </c>
      <c r="F491" s="17">
        <v>34</v>
      </c>
      <c r="G491" s="17">
        <v>0</v>
      </c>
      <c r="H491" s="17">
        <v>100</v>
      </c>
    </row>
    <row r="492" spans="1:9" x14ac:dyDescent="0.3">
      <c r="A492" s="16" t="s">
        <v>1089</v>
      </c>
      <c r="B492" s="17">
        <v>120</v>
      </c>
      <c r="C492" s="17">
        <v>4.5</v>
      </c>
      <c r="D492" s="17">
        <v>1</v>
      </c>
      <c r="E492" s="17">
        <v>2</v>
      </c>
      <c r="F492" s="17">
        <v>17</v>
      </c>
      <c r="G492" s="17">
        <v>1</v>
      </c>
      <c r="H492" s="17">
        <v>200</v>
      </c>
    </row>
    <row r="493" spans="1:9" x14ac:dyDescent="0.3">
      <c r="A493" s="16" t="s">
        <v>1090</v>
      </c>
      <c r="B493" s="17">
        <v>230</v>
      </c>
      <c r="C493" s="17">
        <v>13</v>
      </c>
      <c r="D493" s="17">
        <v>1.5</v>
      </c>
      <c r="E493" s="17">
        <v>3</v>
      </c>
      <c r="F493" s="17">
        <v>25</v>
      </c>
      <c r="G493" s="17">
        <v>2</v>
      </c>
      <c r="H493" s="17">
        <v>180</v>
      </c>
    </row>
    <row r="494" spans="1:9" x14ac:dyDescent="0.3">
      <c r="A494" s="16" t="s">
        <v>1091</v>
      </c>
      <c r="B494" s="17">
        <v>150</v>
      </c>
      <c r="C494" s="17">
        <v>0</v>
      </c>
      <c r="D494" s="17">
        <v>0</v>
      </c>
      <c r="E494" s="17">
        <v>0</v>
      </c>
      <c r="F494" s="17">
        <v>38</v>
      </c>
      <c r="G494" s="17">
        <v>1</v>
      </c>
      <c r="H494" s="17">
        <v>0</v>
      </c>
    </row>
    <row r="495" spans="1:9" x14ac:dyDescent="0.3">
      <c r="A495" s="16" t="s">
        <v>1092</v>
      </c>
      <c r="B495" s="17">
        <v>360</v>
      </c>
      <c r="C495" s="17">
        <v>0</v>
      </c>
      <c r="D495" s="17">
        <v>0</v>
      </c>
      <c r="E495" s="17">
        <v>0</v>
      </c>
      <c r="F495" s="17">
        <v>91</v>
      </c>
      <c r="G495" s="17">
        <v>0</v>
      </c>
      <c r="H495" s="17">
        <v>25</v>
      </c>
    </row>
    <row r="496" spans="1:9" x14ac:dyDescent="0.3">
      <c r="A496" s="16" t="s">
        <v>1093</v>
      </c>
      <c r="B496" s="17">
        <f>B494+B495+B21/4+B26/2</f>
        <v>537.5</v>
      </c>
      <c r="C496" s="17">
        <f t="shared" ref="C496:H496" si="112">C494+C495+C21/4+C26/2</f>
        <v>0.125</v>
      </c>
      <c r="D496" s="17">
        <f t="shared" si="112"/>
        <v>0</v>
      </c>
      <c r="E496" s="17">
        <f t="shared" si="112"/>
        <v>0.5</v>
      </c>
      <c r="F496" s="17">
        <f t="shared" si="112"/>
        <v>134.75</v>
      </c>
      <c r="G496" s="17">
        <f t="shared" si="112"/>
        <v>3.25</v>
      </c>
      <c r="H496" s="17">
        <f t="shared" si="112"/>
        <v>25</v>
      </c>
    </row>
    <row r="497" spans="1:8" x14ac:dyDescent="0.3">
      <c r="A497" s="16" t="s">
        <v>1096</v>
      </c>
      <c r="B497" s="17">
        <v>1039</v>
      </c>
      <c r="C497" s="17">
        <v>42.5</v>
      </c>
      <c r="D497" s="17">
        <v>9.5</v>
      </c>
      <c r="E497" s="17">
        <v>18.899999999999999</v>
      </c>
      <c r="F497" s="17">
        <v>132.30000000000001</v>
      </c>
      <c r="G497" s="17">
        <v>0</v>
      </c>
      <c r="H497" s="17">
        <v>2457</v>
      </c>
    </row>
    <row r="498" spans="1:8" x14ac:dyDescent="0.3">
      <c r="A498" s="16" t="s">
        <v>1097</v>
      </c>
      <c r="B498" s="17">
        <v>420</v>
      </c>
      <c r="C498" s="17">
        <v>26</v>
      </c>
      <c r="D498" s="17">
        <v>10</v>
      </c>
      <c r="E498" s="17">
        <v>14</v>
      </c>
      <c r="F498" s="17">
        <v>32</v>
      </c>
      <c r="G498" s="17">
        <v>1</v>
      </c>
      <c r="H498" s="17">
        <v>780</v>
      </c>
    </row>
    <row r="499" spans="1:8" x14ac:dyDescent="0.3">
      <c r="A499" s="16" t="s">
        <v>1098</v>
      </c>
      <c r="B499" s="17">
        <v>1160</v>
      </c>
      <c r="C499" s="17">
        <v>44</v>
      </c>
      <c r="D499" s="17">
        <v>24</v>
      </c>
      <c r="E499" s="17">
        <v>48</v>
      </c>
      <c r="F499" s="17">
        <v>144</v>
      </c>
      <c r="G499" s="17">
        <v>16</v>
      </c>
      <c r="H499" s="17">
        <v>2200</v>
      </c>
    </row>
    <row r="500" spans="1:8" x14ac:dyDescent="0.3">
      <c r="A500" s="16" t="s">
        <v>1099</v>
      </c>
      <c r="B500" s="17">
        <v>306</v>
      </c>
      <c r="C500" s="17">
        <v>13.1</v>
      </c>
      <c r="D500" s="17">
        <v>6.1</v>
      </c>
      <c r="E500" s="17">
        <v>12.3</v>
      </c>
      <c r="F500" s="17">
        <v>34.200000000000003</v>
      </c>
      <c r="G500" s="17">
        <v>1.8</v>
      </c>
      <c r="H500" s="17">
        <v>648</v>
      </c>
    </row>
    <row r="501" spans="1:8" x14ac:dyDescent="0.3">
      <c r="A501" s="16" t="s">
        <v>1100</v>
      </c>
      <c r="B501" s="17">
        <f>B14+B162+B161*2+B171+B172*4+B170+B195+B167</f>
        <v>1095</v>
      </c>
      <c r="C501" s="17">
        <f t="shared" ref="C501:H501" si="113">C14+C162+C161*2+C171+C172*4+C170+C195+C167</f>
        <v>57.324999999999989</v>
      </c>
      <c r="D501" s="17">
        <f t="shared" si="113"/>
        <v>9.2249999999999996</v>
      </c>
      <c r="E501" s="17">
        <f t="shared" si="113"/>
        <v>33.274999999999999</v>
      </c>
      <c r="F501" s="17">
        <f t="shared" si="113"/>
        <v>116.74999999999999</v>
      </c>
      <c r="G501" s="17">
        <f t="shared" si="113"/>
        <v>25.125</v>
      </c>
      <c r="H501" s="17">
        <f t="shared" si="113"/>
        <v>601.5</v>
      </c>
    </row>
    <row r="502" spans="1:8" x14ac:dyDescent="0.3">
      <c r="A502" s="16" t="s">
        <v>1108</v>
      </c>
      <c r="B502" s="17">
        <v>100</v>
      </c>
      <c r="C502" s="17">
        <v>9</v>
      </c>
      <c r="D502" s="17">
        <v>4.5</v>
      </c>
      <c r="E502" s="17">
        <v>2</v>
      </c>
      <c r="F502" s="17">
        <v>4</v>
      </c>
      <c r="G502" s="17">
        <v>0</v>
      </c>
      <c r="H502" s="17">
        <v>115</v>
      </c>
    </row>
    <row r="503" spans="1:8" x14ac:dyDescent="0.3">
      <c r="A503" s="16" t="s">
        <v>1109</v>
      </c>
      <c r="B503" s="17">
        <v>59</v>
      </c>
      <c r="C503" s="17">
        <v>5.6</v>
      </c>
      <c r="D503" s="17">
        <v>0.8</v>
      </c>
      <c r="E503" s="17">
        <v>0.2</v>
      </c>
      <c r="F503" s="17">
        <v>2.6</v>
      </c>
      <c r="G503" s="17">
        <v>0.1</v>
      </c>
      <c r="H503" s="17">
        <v>138</v>
      </c>
    </row>
    <row r="504" spans="1:8" x14ac:dyDescent="0.3">
      <c r="A504" s="16" t="s">
        <v>1110</v>
      </c>
      <c r="B504" s="17">
        <v>4</v>
      </c>
      <c r="C504" s="17">
        <v>0.1</v>
      </c>
      <c r="D504" s="17">
        <v>0.1</v>
      </c>
      <c r="E504" s="17">
        <v>0.2</v>
      </c>
      <c r="F504" s="17">
        <v>0.8</v>
      </c>
      <c r="G504" s="17">
        <v>0.2</v>
      </c>
      <c r="H504" s="17">
        <v>1</v>
      </c>
    </row>
    <row r="505" spans="1:8" x14ac:dyDescent="0.3">
      <c r="A505" s="16" t="s">
        <v>1111</v>
      </c>
      <c r="B505" s="17">
        <v>17</v>
      </c>
      <c r="C505" s="17">
        <v>0.1</v>
      </c>
      <c r="D505" s="17">
        <v>0.1</v>
      </c>
      <c r="E505" s="17">
        <v>1.3</v>
      </c>
      <c r="F505" s="17">
        <v>3.3</v>
      </c>
      <c r="G505" s="17">
        <v>0</v>
      </c>
      <c r="H505" s="17">
        <v>27</v>
      </c>
    </row>
    <row r="506" spans="1:8" x14ac:dyDescent="0.3">
      <c r="A506" s="16" t="s">
        <v>1114</v>
      </c>
      <c r="B506" s="17">
        <v>190</v>
      </c>
      <c r="C506" s="17">
        <v>9</v>
      </c>
      <c r="D506" s="17">
        <v>6</v>
      </c>
      <c r="E506" s="17">
        <v>3</v>
      </c>
      <c r="F506" s="17">
        <v>25</v>
      </c>
      <c r="G506" s="17">
        <v>0</v>
      </c>
      <c r="H506" s="17">
        <v>80</v>
      </c>
    </row>
    <row r="507" spans="1:8" x14ac:dyDescent="0.3">
      <c r="A507" s="16" t="s">
        <v>1116</v>
      </c>
      <c r="B507" s="17">
        <f>B200*6</f>
        <v>210</v>
      </c>
      <c r="C507" s="17">
        <f t="shared" ref="C507" si="114">C200*6</f>
        <v>9</v>
      </c>
      <c r="D507" s="17">
        <v>9</v>
      </c>
      <c r="E507" s="17">
        <v>2</v>
      </c>
      <c r="F507" s="17">
        <v>31</v>
      </c>
      <c r="G507" s="17">
        <v>0</v>
      </c>
      <c r="H507" s="17">
        <v>50</v>
      </c>
    </row>
    <row r="508" spans="1:8" x14ac:dyDescent="0.3">
      <c r="A508" s="16" t="s">
        <v>1117</v>
      </c>
      <c r="B508" s="17">
        <v>140</v>
      </c>
      <c r="C508" s="17">
        <v>0</v>
      </c>
      <c r="D508" s="17">
        <v>0</v>
      </c>
      <c r="E508" s="17">
        <v>0</v>
      </c>
      <c r="F508" s="17">
        <v>34</v>
      </c>
      <c r="G508" s="17">
        <v>10</v>
      </c>
      <c r="H508" s="17">
        <v>21</v>
      </c>
    </row>
    <row r="509" spans="1:8" x14ac:dyDescent="0.3">
      <c r="A509" s="16" t="s">
        <v>1121</v>
      </c>
      <c r="B509" s="17">
        <f>B505+B504+B465+B30+B464</f>
        <v>481</v>
      </c>
      <c r="C509" s="17">
        <f t="shared" ref="C509:H509" si="115">C505+C504+C465+C30+C464</f>
        <v>16.2</v>
      </c>
      <c r="D509" s="17">
        <f t="shared" si="115"/>
        <v>8.6999999999999993</v>
      </c>
      <c r="E509" s="17">
        <f t="shared" si="115"/>
        <v>26.5</v>
      </c>
      <c r="F509" s="17">
        <f t="shared" si="115"/>
        <v>57.1</v>
      </c>
      <c r="G509" s="17">
        <f t="shared" si="115"/>
        <v>5.2</v>
      </c>
      <c r="H509" s="17">
        <f t="shared" si="115"/>
        <v>928</v>
      </c>
    </row>
    <row r="510" spans="1:8" x14ac:dyDescent="0.3">
      <c r="A510" s="16" t="s">
        <v>1122</v>
      </c>
      <c r="B510">
        <f>B168+B169+B172*10+B171*4+B456</f>
        <v>589</v>
      </c>
      <c r="C510">
        <f t="shared" ref="C510:H510" si="116">C168+C169+C172*10+C171*4+C456</f>
        <v>21</v>
      </c>
      <c r="D510">
        <f t="shared" si="116"/>
        <v>4.0999999999999996</v>
      </c>
      <c r="E510">
        <f t="shared" si="116"/>
        <v>18.2</v>
      </c>
      <c r="F510">
        <f t="shared" si="116"/>
        <v>85.199999999999989</v>
      </c>
      <c r="G510">
        <f t="shared" si="116"/>
        <v>11.95</v>
      </c>
      <c r="H510">
        <f t="shared" si="116"/>
        <v>381</v>
      </c>
    </row>
    <row r="511" spans="1:8" x14ac:dyDescent="0.3">
      <c r="A511" s="16" t="s">
        <v>1123</v>
      </c>
      <c r="B511">
        <v>0</v>
      </c>
      <c r="C511">
        <v>0</v>
      </c>
      <c r="D511" s="17">
        <v>0</v>
      </c>
      <c r="E511" s="17">
        <v>0</v>
      </c>
      <c r="F511" s="17">
        <v>0</v>
      </c>
      <c r="G511" s="17">
        <v>0</v>
      </c>
      <c r="H511" s="17">
        <v>440</v>
      </c>
    </row>
    <row r="512" spans="1:8" x14ac:dyDescent="0.3">
      <c r="A512" s="16" t="s">
        <v>1125</v>
      </c>
      <c r="B512">
        <v>250</v>
      </c>
      <c r="C512">
        <v>7</v>
      </c>
      <c r="D512" s="17">
        <v>4.5</v>
      </c>
      <c r="E512" s="17">
        <v>10</v>
      </c>
      <c r="F512" s="17">
        <v>35</v>
      </c>
      <c r="G512" s="17">
        <v>0</v>
      </c>
      <c r="H512" s="17">
        <v>150</v>
      </c>
    </row>
    <row r="513" spans="1:8" x14ac:dyDescent="0.3">
      <c r="A513" s="16" t="s">
        <v>1126</v>
      </c>
      <c r="B513" s="17">
        <v>102</v>
      </c>
      <c r="C513" s="17">
        <v>0.3</v>
      </c>
      <c r="D513" s="17">
        <v>0</v>
      </c>
      <c r="E513" s="17">
        <v>0.8</v>
      </c>
      <c r="F513" s="17">
        <v>24</v>
      </c>
      <c r="G513" s="17">
        <v>5</v>
      </c>
      <c r="H513" s="17">
        <v>2</v>
      </c>
    </row>
    <row r="514" spans="1:8" x14ac:dyDescent="0.3">
      <c r="A514" s="16" t="s">
        <v>1130</v>
      </c>
      <c r="B514">
        <f>B37*4+B385*3+((B39+B40+B41/3)*1.5)</f>
        <v>1229</v>
      </c>
      <c r="C514">
        <f t="shared" ref="C514:H514" si="117">C37*4+C385*3+((C39+C40+C41/3)*1.5)</f>
        <v>72</v>
      </c>
      <c r="D514">
        <f t="shared" si="117"/>
        <v>20</v>
      </c>
      <c r="E514">
        <f t="shared" si="117"/>
        <v>89.5</v>
      </c>
      <c r="F514">
        <f t="shared" si="117"/>
        <v>60.5</v>
      </c>
      <c r="G514">
        <f t="shared" si="117"/>
        <v>25</v>
      </c>
      <c r="H514">
        <f t="shared" si="117"/>
        <v>1468.5</v>
      </c>
    </row>
    <row r="515" spans="1:8" x14ac:dyDescent="0.3">
      <c r="A515" s="16" t="s">
        <v>1131</v>
      </c>
      <c r="B515">
        <v>200</v>
      </c>
      <c r="C515">
        <v>11</v>
      </c>
      <c r="D515">
        <v>7</v>
      </c>
      <c r="E515">
        <v>1</v>
      </c>
      <c r="F515">
        <v>27</v>
      </c>
      <c r="G515">
        <v>0</v>
      </c>
      <c r="H515">
        <v>340</v>
      </c>
    </row>
    <row r="516" spans="1:8" x14ac:dyDescent="0.3">
      <c r="A516" s="16" t="s">
        <v>1132</v>
      </c>
      <c r="B516">
        <v>10</v>
      </c>
      <c r="C516">
        <v>0</v>
      </c>
      <c r="D516" s="17">
        <v>0</v>
      </c>
      <c r="E516" s="17">
        <v>0</v>
      </c>
      <c r="F516" s="17">
        <v>30</v>
      </c>
      <c r="G516" s="17">
        <v>0</v>
      </c>
      <c r="H516" s="17">
        <v>30</v>
      </c>
    </row>
    <row r="517" spans="1:8" x14ac:dyDescent="0.3">
      <c r="A517" s="16" t="s">
        <v>1143</v>
      </c>
      <c r="B517">
        <v>170</v>
      </c>
      <c r="C517">
        <v>8</v>
      </c>
      <c r="D517" s="17">
        <v>5</v>
      </c>
      <c r="E517" s="17">
        <v>3</v>
      </c>
      <c r="F517" s="17">
        <v>22</v>
      </c>
      <c r="G517" s="17">
        <v>0</v>
      </c>
      <c r="H517" s="17">
        <v>65</v>
      </c>
    </row>
    <row r="518" spans="1:8" x14ac:dyDescent="0.3">
      <c r="A518" s="16" t="s">
        <v>1135</v>
      </c>
      <c r="B518">
        <v>15</v>
      </c>
      <c r="C518">
        <v>0</v>
      </c>
      <c r="D518" s="17">
        <v>0</v>
      </c>
      <c r="E518" s="17">
        <v>0</v>
      </c>
      <c r="F518" s="17">
        <v>4</v>
      </c>
      <c r="G518" s="17">
        <v>0</v>
      </c>
      <c r="H518" s="17">
        <v>0</v>
      </c>
    </row>
    <row r="519" spans="1:8" x14ac:dyDescent="0.3">
      <c r="A519" s="16" t="s">
        <v>1136</v>
      </c>
      <c r="B519">
        <v>200</v>
      </c>
      <c r="C519">
        <v>9</v>
      </c>
      <c r="D519" s="17">
        <v>4</v>
      </c>
      <c r="E519" s="17">
        <v>21</v>
      </c>
      <c r="F519" s="17">
        <v>6</v>
      </c>
      <c r="G519" s="17">
        <v>1</v>
      </c>
      <c r="H519" s="17">
        <v>450</v>
      </c>
    </row>
    <row r="520" spans="1:8" x14ac:dyDescent="0.3">
      <c r="A520" s="16" t="s">
        <v>1137</v>
      </c>
      <c r="B520">
        <f>B519*3+B39+B40+B52</f>
        <v>784</v>
      </c>
      <c r="C520">
        <f t="shared" ref="C520:H520" si="118">C519*3+C39+C40+C52</f>
        <v>27</v>
      </c>
      <c r="D520">
        <f t="shared" si="118"/>
        <v>12</v>
      </c>
      <c r="E520">
        <f t="shared" si="118"/>
        <v>66</v>
      </c>
      <c r="F520">
        <f t="shared" si="118"/>
        <v>63</v>
      </c>
      <c r="G520">
        <f t="shared" si="118"/>
        <v>11</v>
      </c>
      <c r="H520">
        <f t="shared" si="118"/>
        <v>1358</v>
      </c>
    </row>
    <row r="521" spans="1:8" x14ac:dyDescent="0.3">
      <c r="A521" s="16" t="s">
        <v>1138</v>
      </c>
      <c r="B521" s="17">
        <f>B520/3</f>
        <v>261.33333333333331</v>
      </c>
      <c r="C521" s="17">
        <f t="shared" ref="C521:H521" si="119">C520/3</f>
        <v>9</v>
      </c>
      <c r="D521" s="17">
        <f t="shared" si="119"/>
        <v>4</v>
      </c>
      <c r="E521" s="17">
        <f t="shared" si="119"/>
        <v>22</v>
      </c>
      <c r="F521" s="17">
        <f t="shared" si="119"/>
        <v>21</v>
      </c>
      <c r="G521" s="17">
        <f t="shared" si="119"/>
        <v>3.6666666666666665</v>
      </c>
      <c r="H521" s="17">
        <f t="shared" si="119"/>
        <v>452.66666666666669</v>
      </c>
    </row>
    <row r="522" spans="1:8" x14ac:dyDescent="0.3">
      <c r="A522" s="16" t="s">
        <v>1139</v>
      </c>
      <c r="B522">
        <v>110</v>
      </c>
      <c r="C522">
        <v>6</v>
      </c>
      <c r="D522">
        <v>3.5</v>
      </c>
      <c r="E522">
        <v>1</v>
      </c>
      <c r="F522">
        <v>14</v>
      </c>
      <c r="G522">
        <v>0</v>
      </c>
      <c r="H522">
        <v>25</v>
      </c>
    </row>
    <row r="523" spans="1:8" x14ac:dyDescent="0.3">
      <c r="A523" s="16" t="s">
        <v>1147</v>
      </c>
      <c r="B523">
        <f>250*3</f>
        <v>750</v>
      </c>
      <c r="C523">
        <f>2*3</f>
        <v>6</v>
      </c>
      <c r="D523">
        <f>1*3</f>
        <v>3</v>
      </c>
      <c r="E523">
        <f>9*3</f>
        <v>27</v>
      </c>
      <c r="F523">
        <f>49*3</f>
        <v>147</v>
      </c>
      <c r="G523">
        <f>2*3</f>
        <v>6</v>
      </c>
      <c r="H523">
        <f>560*3</f>
        <v>1680</v>
      </c>
    </row>
    <row r="524" spans="1:8" x14ac:dyDescent="0.3">
      <c r="A524" s="16" t="s">
        <v>1148</v>
      </c>
      <c r="B524" s="17">
        <f>B523+B220/3+B77*2</f>
        <v>880</v>
      </c>
      <c r="C524" s="17">
        <f t="shared" ref="C524:H524" si="120">C523+C220/3+C77*2</f>
        <v>14.833333333333332</v>
      </c>
      <c r="D524" s="17">
        <f t="shared" si="120"/>
        <v>8</v>
      </c>
      <c r="E524" s="17">
        <f t="shared" si="120"/>
        <v>37.333333333333329</v>
      </c>
      <c r="F524" s="17">
        <f t="shared" si="120"/>
        <v>149.33333333333334</v>
      </c>
      <c r="G524" s="17">
        <f t="shared" si="120"/>
        <v>6.333333333333333</v>
      </c>
      <c r="H524" s="17">
        <f t="shared" si="120"/>
        <v>2016.6666666666667</v>
      </c>
    </row>
    <row r="525" spans="1:8" x14ac:dyDescent="0.3">
      <c r="A525" s="16" t="s">
        <v>1149</v>
      </c>
      <c r="B525" s="17">
        <f>B524/3</f>
        <v>293.33333333333331</v>
      </c>
      <c r="C525" s="17">
        <f t="shared" ref="C525:H525" si="121">C524/3</f>
        <v>4.9444444444444438</v>
      </c>
      <c r="D525" s="17">
        <f t="shared" si="121"/>
        <v>2.6666666666666665</v>
      </c>
      <c r="E525" s="17">
        <f t="shared" si="121"/>
        <v>12.444444444444443</v>
      </c>
      <c r="F525" s="17">
        <f t="shared" si="121"/>
        <v>49.777777777777779</v>
      </c>
      <c r="G525" s="17">
        <f t="shared" si="121"/>
        <v>2.1111111111111112</v>
      </c>
      <c r="H525" s="17">
        <f t="shared" si="121"/>
        <v>672.22222222222229</v>
      </c>
    </row>
    <row r="526" spans="1:8" x14ac:dyDescent="0.3">
      <c r="A526" s="16" t="s">
        <v>1150</v>
      </c>
      <c r="B526">
        <v>240</v>
      </c>
      <c r="C526">
        <v>14</v>
      </c>
      <c r="D526">
        <v>8</v>
      </c>
      <c r="E526">
        <v>19</v>
      </c>
      <c r="F526">
        <v>9</v>
      </c>
      <c r="G526">
        <v>3</v>
      </c>
      <c r="H526">
        <v>370</v>
      </c>
    </row>
    <row r="527" spans="1:8" x14ac:dyDescent="0.3">
      <c r="A527" s="16" t="s">
        <v>1155</v>
      </c>
      <c r="B527">
        <v>165</v>
      </c>
      <c r="C527">
        <v>0.7</v>
      </c>
      <c r="D527">
        <v>0.1</v>
      </c>
      <c r="E527">
        <v>5.5</v>
      </c>
      <c r="F527">
        <v>33.4</v>
      </c>
      <c r="G527">
        <v>1.3</v>
      </c>
      <c r="H527">
        <v>322</v>
      </c>
    </row>
    <row r="528" spans="1:8" x14ac:dyDescent="0.3">
      <c r="A528" s="16" t="s">
        <v>1156</v>
      </c>
      <c r="B528">
        <v>200</v>
      </c>
      <c r="C528">
        <v>4.5</v>
      </c>
      <c r="D528">
        <v>2</v>
      </c>
      <c r="E528">
        <v>7</v>
      </c>
      <c r="F528">
        <v>40</v>
      </c>
      <c r="G528">
        <v>8</v>
      </c>
      <c r="H528">
        <v>680</v>
      </c>
    </row>
    <row r="529" spans="1:8" x14ac:dyDescent="0.3">
      <c r="A529" s="16" t="s">
        <v>1158</v>
      </c>
      <c r="B529">
        <v>470</v>
      </c>
      <c r="C529">
        <v>11</v>
      </c>
      <c r="D529">
        <v>9</v>
      </c>
      <c r="E529">
        <v>9</v>
      </c>
      <c r="F529">
        <v>84</v>
      </c>
      <c r="G529">
        <v>9</v>
      </c>
      <c r="H529">
        <v>760</v>
      </c>
    </row>
    <row r="530" spans="1:8" x14ac:dyDescent="0.3">
      <c r="A530" s="16" t="s">
        <v>1160</v>
      </c>
      <c r="B530">
        <v>390</v>
      </c>
      <c r="C530">
        <v>17</v>
      </c>
      <c r="D530">
        <v>4.5</v>
      </c>
      <c r="E530">
        <v>12</v>
      </c>
      <c r="F530">
        <v>49</v>
      </c>
      <c r="G530">
        <v>2</v>
      </c>
      <c r="H530">
        <v>800</v>
      </c>
    </row>
    <row r="531" spans="1:8" x14ac:dyDescent="0.3">
      <c r="A531" s="16" t="s">
        <v>1161</v>
      </c>
      <c r="B531">
        <v>140</v>
      </c>
      <c r="C531">
        <v>6</v>
      </c>
      <c r="D531">
        <v>1</v>
      </c>
      <c r="E531">
        <v>2</v>
      </c>
      <c r="F531">
        <v>18</v>
      </c>
      <c r="G531">
        <v>1</v>
      </c>
      <c r="H531">
        <v>170</v>
      </c>
    </row>
    <row r="532" spans="1:8" x14ac:dyDescent="0.3">
      <c r="A532" s="16" t="s">
        <v>1162</v>
      </c>
      <c r="B532">
        <v>58</v>
      </c>
      <c r="C532">
        <v>0.4</v>
      </c>
      <c r="D532">
        <v>0.1</v>
      </c>
      <c r="E532">
        <v>1.4</v>
      </c>
      <c r="F532">
        <v>14.8</v>
      </c>
      <c r="G532">
        <v>2.2999999999999998</v>
      </c>
      <c r="H532">
        <v>0</v>
      </c>
    </row>
    <row r="533" spans="1:8" x14ac:dyDescent="0.3">
      <c r="A533" s="16" t="s">
        <v>1166</v>
      </c>
      <c r="B533">
        <v>140</v>
      </c>
      <c r="C533">
        <v>0</v>
      </c>
      <c r="D533">
        <v>0</v>
      </c>
      <c r="E533">
        <v>0</v>
      </c>
      <c r="F533">
        <v>33</v>
      </c>
      <c r="G533">
        <v>1</v>
      </c>
      <c r="H533">
        <v>190</v>
      </c>
    </row>
    <row r="534" spans="1:8" x14ac:dyDescent="0.3">
      <c r="A534" s="16" t="s">
        <v>1167</v>
      </c>
      <c r="B534">
        <v>160</v>
      </c>
      <c r="C534">
        <v>14</v>
      </c>
      <c r="D534">
        <v>2.5</v>
      </c>
      <c r="E534">
        <v>5</v>
      </c>
      <c r="F534">
        <v>8</v>
      </c>
      <c r="G534">
        <v>1</v>
      </c>
      <c r="H534">
        <v>0</v>
      </c>
    </row>
    <row r="535" spans="1:8" x14ac:dyDescent="0.3">
      <c r="A535" s="16" t="s">
        <v>1168</v>
      </c>
      <c r="B535">
        <v>250</v>
      </c>
      <c r="C535">
        <v>3.5</v>
      </c>
      <c r="D535">
        <v>1.5</v>
      </c>
      <c r="E535">
        <v>7</v>
      </c>
      <c r="F535">
        <v>47</v>
      </c>
      <c r="G535">
        <v>3</v>
      </c>
      <c r="H535">
        <v>310</v>
      </c>
    </row>
    <row r="536" spans="1:8" x14ac:dyDescent="0.3">
      <c r="A536" s="16" t="s">
        <v>1169</v>
      </c>
      <c r="B536">
        <v>220</v>
      </c>
      <c r="C536">
        <v>5</v>
      </c>
      <c r="D536">
        <v>2</v>
      </c>
      <c r="E536">
        <v>11</v>
      </c>
      <c r="F536">
        <v>35</v>
      </c>
      <c r="G536">
        <v>5</v>
      </c>
      <c r="H536">
        <v>380</v>
      </c>
    </row>
    <row r="537" spans="1:8" x14ac:dyDescent="0.3">
      <c r="A537" s="16" t="s">
        <v>1170</v>
      </c>
      <c r="B537">
        <v>310</v>
      </c>
      <c r="C537">
        <v>3</v>
      </c>
      <c r="D537">
        <v>0.5</v>
      </c>
      <c r="E537">
        <v>12</v>
      </c>
      <c r="F537">
        <v>61</v>
      </c>
      <c r="G537">
        <v>4</v>
      </c>
      <c r="H537">
        <v>600</v>
      </c>
    </row>
    <row r="538" spans="1:8" x14ac:dyDescent="0.3">
      <c r="A538" s="16" t="s">
        <v>1171</v>
      </c>
      <c r="B538">
        <v>132</v>
      </c>
      <c r="C538">
        <v>4.9000000000000004</v>
      </c>
      <c r="D538">
        <v>1</v>
      </c>
      <c r="E538">
        <v>20.7</v>
      </c>
      <c r="F538">
        <v>0</v>
      </c>
      <c r="G538">
        <v>0</v>
      </c>
      <c r="H538">
        <v>2260</v>
      </c>
    </row>
    <row r="539" spans="1:8" x14ac:dyDescent="0.3">
      <c r="A539" s="16" t="s">
        <v>1172</v>
      </c>
      <c r="B539">
        <v>4</v>
      </c>
      <c r="C539">
        <v>0.1</v>
      </c>
      <c r="D539">
        <v>0.1</v>
      </c>
      <c r="E539">
        <v>0.4</v>
      </c>
      <c r="F539">
        <v>0.8</v>
      </c>
      <c r="G539">
        <v>0.6</v>
      </c>
      <c r="H539">
        <v>510</v>
      </c>
    </row>
    <row r="540" spans="1:8" x14ac:dyDescent="0.3">
      <c r="A540" s="16" t="s">
        <v>1173</v>
      </c>
      <c r="B540">
        <f>B193*5+B69+B539+B538+B537</f>
        <v>723.1</v>
      </c>
      <c r="C540">
        <f t="shared" ref="C540:H540" si="122">C193*5+C69+C539+C538+C537</f>
        <v>33.700000000000003</v>
      </c>
      <c r="D540">
        <f t="shared" si="122"/>
        <v>17.600000000000001</v>
      </c>
      <c r="E540">
        <f t="shared" si="122"/>
        <v>39.700000000000003</v>
      </c>
      <c r="F540">
        <f t="shared" si="122"/>
        <v>68.599999999999994</v>
      </c>
      <c r="G540">
        <f t="shared" si="122"/>
        <v>6.1</v>
      </c>
      <c r="H540">
        <f t="shared" si="122"/>
        <v>3591.2</v>
      </c>
    </row>
    <row r="541" spans="1:8" x14ac:dyDescent="0.3">
      <c r="A541" s="16" t="s">
        <v>1177</v>
      </c>
      <c r="B541">
        <v>140</v>
      </c>
      <c r="C541">
        <v>6</v>
      </c>
      <c r="D541">
        <v>4</v>
      </c>
      <c r="E541">
        <v>1</v>
      </c>
      <c r="F541">
        <v>23</v>
      </c>
      <c r="G541">
        <v>1</v>
      </c>
      <c r="H541">
        <v>50</v>
      </c>
    </row>
    <row r="542" spans="1:8" x14ac:dyDescent="0.3">
      <c r="A542" s="16" t="s">
        <v>1178</v>
      </c>
      <c r="B542" s="17">
        <v>100</v>
      </c>
      <c r="C542" s="17">
        <v>0</v>
      </c>
      <c r="D542" s="17">
        <v>0</v>
      </c>
      <c r="E542" s="17">
        <v>0</v>
      </c>
      <c r="F542" s="17">
        <v>23</v>
      </c>
      <c r="G542" s="17">
        <v>0</v>
      </c>
      <c r="H542" s="17">
        <v>5</v>
      </c>
    </row>
    <row r="543" spans="1:8" x14ac:dyDescent="0.3">
      <c r="A543" s="16" t="s">
        <v>1181</v>
      </c>
      <c r="B543" s="17">
        <v>140</v>
      </c>
      <c r="C543" s="17">
        <v>5</v>
      </c>
      <c r="D543" s="17">
        <v>1</v>
      </c>
      <c r="E543" s="17">
        <v>2</v>
      </c>
      <c r="F543" s="17">
        <v>20</v>
      </c>
      <c r="G543" s="17">
        <v>1</v>
      </c>
      <c r="H543" s="17">
        <v>240</v>
      </c>
    </row>
    <row r="544" spans="1:8" x14ac:dyDescent="0.3">
      <c r="A544" s="16" t="s">
        <v>1184</v>
      </c>
      <c r="B544">
        <v>120</v>
      </c>
      <c r="C544">
        <v>3.5</v>
      </c>
      <c r="D544">
        <v>0.5</v>
      </c>
      <c r="E544">
        <v>2</v>
      </c>
      <c r="F544">
        <v>22</v>
      </c>
      <c r="G544">
        <v>1</v>
      </c>
      <c r="H544">
        <v>250</v>
      </c>
    </row>
    <row r="545" spans="1:8" x14ac:dyDescent="0.3">
      <c r="A545" s="16" t="s">
        <v>1191</v>
      </c>
      <c r="B545" s="17">
        <f>B474</f>
        <v>100</v>
      </c>
      <c r="C545" s="17">
        <f t="shared" ref="C545:H545" si="123">C474</f>
        <v>6</v>
      </c>
      <c r="D545" s="17">
        <f t="shared" si="123"/>
        <v>4</v>
      </c>
      <c r="E545" s="17">
        <f t="shared" si="123"/>
        <v>8</v>
      </c>
      <c r="F545" s="17">
        <f t="shared" si="123"/>
        <v>2</v>
      </c>
      <c r="G545" s="17">
        <f t="shared" si="123"/>
        <v>0</v>
      </c>
      <c r="H545" s="17">
        <f t="shared" si="123"/>
        <v>280</v>
      </c>
    </row>
    <row r="546" spans="1:8" x14ac:dyDescent="0.3">
      <c r="A546" s="16" t="s">
        <v>1192</v>
      </c>
      <c r="B546">
        <v>410</v>
      </c>
      <c r="C546">
        <v>15</v>
      </c>
      <c r="D546">
        <v>9</v>
      </c>
      <c r="E546">
        <v>10</v>
      </c>
      <c r="F546">
        <v>55</v>
      </c>
      <c r="G546">
        <v>0</v>
      </c>
      <c r="H546">
        <v>650</v>
      </c>
    </row>
    <row r="547" spans="1:8" x14ac:dyDescent="0.3">
      <c r="A547" s="16" t="s">
        <v>1193</v>
      </c>
      <c r="B547">
        <v>100</v>
      </c>
      <c r="C547">
        <v>9</v>
      </c>
      <c r="D547">
        <v>6</v>
      </c>
      <c r="E547">
        <v>2</v>
      </c>
      <c r="F547">
        <v>2</v>
      </c>
      <c r="G547">
        <v>0</v>
      </c>
      <c r="H547">
        <v>150</v>
      </c>
    </row>
    <row r="548" spans="1:8" x14ac:dyDescent="0.3">
      <c r="A548" s="16" t="s">
        <v>1194</v>
      </c>
      <c r="B548">
        <v>70</v>
      </c>
      <c r="C548">
        <v>3.5</v>
      </c>
      <c r="D548">
        <v>0</v>
      </c>
      <c r="E548">
        <v>1</v>
      </c>
      <c r="F548">
        <v>9</v>
      </c>
      <c r="G548">
        <v>1</v>
      </c>
      <c r="H548">
        <v>110</v>
      </c>
    </row>
    <row r="549" spans="1:8" x14ac:dyDescent="0.3">
      <c r="A549" s="16" t="s">
        <v>1199</v>
      </c>
      <c r="B549">
        <v>1040</v>
      </c>
      <c r="C549">
        <v>32</v>
      </c>
      <c r="D549">
        <v>12</v>
      </c>
      <c r="E549">
        <v>44</v>
      </c>
      <c r="F549">
        <v>144</v>
      </c>
      <c r="G549">
        <v>16</v>
      </c>
      <c r="H549">
        <v>1360</v>
      </c>
    </row>
    <row r="550" spans="1:8" x14ac:dyDescent="0.3">
      <c r="A550" s="16" t="s">
        <v>1200</v>
      </c>
      <c r="B550">
        <f>B167+B169/4+B171+B172*8+B161*2+B164*4+B193*3</f>
        <v>772</v>
      </c>
      <c r="C550">
        <f t="shared" ref="C550:H550" si="124">C167+C169/4+C171+C172*8+C161*2+C164*4+C193*3</f>
        <v>30.424999999999997</v>
      </c>
      <c r="D550">
        <f t="shared" si="124"/>
        <v>13.225000000000001</v>
      </c>
      <c r="E550">
        <f t="shared" si="124"/>
        <v>29.374999999999996</v>
      </c>
      <c r="F550">
        <f t="shared" si="124"/>
        <v>97.050000000000011</v>
      </c>
      <c r="G550">
        <f t="shared" si="124"/>
        <v>7.3250000000000002</v>
      </c>
      <c r="H550">
        <f t="shared" si="124"/>
        <v>3294.5</v>
      </c>
    </row>
    <row r="551" spans="1:8" x14ac:dyDescent="0.3">
      <c r="A551" s="16" t="s">
        <v>1203</v>
      </c>
      <c r="B551">
        <f>4*350</f>
        <v>1400</v>
      </c>
      <c r="C551">
        <f>4*15</f>
        <v>60</v>
      </c>
      <c r="D551">
        <f>4*8</f>
        <v>32</v>
      </c>
      <c r="E551">
        <f>4*17</f>
        <v>68</v>
      </c>
      <c r="F551">
        <f>4*37</f>
        <v>148</v>
      </c>
      <c r="G551">
        <f>4*3</f>
        <v>12</v>
      </c>
      <c r="H551">
        <f>4*780</f>
        <v>3120</v>
      </c>
    </row>
    <row r="552" spans="1:8" x14ac:dyDescent="0.3">
      <c r="A552" s="16" t="s">
        <v>1208</v>
      </c>
      <c r="B552">
        <v>150</v>
      </c>
      <c r="C552">
        <v>11</v>
      </c>
      <c r="D552">
        <v>4.5</v>
      </c>
      <c r="E552">
        <v>2</v>
      </c>
      <c r="F552">
        <v>14</v>
      </c>
      <c r="G552">
        <v>1</v>
      </c>
      <c r="H552">
        <v>220</v>
      </c>
    </row>
    <row r="553" spans="1:8" x14ac:dyDescent="0.3">
      <c r="A553" s="16" t="s">
        <v>1209</v>
      </c>
      <c r="B553">
        <v>100</v>
      </c>
      <c r="C553">
        <v>1</v>
      </c>
      <c r="D553">
        <v>0</v>
      </c>
      <c r="E553">
        <v>16</v>
      </c>
      <c r="F553">
        <v>6</v>
      </c>
      <c r="G553">
        <v>4</v>
      </c>
      <c r="H553">
        <v>320</v>
      </c>
    </row>
    <row r="554" spans="1:8" x14ac:dyDescent="0.3">
      <c r="A554" s="16" t="s">
        <v>1210</v>
      </c>
      <c r="B554">
        <v>160</v>
      </c>
      <c r="C554">
        <v>9</v>
      </c>
      <c r="D554">
        <v>2</v>
      </c>
      <c r="E554">
        <v>2</v>
      </c>
      <c r="F554">
        <v>15</v>
      </c>
      <c r="G554">
        <v>1</v>
      </c>
      <c r="H554">
        <v>180</v>
      </c>
    </row>
    <row r="555" spans="1:8" x14ac:dyDescent="0.3">
      <c r="A555" s="16" t="s">
        <v>1217</v>
      </c>
      <c r="B555">
        <f>B519*3+B40+B117+B50*3</f>
        <v>1027</v>
      </c>
      <c r="C555">
        <f t="shared" ref="C555:H555" si="125">C519*3+C40+C117+C50*3</f>
        <v>69.599999999999994</v>
      </c>
      <c r="D555">
        <f t="shared" si="125"/>
        <v>18.100000000000001</v>
      </c>
      <c r="E555">
        <f t="shared" si="125"/>
        <v>66.099999999999994</v>
      </c>
      <c r="F555">
        <f t="shared" si="125"/>
        <v>32.799999999999997</v>
      </c>
      <c r="G555">
        <f t="shared" si="125"/>
        <v>7.8</v>
      </c>
      <c r="H555">
        <f t="shared" si="125"/>
        <v>1355.4</v>
      </c>
    </row>
    <row r="556" spans="1:8" x14ac:dyDescent="0.3">
      <c r="A556" s="16" t="s">
        <v>1218</v>
      </c>
      <c r="B556">
        <v>130</v>
      </c>
      <c r="C556">
        <v>7</v>
      </c>
      <c r="D556">
        <v>1</v>
      </c>
      <c r="E556">
        <v>2</v>
      </c>
      <c r="F556">
        <v>17</v>
      </c>
      <c r="G556">
        <v>1</v>
      </c>
      <c r="H556">
        <v>450</v>
      </c>
    </row>
    <row r="557" spans="1:8" x14ac:dyDescent="0.3">
      <c r="A557" s="16" t="s">
        <v>1219</v>
      </c>
      <c r="B557">
        <v>80</v>
      </c>
      <c r="C557">
        <v>0</v>
      </c>
      <c r="D557">
        <v>0</v>
      </c>
      <c r="E557">
        <v>0</v>
      </c>
      <c r="F557">
        <v>19</v>
      </c>
      <c r="G557">
        <v>0</v>
      </c>
      <c r="H557">
        <v>30</v>
      </c>
    </row>
    <row r="558" spans="1:8" x14ac:dyDescent="0.3">
      <c r="A558" s="16" t="s">
        <v>1220</v>
      </c>
      <c r="B558">
        <v>120</v>
      </c>
      <c r="C558">
        <v>4</v>
      </c>
      <c r="D558">
        <v>0.5</v>
      </c>
      <c r="E558">
        <v>2</v>
      </c>
      <c r="F558">
        <v>18</v>
      </c>
      <c r="G558">
        <v>1</v>
      </c>
      <c r="H558">
        <v>210</v>
      </c>
    </row>
    <row r="559" spans="1:8" x14ac:dyDescent="0.3">
      <c r="A559" s="16" t="s">
        <v>1221</v>
      </c>
      <c r="B559">
        <v>80</v>
      </c>
      <c r="C559">
        <v>5</v>
      </c>
      <c r="D559">
        <v>1</v>
      </c>
      <c r="E559">
        <v>2</v>
      </c>
      <c r="F559">
        <v>7</v>
      </c>
      <c r="G559">
        <v>1</v>
      </c>
      <c r="H559">
        <v>120</v>
      </c>
    </row>
    <row r="560" spans="1:8" x14ac:dyDescent="0.3">
      <c r="A560" s="16" t="s">
        <v>1223</v>
      </c>
      <c r="B560" s="17">
        <v>140</v>
      </c>
      <c r="C560" s="17">
        <v>9</v>
      </c>
      <c r="D560" s="17">
        <v>1.5</v>
      </c>
      <c r="E560" s="17">
        <v>2</v>
      </c>
      <c r="F560" s="17">
        <v>14</v>
      </c>
      <c r="G560" s="17">
        <v>1</v>
      </c>
      <c r="H560" s="17">
        <v>230</v>
      </c>
    </row>
    <row r="561" spans="1:8" x14ac:dyDescent="0.3">
      <c r="A561" s="16" t="s">
        <v>1224</v>
      </c>
      <c r="B561">
        <v>150</v>
      </c>
      <c r="C561">
        <v>8</v>
      </c>
      <c r="D561">
        <v>1</v>
      </c>
      <c r="E561">
        <v>2</v>
      </c>
      <c r="F561">
        <v>18</v>
      </c>
      <c r="G561">
        <v>1</v>
      </c>
      <c r="H561">
        <v>190</v>
      </c>
    </row>
    <row r="562" spans="1:8" x14ac:dyDescent="0.3">
      <c r="A562" s="16" t="s">
        <v>1225</v>
      </c>
      <c r="B562">
        <v>150</v>
      </c>
      <c r="C562">
        <v>8</v>
      </c>
      <c r="D562">
        <v>1</v>
      </c>
      <c r="E562">
        <v>2</v>
      </c>
      <c r="F562">
        <v>18</v>
      </c>
      <c r="G562">
        <v>1</v>
      </c>
      <c r="H562">
        <v>210</v>
      </c>
    </row>
    <row r="563" spans="1:8" x14ac:dyDescent="0.3">
      <c r="A563" s="16" t="s">
        <v>1230</v>
      </c>
      <c r="B563">
        <v>110</v>
      </c>
      <c r="C563">
        <v>3</v>
      </c>
      <c r="D563">
        <v>0</v>
      </c>
      <c r="E563">
        <v>2</v>
      </c>
      <c r="F563">
        <v>19</v>
      </c>
      <c r="G563">
        <v>1</v>
      </c>
      <c r="H563">
        <v>125</v>
      </c>
    </row>
    <row r="564" spans="1:8" x14ac:dyDescent="0.3">
      <c r="A564" s="16" t="s">
        <v>1231</v>
      </c>
      <c r="B564">
        <v>110</v>
      </c>
      <c r="C564">
        <v>3</v>
      </c>
      <c r="D564">
        <v>0</v>
      </c>
      <c r="E564">
        <v>2</v>
      </c>
      <c r="F564">
        <v>19</v>
      </c>
      <c r="G564">
        <v>1</v>
      </c>
      <c r="H564">
        <v>220</v>
      </c>
    </row>
    <row r="565" spans="1:8" x14ac:dyDescent="0.3">
      <c r="A565" s="16" t="s">
        <v>1232</v>
      </c>
      <c r="B565">
        <v>160</v>
      </c>
      <c r="C565">
        <v>10</v>
      </c>
      <c r="D565">
        <v>1.5</v>
      </c>
      <c r="E565">
        <v>2</v>
      </c>
      <c r="F565">
        <v>15</v>
      </c>
      <c r="G565">
        <v>1</v>
      </c>
      <c r="H565">
        <v>250</v>
      </c>
    </row>
    <row r="566" spans="1:8" x14ac:dyDescent="0.3">
      <c r="A566" s="16" t="s">
        <v>1236</v>
      </c>
      <c r="B566">
        <v>150</v>
      </c>
      <c r="C566">
        <v>1.5</v>
      </c>
      <c r="D566">
        <v>0.5</v>
      </c>
      <c r="E566">
        <v>5</v>
      </c>
      <c r="F566">
        <v>30</v>
      </c>
      <c r="G566">
        <v>1</v>
      </c>
      <c r="H566">
        <v>200</v>
      </c>
    </row>
    <row r="567" spans="1:8" x14ac:dyDescent="0.3">
      <c r="A567" s="16" t="s">
        <v>1247</v>
      </c>
      <c r="B567" s="17">
        <v>150</v>
      </c>
      <c r="C567" s="17">
        <v>8</v>
      </c>
      <c r="D567" s="17">
        <v>4</v>
      </c>
      <c r="E567" s="17">
        <v>3</v>
      </c>
      <c r="F567" s="17">
        <v>16</v>
      </c>
      <c r="G567" s="17">
        <v>1</v>
      </c>
      <c r="H567" s="17">
        <v>25</v>
      </c>
    </row>
    <row r="568" spans="1:8" x14ac:dyDescent="0.3">
      <c r="A568" s="16" t="s">
        <v>1248</v>
      </c>
      <c r="B568">
        <v>370</v>
      </c>
      <c r="C568">
        <v>16</v>
      </c>
      <c r="D568">
        <v>16</v>
      </c>
      <c r="E568">
        <v>0</v>
      </c>
      <c r="F568">
        <v>64</v>
      </c>
      <c r="G568">
        <v>0</v>
      </c>
      <c r="H568">
        <v>5</v>
      </c>
    </row>
    <row r="569" spans="1:8" x14ac:dyDescent="0.3">
      <c r="A569" s="16" t="s">
        <v>1250</v>
      </c>
      <c r="B569" s="17">
        <v>180</v>
      </c>
      <c r="C569" s="17">
        <v>5</v>
      </c>
      <c r="D569" s="17">
        <v>3</v>
      </c>
      <c r="E569" s="17">
        <v>6</v>
      </c>
      <c r="F569" s="17">
        <v>28</v>
      </c>
      <c r="G569" s="17">
        <v>1</v>
      </c>
      <c r="H569" s="17">
        <v>360</v>
      </c>
    </row>
    <row r="570" spans="1:8" x14ac:dyDescent="0.3">
      <c r="A570" s="16" t="s">
        <v>1253</v>
      </c>
      <c r="B570">
        <v>330</v>
      </c>
      <c r="C570">
        <v>18</v>
      </c>
      <c r="D570">
        <v>9</v>
      </c>
      <c r="E570">
        <v>26</v>
      </c>
      <c r="F570">
        <v>16</v>
      </c>
      <c r="G570">
        <v>2</v>
      </c>
      <c r="H570">
        <v>420</v>
      </c>
    </row>
    <row r="571" spans="1:8" x14ac:dyDescent="0.3">
      <c r="A571" s="16" t="s">
        <v>1254</v>
      </c>
      <c r="B571" s="17">
        <v>240</v>
      </c>
      <c r="C571" s="17">
        <v>2</v>
      </c>
      <c r="D571" s="17">
        <v>0.5</v>
      </c>
      <c r="E571" s="17">
        <v>8</v>
      </c>
      <c r="F571" s="17">
        <v>46</v>
      </c>
      <c r="G571" s="17">
        <v>2</v>
      </c>
      <c r="H571" s="17">
        <v>630</v>
      </c>
    </row>
    <row r="572" spans="1:8" x14ac:dyDescent="0.3">
      <c r="A572" s="16" t="s">
        <v>1255</v>
      </c>
      <c r="B572">
        <v>80</v>
      </c>
      <c r="C572">
        <v>5</v>
      </c>
      <c r="D572">
        <v>3.5</v>
      </c>
      <c r="E572">
        <v>6</v>
      </c>
      <c r="F572">
        <v>2</v>
      </c>
      <c r="G572">
        <v>0</v>
      </c>
      <c r="H572">
        <v>190</v>
      </c>
    </row>
    <row r="573" spans="1:8" x14ac:dyDescent="0.3">
      <c r="A573" s="16" t="s">
        <v>1256</v>
      </c>
      <c r="B573" s="17">
        <v>0</v>
      </c>
      <c r="C573" s="17">
        <v>0</v>
      </c>
      <c r="D573" s="17">
        <v>0</v>
      </c>
      <c r="E573" s="17">
        <v>0</v>
      </c>
      <c r="F573" s="17">
        <v>0</v>
      </c>
      <c r="G573" s="17">
        <v>0</v>
      </c>
      <c r="H573" s="17">
        <v>55</v>
      </c>
    </row>
    <row r="574" spans="1:8" x14ac:dyDescent="0.3">
      <c r="A574" s="16" t="s">
        <v>1257</v>
      </c>
      <c r="B574">
        <v>0</v>
      </c>
      <c r="C574">
        <v>0</v>
      </c>
      <c r="D574">
        <v>0</v>
      </c>
      <c r="E574">
        <v>0</v>
      </c>
      <c r="F574">
        <v>1</v>
      </c>
      <c r="G574">
        <v>0</v>
      </c>
      <c r="H574">
        <v>260</v>
      </c>
    </row>
    <row r="575" spans="1:8" x14ac:dyDescent="0.3">
      <c r="A575" s="16" t="s">
        <v>1264</v>
      </c>
      <c r="B575">
        <v>210</v>
      </c>
      <c r="C575">
        <v>12</v>
      </c>
      <c r="D575">
        <v>4.5</v>
      </c>
      <c r="E575">
        <v>6</v>
      </c>
      <c r="F575">
        <v>17</v>
      </c>
      <c r="G575">
        <v>0</v>
      </c>
      <c r="H575">
        <v>350</v>
      </c>
    </row>
    <row r="576" spans="1:8" x14ac:dyDescent="0.3">
      <c r="A576" s="16" t="s">
        <v>1266</v>
      </c>
      <c r="B576">
        <v>5</v>
      </c>
      <c r="C576">
        <v>0</v>
      </c>
      <c r="D576">
        <v>0</v>
      </c>
      <c r="E576">
        <v>0</v>
      </c>
      <c r="F576">
        <v>1</v>
      </c>
      <c r="G576">
        <v>0</v>
      </c>
      <c r="H576">
        <v>400</v>
      </c>
    </row>
    <row r="577" spans="1:8" x14ac:dyDescent="0.3">
      <c r="A577" s="16" t="s">
        <v>1269</v>
      </c>
      <c r="B577">
        <v>80</v>
      </c>
      <c r="C577">
        <v>0</v>
      </c>
      <c r="D577">
        <v>0</v>
      </c>
      <c r="E577">
        <v>1</v>
      </c>
      <c r="F577">
        <v>19</v>
      </c>
      <c r="G577">
        <v>0</v>
      </c>
      <c r="H577">
        <v>20</v>
      </c>
    </row>
    <row r="578" spans="1:8" x14ac:dyDescent="0.3">
      <c r="A578" s="16" t="s">
        <v>1270</v>
      </c>
      <c r="B578">
        <v>140</v>
      </c>
      <c r="C578">
        <v>7</v>
      </c>
      <c r="D578">
        <v>1</v>
      </c>
      <c r="E578">
        <v>0</v>
      </c>
      <c r="F578">
        <v>20</v>
      </c>
      <c r="G578">
        <v>2</v>
      </c>
      <c r="H578">
        <v>15</v>
      </c>
    </row>
    <row r="579" spans="1:8" x14ac:dyDescent="0.3">
      <c r="A579" s="16" t="s">
        <v>1272</v>
      </c>
      <c r="B579" s="17">
        <v>380</v>
      </c>
      <c r="C579" s="17">
        <v>17</v>
      </c>
      <c r="D579" s="17">
        <v>9</v>
      </c>
      <c r="E579" s="17">
        <v>9</v>
      </c>
      <c r="F579" s="17">
        <v>48</v>
      </c>
      <c r="G579" s="17">
        <v>3</v>
      </c>
      <c r="H579" s="17">
        <v>880</v>
      </c>
    </row>
    <row r="580" spans="1:8" x14ac:dyDescent="0.3">
      <c r="A580" s="16" t="s">
        <v>1276</v>
      </c>
      <c r="B580">
        <v>230</v>
      </c>
      <c r="C580">
        <v>1</v>
      </c>
      <c r="D580">
        <v>0.5</v>
      </c>
      <c r="E580">
        <v>8</v>
      </c>
      <c r="F580">
        <v>46</v>
      </c>
      <c r="G580">
        <v>2</v>
      </c>
      <c r="H580">
        <v>400</v>
      </c>
    </row>
    <row r="581" spans="1:8" x14ac:dyDescent="0.3">
      <c r="A581" s="16" t="s">
        <v>1278</v>
      </c>
      <c r="B581">
        <v>150</v>
      </c>
      <c r="C581">
        <v>6</v>
      </c>
      <c r="D581">
        <v>1</v>
      </c>
      <c r="E581">
        <v>2</v>
      </c>
      <c r="F581">
        <v>20</v>
      </c>
      <c r="G581">
        <v>1</v>
      </c>
      <c r="H581">
        <v>360</v>
      </c>
    </row>
    <row r="582" spans="1:8" x14ac:dyDescent="0.3">
      <c r="A582" s="16" t="s">
        <v>1282</v>
      </c>
      <c r="B582">
        <v>220</v>
      </c>
      <c r="C582">
        <v>4.5</v>
      </c>
      <c r="D582">
        <v>2.5</v>
      </c>
      <c r="E582">
        <v>7</v>
      </c>
      <c r="F582">
        <v>39</v>
      </c>
      <c r="G582">
        <v>1</v>
      </c>
      <c r="H582">
        <v>280</v>
      </c>
    </row>
    <row r="583" spans="1:8" x14ac:dyDescent="0.3">
      <c r="A583" s="16" t="s">
        <v>1291</v>
      </c>
      <c r="B583" s="17">
        <v>160</v>
      </c>
      <c r="C583" s="17">
        <v>11</v>
      </c>
      <c r="D583" s="17">
        <v>2</v>
      </c>
      <c r="E583" s="17">
        <v>3</v>
      </c>
      <c r="F583" s="17">
        <v>13</v>
      </c>
      <c r="G583" s="17">
        <v>2</v>
      </c>
      <c r="H583" s="17">
        <v>260</v>
      </c>
    </row>
    <row r="584" spans="1:8" x14ac:dyDescent="0.3">
      <c r="A584" s="16" t="s">
        <v>1293</v>
      </c>
      <c r="B584" s="17">
        <v>19</v>
      </c>
      <c r="C584" s="17">
        <v>0.3</v>
      </c>
      <c r="D584" s="17">
        <v>0.1</v>
      </c>
      <c r="E584" s="17">
        <v>1.8</v>
      </c>
      <c r="F584" s="17">
        <v>3.3</v>
      </c>
      <c r="G584" s="17">
        <v>1.1000000000000001</v>
      </c>
      <c r="H584" s="17">
        <v>8</v>
      </c>
    </row>
    <row r="585" spans="1:8" x14ac:dyDescent="0.3">
      <c r="A585" s="16" t="s">
        <v>1296</v>
      </c>
      <c r="B585">
        <v>200</v>
      </c>
      <c r="C585">
        <v>9</v>
      </c>
      <c r="D585">
        <v>4</v>
      </c>
      <c r="E585">
        <v>9</v>
      </c>
      <c r="F585">
        <v>20</v>
      </c>
      <c r="G585">
        <v>2</v>
      </c>
      <c r="H585">
        <v>80</v>
      </c>
    </row>
    <row r="586" spans="1:8" x14ac:dyDescent="0.3">
      <c r="A586" s="16" t="s">
        <v>1297</v>
      </c>
      <c r="B586">
        <v>110</v>
      </c>
      <c r="C586">
        <v>0</v>
      </c>
      <c r="D586">
        <v>0</v>
      </c>
      <c r="E586">
        <v>12</v>
      </c>
      <c r="F586">
        <v>15</v>
      </c>
      <c r="G586">
        <v>0</v>
      </c>
      <c r="H586">
        <v>60</v>
      </c>
    </row>
    <row r="587" spans="1:8" x14ac:dyDescent="0.3">
      <c r="A587" s="16" t="s">
        <v>1299</v>
      </c>
      <c r="B587">
        <v>260</v>
      </c>
      <c r="C587">
        <v>2.5</v>
      </c>
      <c r="D587">
        <v>0</v>
      </c>
      <c r="E587">
        <v>11</v>
      </c>
      <c r="F587">
        <v>48</v>
      </c>
      <c r="G587">
        <v>3</v>
      </c>
      <c r="H587">
        <v>380</v>
      </c>
    </row>
    <row r="588" spans="1:8" x14ac:dyDescent="0.3">
      <c r="A588" s="16" t="s">
        <v>1304</v>
      </c>
      <c r="B588">
        <v>110</v>
      </c>
      <c r="C588">
        <v>1</v>
      </c>
      <c r="D588">
        <v>0.5</v>
      </c>
      <c r="E588">
        <v>1</v>
      </c>
      <c r="F588">
        <v>24</v>
      </c>
      <c r="G588">
        <v>0</v>
      </c>
      <c r="H588">
        <v>150</v>
      </c>
    </row>
    <row r="589" spans="1:8" x14ac:dyDescent="0.3">
      <c r="A589" s="16" t="s">
        <v>1305</v>
      </c>
      <c r="B589">
        <v>130</v>
      </c>
      <c r="C589">
        <v>5</v>
      </c>
      <c r="D589">
        <v>0</v>
      </c>
      <c r="E589">
        <v>2</v>
      </c>
      <c r="F589">
        <v>20</v>
      </c>
      <c r="G589">
        <v>3</v>
      </c>
      <c r="H589">
        <v>330</v>
      </c>
    </row>
    <row r="590" spans="1:8" x14ac:dyDescent="0.3">
      <c r="A590" s="16" t="s">
        <v>1308</v>
      </c>
      <c r="B590">
        <v>260</v>
      </c>
      <c r="C590">
        <v>5</v>
      </c>
      <c r="D590">
        <v>0.5</v>
      </c>
      <c r="E590">
        <v>13</v>
      </c>
      <c r="F590">
        <v>44</v>
      </c>
      <c r="G590">
        <v>5</v>
      </c>
      <c r="H590">
        <v>350</v>
      </c>
    </row>
    <row r="591" spans="1:8" x14ac:dyDescent="0.3">
      <c r="A591" s="16" t="s">
        <v>1316</v>
      </c>
      <c r="B591">
        <v>140</v>
      </c>
      <c r="C591">
        <v>7</v>
      </c>
      <c r="D591">
        <v>3</v>
      </c>
      <c r="E591">
        <v>2</v>
      </c>
      <c r="F591">
        <v>20</v>
      </c>
      <c r="G591">
        <v>3</v>
      </c>
      <c r="H591">
        <v>310</v>
      </c>
    </row>
    <row r="592" spans="1:8" x14ac:dyDescent="0.3">
      <c r="A592" s="16" t="s">
        <v>1317</v>
      </c>
      <c r="B592">
        <v>110</v>
      </c>
      <c r="C592">
        <v>7</v>
      </c>
      <c r="D592">
        <v>4.5</v>
      </c>
      <c r="E592">
        <v>10</v>
      </c>
      <c r="F592">
        <v>2</v>
      </c>
      <c r="G592">
        <v>0</v>
      </c>
      <c r="H592">
        <v>370</v>
      </c>
    </row>
    <row r="593" spans="1:8" x14ac:dyDescent="0.3">
      <c r="A593" s="16" t="s">
        <v>1318</v>
      </c>
      <c r="B593">
        <v>270</v>
      </c>
      <c r="C593">
        <v>3</v>
      </c>
      <c r="D593">
        <v>0</v>
      </c>
      <c r="E593">
        <v>12</v>
      </c>
      <c r="F593">
        <v>51</v>
      </c>
      <c r="G593">
        <v>3</v>
      </c>
      <c r="H593">
        <v>400</v>
      </c>
    </row>
    <row r="594" spans="1:8" x14ac:dyDescent="0.3">
      <c r="A594" s="16" t="s">
        <v>1319</v>
      </c>
      <c r="B594">
        <v>150</v>
      </c>
      <c r="C594">
        <v>6</v>
      </c>
      <c r="D594">
        <v>3.5</v>
      </c>
      <c r="E594">
        <v>1</v>
      </c>
      <c r="F594">
        <v>24</v>
      </c>
      <c r="G594">
        <v>0</v>
      </c>
      <c r="H594">
        <v>50</v>
      </c>
    </row>
    <row r="595" spans="1:8" x14ac:dyDescent="0.3">
      <c r="A595" s="16" t="s">
        <v>1320</v>
      </c>
      <c r="B595">
        <v>130</v>
      </c>
      <c r="C595">
        <v>5</v>
      </c>
      <c r="D595">
        <v>3</v>
      </c>
      <c r="E595">
        <v>1</v>
      </c>
      <c r="F595">
        <v>19</v>
      </c>
      <c r="G595">
        <v>1</v>
      </c>
      <c r="H595">
        <v>20</v>
      </c>
    </row>
    <row r="596" spans="1:8" x14ac:dyDescent="0.3">
      <c r="A596" s="16" t="s">
        <v>1321</v>
      </c>
      <c r="B596">
        <v>130</v>
      </c>
      <c r="C596">
        <v>6</v>
      </c>
      <c r="D596">
        <v>2.5</v>
      </c>
      <c r="E596">
        <v>2</v>
      </c>
      <c r="F596">
        <v>17</v>
      </c>
      <c r="G596">
        <v>1</v>
      </c>
      <c r="H596">
        <v>65</v>
      </c>
    </row>
    <row r="597" spans="1:8" x14ac:dyDescent="0.3">
      <c r="A597" s="16" t="s">
        <v>1322</v>
      </c>
      <c r="B597">
        <v>150</v>
      </c>
      <c r="C597">
        <v>7</v>
      </c>
      <c r="D597">
        <v>4</v>
      </c>
      <c r="E597">
        <v>1</v>
      </c>
      <c r="F597">
        <v>20</v>
      </c>
      <c r="G597">
        <v>0</v>
      </c>
      <c r="H597">
        <v>60</v>
      </c>
    </row>
    <row r="598" spans="1:8" x14ac:dyDescent="0.3">
      <c r="A598" s="16" t="s">
        <v>1323</v>
      </c>
      <c r="B598">
        <v>130</v>
      </c>
      <c r="C598">
        <v>3.5</v>
      </c>
      <c r="D598">
        <v>2</v>
      </c>
      <c r="E598">
        <v>1</v>
      </c>
      <c r="F598">
        <v>23</v>
      </c>
      <c r="G598">
        <v>0</v>
      </c>
      <c r="H598">
        <v>55</v>
      </c>
    </row>
    <row r="599" spans="1:8" x14ac:dyDescent="0.3">
      <c r="A599" s="16" t="s">
        <v>1324</v>
      </c>
      <c r="B599">
        <f>B37*4+B41*2+B50*2</f>
        <v>1334</v>
      </c>
      <c r="C599">
        <f t="shared" ref="C599:H599" si="126">C37*4+C41*2+C50*2</f>
        <v>100</v>
      </c>
      <c r="D599">
        <f t="shared" si="126"/>
        <v>24</v>
      </c>
      <c r="E599">
        <f t="shared" si="126"/>
        <v>82</v>
      </c>
      <c r="F599">
        <f t="shared" si="126"/>
        <v>32</v>
      </c>
      <c r="G599">
        <f t="shared" si="126"/>
        <v>10</v>
      </c>
      <c r="H599">
        <f t="shared" si="126"/>
        <v>1404</v>
      </c>
    </row>
    <row r="600" spans="1:8" x14ac:dyDescent="0.3">
      <c r="B600" s="17">
        <f>B464*1.5</f>
        <v>360</v>
      </c>
      <c r="C600" s="17">
        <f t="shared" ref="C600:H600" si="127">C464*1.5</f>
        <v>21</v>
      </c>
      <c r="D600" s="17">
        <f t="shared" si="127"/>
        <v>12</v>
      </c>
      <c r="E600" s="17">
        <f t="shared" si="127"/>
        <v>28.5</v>
      </c>
      <c r="F600" s="17">
        <f t="shared" si="127"/>
        <v>13.5</v>
      </c>
      <c r="G600" s="17">
        <f t="shared" si="127"/>
        <v>4.5</v>
      </c>
      <c r="H600" s="17">
        <f t="shared" si="127"/>
        <v>555</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M257"/>
  <sheetViews>
    <sheetView tabSelected="1" topLeftCell="Y1" zoomScale="74" zoomScaleNormal="85" workbookViewId="0">
      <pane ySplit="1" topLeftCell="A246" activePane="bottomLeft" state="frozen"/>
      <selection activeCell="O1" sqref="O1"/>
      <selection pane="bottomLeft" activeCell="AI253" sqref="AI253"/>
    </sheetView>
  </sheetViews>
  <sheetFormatPr defaultColWidth="9.109375" defaultRowHeight="14.4" x14ac:dyDescent="0.3"/>
  <cols>
    <col min="1" max="2" width="17.6640625" style="3" customWidth="1"/>
    <col min="3" max="3" width="16.33203125" style="8" customWidth="1"/>
    <col min="4" max="4" width="10" style="3" customWidth="1"/>
    <col min="5" max="5" width="21.5546875" style="4" customWidth="1"/>
    <col min="6" max="9" width="32.5546875" style="3" customWidth="1"/>
    <col min="10" max="10" width="9.109375" style="3"/>
    <col min="11" max="11" width="25.5546875" style="3" customWidth="1"/>
    <col min="12" max="12" width="25.5546875" style="11" customWidth="1"/>
    <col min="13" max="13" width="28.5546875" style="11" customWidth="1"/>
    <col min="14" max="14" width="34" style="11" customWidth="1"/>
    <col min="15" max="16" width="32" style="11" customWidth="1"/>
    <col min="17" max="17" width="26.88671875" style="11" customWidth="1"/>
    <col min="18" max="18" width="29.88671875" style="11" customWidth="1"/>
    <col min="19" max="19" width="31.6640625" style="11" customWidth="1"/>
    <col min="20" max="20" width="22.5546875" style="11" customWidth="1"/>
    <col min="21" max="21" width="22.33203125" style="11" customWidth="1"/>
    <col min="22" max="22" width="19.33203125" style="11" customWidth="1"/>
    <col min="23" max="23" width="16.6640625" style="11" customWidth="1"/>
    <col min="24" max="24" width="21.6640625" style="11" customWidth="1"/>
    <col min="25" max="25" width="20" style="11" customWidth="1"/>
    <col min="26" max="26" width="17.21875" style="3" customWidth="1"/>
    <col min="27" max="27" width="21.5546875" style="3" customWidth="1"/>
    <col min="28" max="28" width="25.109375" style="5" customWidth="1"/>
    <col min="29" max="29" width="20.33203125" style="6" customWidth="1"/>
    <col min="30" max="30" width="21.5546875" style="6" customWidth="1"/>
    <col min="31" max="32" width="20.88671875" style="6" customWidth="1"/>
    <col min="33" max="33" width="25.88671875" style="6" customWidth="1"/>
    <col min="34" max="40" width="21.44140625" style="6" customWidth="1"/>
    <col min="41" max="43" width="20.88671875" style="7" customWidth="1"/>
    <col min="44" max="46" width="25.44140625" style="3" customWidth="1"/>
    <col min="47" max="47" width="29.44140625" style="7" customWidth="1"/>
    <col min="48" max="48" width="32.6640625" style="3" customWidth="1"/>
    <col min="49" max="49" width="16.33203125" style="3" customWidth="1"/>
    <col min="50" max="50" width="23.109375" style="3" customWidth="1"/>
    <col min="51" max="51" width="15.5546875" style="5" customWidth="1"/>
    <col min="52" max="52" width="9.109375" style="3" customWidth="1"/>
    <col min="53" max="56" width="9.109375" style="3"/>
    <col min="57" max="57" width="17" style="3" customWidth="1"/>
    <col min="58" max="58" width="11" style="3" customWidth="1"/>
    <col min="59" max="59" width="16.6640625" style="3" customWidth="1"/>
    <col min="60" max="60" width="13.33203125" style="3" customWidth="1"/>
    <col min="61" max="61" width="24.109375" style="3" customWidth="1"/>
    <col min="62" max="62" width="18" style="3" customWidth="1"/>
    <col min="63" max="63" width="19.5546875" style="11" bestFit="1" customWidth="1"/>
    <col min="64" max="64" width="11.21875" style="3" bestFit="1" customWidth="1"/>
    <col min="65" max="16384" width="9.109375" style="3"/>
  </cols>
  <sheetData>
    <row r="1" spans="1:65" x14ac:dyDescent="0.3">
      <c r="A1" s="3" t="s">
        <v>0</v>
      </c>
      <c r="B1" s="3" t="s">
        <v>124</v>
      </c>
      <c r="C1" s="8" t="s">
        <v>1</v>
      </c>
      <c r="D1" s="3" t="s">
        <v>2</v>
      </c>
      <c r="E1" s="4" t="s">
        <v>25</v>
      </c>
      <c r="F1" s="3" t="s">
        <v>125</v>
      </c>
      <c r="G1" s="3" t="s">
        <v>126</v>
      </c>
      <c r="H1" s="3" t="s">
        <v>87</v>
      </c>
      <c r="I1" s="3" t="s">
        <v>250</v>
      </c>
      <c r="J1" s="3" t="s">
        <v>22</v>
      </c>
      <c r="K1" s="3" t="s">
        <v>3</v>
      </c>
      <c r="L1" s="11" t="s">
        <v>94</v>
      </c>
      <c r="M1" s="11" t="s">
        <v>93</v>
      </c>
      <c r="N1" s="11" t="s">
        <v>4</v>
      </c>
      <c r="O1" s="11" t="s">
        <v>117</v>
      </c>
      <c r="P1" s="11" t="s">
        <v>5</v>
      </c>
      <c r="Q1" s="11" t="s">
        <v>6</v>
      </c>
      <c r="R1" s="11" t="s">
        <v>7</v>
      </c>
      <c r="S1" s="11" t="s">
        <v>8</v>
      </c>
      <c r="T1" s="11" t="s">
        <v>9</v>
      </c>
      <c r="U1" s="11" t="s">
        <v>10</v>
      </c>
      <c r="V1" s="11" t="s">
        <v>11</v>
      </c>
      <c r="W1" s="11" t="s">
        <v>12</v>
      </c>
      <c r="X1" s="11" t="s">
        <v>13</v>
      </c>
      <c r="Y1" s="11" t="s">
        <v>14</v>
      </c>
      <c r="Z1" s="3" t="s">
        <v>31</v>
      </c>
      <c r="AA1" s="3" t="s">
        <v>86</v>
      </c>
      <c r="AB1" s="5" t="s">
        <v>30</v>
      </c>
      <c r="AC1" s="6" t="s">
        <v>26</v>
      </c>
      <c r="AD1" s="6" t="s">
        <v>27</v>
      </c>
      <c r="AE1" s="6" t="s">
        <v>28</v>
      </c>
      <c r="AF1" s="6" t="s">
        <v>88</v>
      </c>
      <c r="AG1" s="6" t="s">
        <v>89</v>
      </c>
      <c r="AH1" s="6" t="s">
        <v>184</v>
      </c>
      <c r="AI1" s="6" t="s">
        <v>185</v>
      </c>
      <c r="AJ1" s="6" t="s">
        <v>186</v>
      </c>
      <c r="AK1" s="6" t="s">
        <v>187</v>
      </c>
      <c r="AL1" s="6" t="s">
        <v>188</v>
      </c>
      <c r="AM1" s="6" t="s">
        <v>189</v>
      </c>
      <c r="AN1" s="6" t="s">
        <v>271</v>
      </c>
      <c r="AO1" s="7" t="s">
        <v>47</v>
      </c>
      <c r="AP1" s="7" t="s">
        <v>118</v>
      </c>
      <c r="AQ1" s="7" t="s">
        <v>85</v>
      </c>
      <c r="AR1" s="3" t="s">
        <v>21</v>
      </c>
      <c r="AS1" s="7" t="s">
        <v>91</v>
      </c>
      <c r="AT1" s="7" t="s">
        <v>92</v>
      </c>
      <c r="AU1" s="7" t="s">
        <v>98</v>
      </c>
      <c r="AV1" s="7" t="s">
        <v>99</v>
      </c>
      <c r="AW1" s="3" t="s">
        <v>24</v>
      </c>
      <c r="AX1" s="3" t="s">
        <v>82</v>
      </c>
      <c r="AY1" s="5" t="s">
        <v>105</v>
      </c>
      <c r="AZ1" s="3" t="s">
        <v>100</v>
      </c>
      <c r="BA1" s="3" t="s">
        <v>101</v>
      </c>
      <c r="BB1" s="3" t="s">
        <v>102</v>
      </c>
      <c r="BC1" s="3" t="s">
        <v>103</v>
      </c>
      <c r="BD1" s="3" t="s">
        <v>104</v>
      </c>
      <c r="BE1" s="3" t="s">
        <v>381</v>
      </c>
      <c r="BF1" s="3" t="s">
        <v>382</v>
      </c>
      <c r="BG1" s="3" t="s">
        <v>383</v>
      </c>
      <c r="BH1" s="3" t="s">
        <v>384</v>
      </c>
      <c r="BI1" s="3" t="s">
        <v>385</v>
      </c>
      <c r="BJ1" s="3" t="s">
        <v>641</v>
      </c>
      <c r="BK1" s="11" t="s">
        <v>963</v>
      </c>
      <c r="BL1" s="3" t="s">
        <v>964</v>
      </c>
      <c r="BM1" s="3" t="s">
        <v>1106</v>
      </c>
    </row>
    <row r="2" spans="1:65" ht="24.9" customHeight="1" x14ac:dyDescent="0.3">
      <c r="A2" s="3" t="s">
        <v>19</v>
      </c>
      <c r="B2" s="3">
        <v>0</v>
      </c>
      <c r="C2" s="8">
        <v>44219</v>
      </c>
      <c r="D2" s="9">
        <v>0.6875</v>
      </c>
      <c r="E2" s="4">
        <v>50</v>
      </c>
      <c r="F2" s="3">
        <v>5</v>
      </c>
      <c r="G2" s="3">
        <v>6</v>
      </c>
      <c r="H2" s="3">
        <v>30</v>
      </c>
      <c r="I2" s="3">
        <v>1</v>
      </c>
      <c r="J2" s="9">
        <v>0.21875</v>
      </c>
      <c r="K2" s="3">
        <v>144.19999999999999</v>
      </c>
      <c r="L2" s="11">
        <v>0.8</v>
      </c>
      <c r="M2" s="5">
        <f>160+322+80+105+120+81+8.5+57+80+160+100+80</f>
        <v>1353.5</v>
      </c>
      <c r="N2" s="11">
        <v>32</v>
      </c>
      <c r="O2" s="11" t="s">
        <v>20</v>
      </c>
      <c r="P2" s="11">
        <v>11.5</v>
      </c>
      <c r="Q2" s="11">
        <v>11.5</v>
      </c>
      <c r="R2" s="11">
        <v>22.5</v>
      </c>
      <c r="S2" s="11">
        <v>22.5</v>
      </c>
      <c r="T2" s="11">
        <v>20</v>
      </c>
      <c r="U2" s="11">
        <v>22</v>
      </c>
      <c r="V2" s="11">
        <v>18</v>
      </c>
      <c r="W2" s="11">
        <v>18</v>
      </c>
      <c r="X2" s="11">
        <v>12</v>
      </c>
      <c r="Y2" s="11">
        <v>10</v>
      </c>
      <c r="Z2" s="3" t="s">
        <v>95</v>
      </c>
      <c r="AA2" s="10" t="s">
        <v>83</v>
      </c>
      <c r="AB2" s="5">
        <f>100+80+70+12.75+57+105+107+81+240+200+160+310+80+81+200+90</f>
        <v>1973.75</v>
      </c>
      <c r="AC2" s="6">
        <f>1+5+5+6+2+10+3.5+5+1+3.5</f>
        <v>42</v>
      </c>
      <c r="AD2" s="6">
        <f>3.5+1.5+4+7+0.5+3.5+1</f>
        <v>21</v>
      </c>
      <c r="AE2" s="6">
        <f>2+6+6+1+2+12+4+12+16+6+2+4+3</f>
        <v>76</v>
      </c>
      <c r="AF2" s="6">
        <f>21+1+13.5+15+27+28+21+38+42+2+52+44+12+1+21</f>
        <v>338.5</v>
      </c>
      <c r="AG2" s="6">
        <f>2+3+4+4+8+6+2+1+3</f>
        <v>33</v>
      </c>
      <c r="AH2" s="6">
        <f>20+190+70+2+1+3+3+2+660+40+380+1630+190+2+460</f>
        <v>3653</v>
      </c>
      <c r="AI2" s="6">
        <f>$AC2/$AB2</f>
        <v>2.1279290690310322E-2</v>
      </c>
      <c r="AJ2" s="6">
        <f>$AD2/$AB2</f>
        <v>1.0639645345155161E-2</v>
      </c>
      <c r="AK2" s="6">
        <f>$AE2/$AB2</f>
        <v>3.8505383153894873E-2</v>
      </c>
      <c r="AL2" s="6">
        <f>$AF2/$AB2</f>
        <v>0.1715009499683344</v>
      </c>
      <c r="AM2" s="6">
        <f>$AG2/$AB2</f>
        <v>1.6719442685243825E-2</v>
      </c>
      <c r="AN2" s="6">
        <f>$AH2/$AB2</f>
        <v>1.8507916402786573</v>
      </c>
      <c r="AO2" s="7">
        <v>3</v>
      </c>
      <c r="AP2" s="7">
        <v>1</v>
      </c>
      <c r="AQ2" s="7">
        <v>1</v>
      </c>
      <c r="AR2" s="10" t="s">
        <v>72</v>
      </c>
      <c r="AS2" s="10">
        <v>0</v>
      </c>
      <c r="AT2" s="10" t="s">
        <v>97</v>
      </c>
      <c r="AU2" s="7">
        <v>0</v>
      </c>
      <c r="AV2" s="10">
        <f>-10</f>
        <v>-10</v>
      </c>
      <c r="AW2" s="3">
        <v>31</v>
      </c>
      <c r="AX2" s="3">
        <v>1</v>
      </c>
      <c r="AY2" s="5">
        <v>7</v>
      </c>
      <c r="AZ2" s="3">
        <v>1</v>
      </c>
      <c r="BA2" s="3">
        <v>1</v>
      </c>
      <c r="BB2" s="3">
        <v>1</v>
      </c>
      <c r="BC2" s="3">
        <v>1</v>
      </c>
      <c r="BD2" s="3">
        <v>1</v>
      </c>
      <c r="BE2" s="3">
        <v>0</v>
      </c>
      <c r="BF2" s="3">
        <v>0</v>
      </c>
      <c r="BG2" s="3">
        <v>0</v>
      </c>
      <c r="BH2" s="3">
        <v>0</v>
      </c>
      <c r="BI2" s="3">
        <v>0</v>
      </c>
      <c r="BJ2" s="3">
        <v>0</v>
      </c>
      <c r="BK2" s="3">
        <v>0</v>
      </c>
      <c r="BL2" s="3">
        <v>0</v>
      </c>
      <c r="BM2" s="3">
        <v>0</v>
      </c>
    </row>
    <row r="3" spans="1:65" ht="24.9" customHeight="1" x14ac:dyDescent="0.3">
      <c r="A3" s="3" t="s">
        <v>23</v>
      </c>
      <c r="B3" s="3">
        <v>1</v>
      </c>
      <c r="C3" s="8">
        <v>44220</v>
      </c>
      <c r="D3" s="9">
        <v>0.58333333333333337</v>
      </c>
      <c r="E3" s="4">
        <v>58</v>
      </c>
      <c r="F3" s="3">
        <v>0</v>
      </c>
      <c r="G3" s="3">
        <v>0</v>
      </c>
      <c r="H3" s="3">
        <v>0</v>
      </c>
      <c r="I3" s="3">
        <v>0</v>
      </c>
      <c r="J3" s="9">
        <v>0.86805555555555547</v>
      </c>
      <c r="K3" s="3">
        <v>143.80000000000001</v>
      </c>
      <c r="L3" s="11">
        <f t="shared" ref="L3:L4" si="0">K3-K2</f>
        <v>-0.39999999999997726</v>
      </c>
      <c r="M3" s="5">
        <f>AB2</f>
        <v>1973.75</v>
      </c>
      <c r="N3" s="11">
        <v>32</v>
      </c>
      <c r="O3" s="11" t="s">
        <v>20</v>
      </c>
      <c r="P3" s="11">
        <v>11.5</v>
      </c>
      <c r="Q3" s="11">
        <v>11.5</v>
      </c>
      <c r="R3" s="11">
        <v>22.5</v>
      </c>
      <c r="S3" s="11">
        <v>22.5</v>
      </c>
      <c r="T3" s="11">
        <v>22</v>
      </c>
      <c r="U3" s="11">
        <v>22</v>
      </c>
      <c r="V3" s="11">
        <v>22</v>
      </c>
      <c r="W3" s="11">
        <v>22</v>
      </c>
      <c r="X3" s="11">
        <v>12</v>
      </c>
      <c r="Y3" s="11">
        <v>14</v>
      </c>
      <c r="Z3" s="3" t="s">
        <v>96</v>
      </c>
      <c r="AA3" s="10" t="s">
        <v>84</v>
      </c>
      <c r="AB3" s="5">
        <f>200+90+20+200+38.25+57+107+81+240+200+90+20+200+81+57</f>
        <v>1681.25</v>
      </c>
      <c r="AC3" s="6">
        <f>1+3.5+1.5+9+1.6+1+3.5+1.5+9</f>
        <v>31.6</v>
      </c>
      <c r="AD3" s="6">
        <f>1+1+9+1+1+9</f>
        <v>22</v>
      </c>
      <c r="AE3" s="6">
        <f>4+3+2+12+1+2+4.8+4+3+2+12+2</f>
        <v>51.8</v>
      </c>
      <c r="AF3" s="6">
        <f>44+12+40.5+15+28+21+33+44+12+21+15</f>
        <v>285.5</v>
      </c>
      <c r="AG3" s="6">
        <f>1+3+3+3+4+3.2+1+3+4+3</f>
        <v>28.2</v>
      </c>
      <c r="AH3" s="6">
        <f>460+100+340+6+1+3+2+448+460+100+340+2+1</f>
        <v>2263</v>
      </c>
      <c r="AI3" s="6">
        <f t="shared" ref="AI3:AI128" si="1">$AC3/$AB3</f>
        <v>1.8795539033457251E-2</v>
      </c>
      <c r="AJ3" s="6">
        <f t="shared" ref="AJ3:AJ128" si="2">$AD3/$AB3</f>
        <v>1.3085501858736059E-2</v>
      </c>
      <c r="AK3" s="6">
        <f t="shared" ref="AK3:AK128" si="3">$AE3/$AB3</f>
        <v>3.0810408921933083E-2</v>
      </c>
      <c r="AL3" s="6">
        <f t="shared" ref="AL3:AL128" si="4">$AF3/$AB3</f>
        <v>0.16981412639405205</v>
      </c>
      <c r="AM3" s="6">
        <f t="shared" ref="AM3:AM128" si="5">$AG3/$AB3</f>
        <v>1.6773234200743493E-2</v>
      </c>
      <c r="AN3" s="6">
        <f t="shared" ref="AN3:AN128" si="6">$AH3/$AB3</f>
        <v>1.3460223048327138</v>
      </c>
      <c r="AO3" s="7">
        <v>3</v>
      </c>
      <c r="AP3" s="7">
        <v>1</v>
      </c>
      <c r="AQ3" s="7">
        <v>1</v>
      </c>
      <c r="AR3" s="10">
        <v>0</v>
      </c>
      <c r="AS3" s="10">
        <v>0</v>
      </c>
      <c r="AT3" s="10">
        <v>0</v>
      </c>
      <c r="AU3" s="7">
        <v>0</v>
      </c>
      <c r="AV3" s="10">
        <v>0</v>
      </c>
      <c r="AW3" s="3">
        <v>31</v>
      </c>
      <c r="AX3" s="3">
        <v>1</v>
      </c>
      <c r="AY3" s="5">
        <v>7</v>
      </c>
      <c r="AZ3" s="3">
        <v>1</v>
      </c>
      <c r="BA3" s="3">
        <v>1</v>
      </c>
      <c r="BB3" s="3">
        <v>1</v>
      </c>
      <c r="BC3" s="3">
        <v>1</v>
      </c>
      <c r="BD3" s="3">
        <v>1</v>
      </c>
      <c r="BE3" s="3">
        <v>0</v>
      </c>
      <c r="BF3" s="3">
        <v>0</v>
      </c>
      <c r="BG3" s="3">
        <v>0</v>
      </c>
      <c r="BH3" s="3">
        <v>0</v>
      </c>
      <c r="BI3" s="3">
        <v>0</v>
      </c>
      <c r="BJ3" s="3">
        <v>1</v>
      </c>
      <c r="BK3" s="3">
        <v>0</v>
      </c>
      <c r="BL3" s="3">
        <v>0</v>
      </c>
      <c r="BM3" s="3">
        <v>0</v>
      </c>
    </row>
    <row r="4" spans="1:65" ht="24.9" customHeight="1" x14ac:dyDescent="0.3">
      <c r="A4" s="3" t="s">
        <v>15</v>
      </c>
      <c r="B4" s="3">
        <v>2</v>
      </c>
      <c r="C4" s="8">
        <v>44221</v>
      </c>
      <c r="D4" s="9">
        <v>0.58333333333333337</v>
      </c>
      <c r="E4" s="4">
        <v>54</v>
      </c>
      <c r="F4" s="3">
        <v>0</v>
      </c>
      <c r="G4" s="3">
        <v>0</v>
      </c>
      <c r="H4" s="3">
        <v>0</v>
      </c>
      <c r="I4" s="3">
        <v>0</v>
      </c>
      <c r="J4" s="9">
        <v>0.58333333333333337</v>
      </c>
      <c r="K4" s="3">
        <v>141.6</v>
      </c>
      <c r="L4" s="11">
        <f t="shared" si="0"/>
        <v>-2.2000000000000171</v>
      </c>
      <c r="M4" s="5">
        <f>AB3</f>
        <v>1681.25</v>
      </c>
      <c r="N4" s="11">
        <v>31.5</v>
      </c>
      <c r="O4" s="11" t="s">
        <v>20</v>
      </c>
      <c r="P4" s="11">
        <v>11.25</v>
      </c>
      <c r="Q4" s="11">
        <v>11.25</v>
      </c>
      <c r="R4" s="11">
        <v>22.5</v>
      </c>
      <c r="S4" s="11">
        <v>22.5</v>
      </c>
      <c r="T4" s="11">
        <v>20</v>
      </c>
      <c r="U4" s="11">
        <v>20</v>
      </c>
      <c r="V4" s="11">
        <v>20</v>
      </c>
      <c r="W4" s="11">
        <v>20</v>
      </c>
      <c r="X4" s="11">
        <v>10</v>
      </c>
      <c r="Y4" s="11">
        <v>10</v>
      </c>
      <c r="Z4" s="3" t="s">
        <v>112</v>
      </c>
      <c r="AA4" s="10" t="s">
        <v>107</v>
      </c>
      <c r="AB4" s="5">
        <f>90+200+20+200+81+75+322+200+100+75+200+290+105.6+322+200+175</f>
        <v>2655.6</v>
      </c>
      <c r="AC4" s="6">
        <f>3.5+1+1.5+9+5+1+9+29+5+12+13+4.62+29+9+11.4</f>
        <v>143.02000000000001</v>
      </c>
      <c r="AD4" s="6">
        <f>1+1+9+4.5+4+9+4.5+6+12+1.32+4+9+0+10.5</f>
        <v>75.819999999999993</v>
      </c>
      <c r="AE4" s="6">
        <f>3+4+2+12+0.75+2+12+4+0.75+7+2+1.32+4+12+2+1.75</f>
        <v>70.569999999999993</v>
      </c>
      <c r="AF4" s="6">
        <f>12+44+1+21+8.25+21+1+17+8.25+39+22+13.86+17+1+24+19.25</f>
        <v>269.61</v>
      </c>
      <c r="AG4" s="6">
        <f>3+1+4+0.75+2+18+0.75+3+2+1.32+18+2+1.75</f>
        <v>57.57</v>
      </c>
      <c r="AH4" s="6">
        <f>460+100+340+2+7.5+20+340+14+7.5+1150+20+14+340+17.5</f>
        <v>2832.5</v>
      </c>
      <c r="AI4" s="6">
        <f t="shared" si="1"/>
        <v>5.3856002410001512E-2</v>
      </c>
      <c r="AJ4" s="6">
        <f t="shared" si="2"/>
        <v>2.8550986594366619E-2</v>
      </c>
      <c r="AK4" s="6">
        <f t="shared" si="3"/>
        <v>2.6574032233770143E-2</v>
      </c>
      <c r="AL4" s="6">
        <f t="shared" si="4"/>
        <v>0.10152507907817443</v>
      </c>
      <c r="AM4" s="6">
        <f t="shared" si="5"/>
        <v>2.1678716674197924E-2</v>
      </c>
      <c r="AN4" s="6">
        <f t="shared" si="6"/>
        <v>1.0666139478837176</v>
      </c>
      <c r="AO4" s="7">
        <v>3</v>
      </c>
      <c r="AP4" s="7">
        <v>2</v>
      </c>
      <c r="AQ4" s="7">
        <v>1</v>
      </c>
      <c r="AR4" s="10">
        <v>0</v>
      </c>
      <c r="AS4" s="10">
        <v>0</v>
      </c>
      <c r="AT4" s="10">
        <v>0</v>
      </c>
      <c r="AU4" s="7">
        <v>0</v>
      </c>
      <c r="AV4" s="3">
        <v>0</v>
      </c>
      <c r="AW4" s="3">
        <v>31</v>
      </c>
      <c r="AX4" s="3">
        <v>1</v>
      </c>
      <c r="AY4" s="5">
        <v>7</v>
      </c>
      <c r="AZ4" s="3">
        <v>0</v>
      </c>
      <c r="BA4" s="3">
        <v>1</v>
      </c>
      <c r="BB4" s="3">
        <v>0</v>
      </c>
      <c r="BC4" s="3">
        <v>1</v>
      </c>
      <c r="BD4" s="3">
        <v>1</v>
      </c>
      <c r="BE4" s="3">
        <v>0</v>
      </c>
      <c r="BF4" s="3">
        <v>0</v>
      </c>
      <c r="BG4" s="3">
        <v>0</v>
      </c>
      <c r="BH4" s="3">
        <v>0</v>
      </c>
      <c r="BI4" s="3">
        <v>0</v>
      </c>
      <c r="BJ4" s="3">
        <v>0</v>
      </c>
      <c r="BK4" s="3">
        <v>0</v>
      </c>
      <c r="BL4" s="3">
        <v>0</v>
      </c>
      <c r="BM4" s="3">
        <v>0</v>
      </c>
    </row>
    <row r="5" spans="1:65" ht="24.9" customHeight="1" x14ac:dyDescent="0.3">
      <c r="A5" s="3" t="s">
        <v>16</v>
      </c>
      <c r="B5" s="3">
        <v>3</v>
      </c>
      <c r="C5" s="8">
        <v>44222</v>
      </c>
      <c r="D5" s="9">
        <v>0.59375</v>
      </c>
      <c r="E5" s="4">
        <v>57</v>
      </c>
      <c r="F5" s="3">
        <v>12</v>
      </c>
      <c r="G5" s="3">
        <v>3</v>
      </c>
      <c r="H5" s="3">
        <v>36</v>
      </c>
      <c r="I5" s="3">
        <v>1</v>
      </c>
      <c r="J5" s="3" t="s">
        <v>20</v>
      </c>
      <c r="K5" s="3" t="s">
        <v>20</v>
      </c>
      <c r="L5" s="11" t="s">
        <v>20</v>
      </c>
      <c r="M5" s="5">
        <f t="shared" ref="M5:M23" si="7">AB4</f>
        <v>2655.6</v>
      </c>
      <c r="N5" s="11" t="s">
        <v>20</v>
      </c>
      <c r="O5" s="11" t="s">
        <v>20</v>
      </c>
      <c r="P5" s="11" t="s">
        <v>20</v>
      </c>
      <c r="Q5" s="11" t="s">
        <v>20</v>
      </c>
      <c r="R5" s="11" t="s">
        <v>20</v>
      </c>
      <c r="S5" s="11" t="s">
        <v>20</v>
      </c>
      <c r="T5" s="11" t="s">
        <v>20</v>
      </c>
      <c r="U5" s="11" t="s">
        <v>20</v>
      </c>
      <c r="V5" s="11" t="s">
        <v>20</v>
      </c>
      <c r="W5" s="11" t="s">
        <v>20</v>
      </c>
      <c r="X5" s="11" t="s">
        <v>20</v>
      </c>
      <c r="Y5" s="11" t="s">
        <v>20</v>
      </c>
      <c r="Z5" s="3" t="s">
        <v>116</v>
      </c>
      <c r="AA5" s="10" t="s">
        <v>120</v>
      </c>
      <c r="AB5" s="5">
        <f>200+150+60+161+330+260+31+37+40+161+20+81+330+260+31+37+40+20+100+92+57+140</f>
        <v>2638</v>
      </c>
      <c r="AC5" s="6">
        <f>2+6.75+1+14.5+2.5+18+0.34+14.5+1.5+2.5+18+0.34+1.5+4.5+10</f>
        <v>97.93</v>
      </c>
      <c r="AD5" s="6">
        <f>0+6.75+0+2+0.5+5+0.04+0+0+2+1+0+0.5+5+0.04+0+0+1+4.5+0+0+3</f>
        <v>31.33</v>
      </c>
      <c r="AE5" s="6">
        <f>4+9+2+2+23+20+3+1+1+2+2+2+23+20+3+1+1+2+6+2+0+12</f>
        <v>141</v>
      </c>
      <c r="AF5" s="6">
        <f>42+0.75+12+8.5+61+5+6+7+10+8.5+0+21+61+5+6+7+10+0+0.5+24+15+0</f>
        <v>310.25</v>
      </c>
      <c r="AG5" s="6">
        <f>4+0+2+6.5+11+2+2+2+3+6.5+0+4+11+2+2+2+3+0+0+2+3+0</f>
        <v>68</v>
      </c>
      <c r="AH5" s="6">
        <f>40+255+420+7+0+350+30.03+5+0+7+100+2+0+350+30.03+5+0+100+170+0+1+140</f>
        <v>2012.06</v>
      </c>
      <c r="AI5" s="6">
        <f t="shared" si="1"/>
        <v>3.7122820318423053E-2</v>
      </c>
      <c r="AJ5" s="6">
        <f t="shared" si="2"/>
        <v>1.1876421531463229E-2</v>
      </c>
      <c r="AK5" s="6">
        <f t="shared" si="3"/>
        <v>5.3449583017437449E-2</v>
      </c>
      <c r="AL5" s="6">
        <f t="shared" si="4"/>
        <v>0.11760803639120546</v>
      </c>
      <c r="AM5" s="6">
        <f t="shared" si="5"/>
        <v>2.5777103866565579E-2</v>
      </c>
      <c r="AN5" s="6">
        <f t="shared" si="6"/>
        <v>0.76272175890826377</v>
      </c>
      <c r="AO5" s="7">
        <v>3</v>
      </c>
      <c r="AP5" s="7">
        <v>1</v>
      </c>
      <c r="AQ5" s="7">
        <v>1</v>
      </c>
      <c r="AR5" s="10" t="s">
        <v>113</v>
      </c>
      <c r="AS5" s="10">
        <v>0</v>
      </c>
      <c r="AT5" s="10">
        <v>0</v>
      </c>
      <c r="AU5" s="7">
        <v>0</v>
      </c>
      <c r="AV5" s="10">
        <v>0</v>
      </c>
      <c r="AW5" s="3">
        <v>31</v>
      </c>
      <c r="AX5" s="3">
        <v>1</v>
      </c>
      <c r="AY5" s="5">
        <v>8.5</v>
      </c>
      <c r="AZ5" s="3">
        <v>1</v>
      </c>
      <c r="BA5" s="3">
        <v>1</v>
      </c>
      <c r="BB5" s="3">
        <v>1</v>
      </c>
      <c r="BC5" s="3">
        <v>1</v>
      </c>
      <c r="BD5" s="3">
        <v>1</v>
      </c>
      <c r="BE5" s="3">
        <v>0</v>
      </c>
      <c r="BF5" s="3">
        <v>0</v>
      </c>
      <c r="BG5" s="3">
        <v>0</v>
      </c>
      <c r="BH5" s="3">
        <v>0</v>
      </c>
      <c r="BI5" s="3">
        <v>0</v>
      </c>
      <c r="BJ5" s="3">
        <v>0</v>
      </c>
      <c r="BK5" s="3">
        <v>0</v>
      </c>
      <c r="BL5" s="3">
        <v>0</v>
      </c>
      <c r="BM5" s="3">
        <v>0</v>
      </c>
    </row>
    <row r="6" spans="1:65" ht="20.100000000000001" customHeight="1" x14ac:dyDescent="0.3">
      <c r="A6" s="3" t="s">
        <v>17</v>
      </c>
      <c r="B6" s="3">
        <v>4</v>
      </c>
      <c r="C6" s="8">
        <v>44223</v>
      </c>
      <c r="D6" s="9">
        <v>0.6875</v>
      </c>
      <c r="E6" s="4">
        <v>52</v>
      </c>
      <c r="F6" s="3">
        <v>0</v>
      </c>
      <c r="G6" s="3">
        <v>0</v>
      </c>
      <c r="H6" s="3">
        <v>0</v>
      </c>
      <c r="I6" s="3">
        <v>0</v>
      </c>
      <c r="J6" s="9">
        <v>0.6875</v>
      </c>
      <c r="K6" s="3">
        <v>142.4</v>
      </c>
      <c r="L6" s="11" t="s">
        <v>20</v>
      </c>
      <c r="M6" s="5">
        <f t="shared" si="7"/>
        <v>2638</v>
      </c>
      <c r="N6" s="11">
        <v>31</v>
      </c>
      <c r="O6" s="11">
        <v>33</v>
      </c>
      <c r="P6" s="11">
        <v>11.75</v>
      </c>
      <c r="Q6" s="18">
        <v>11.5</v>
      </c>
      <c r="R6" s="11">
        <v>22.5</v>
      </c>
      <c r="S6" s="11">
        <v>22.5</v>
      </c>
      <c r="T6" s="11">
        <v>20</v>
      </c>
      <c r="U6" s="11">
        <v>20</v>
      </c>
      <c r="V6" s="11">
        <v>20</v>
      </c>
      <c r="W6" s="11">
        <v>20</v>
      </c>
      <c r="X6" s="11">
        <v>10</v>
      </c>
      <c r="Y6" s="11">
        <v>10</v>
      </c>
      <c r="Z6" s="3" t="s">
        <v>127</v>
      </c>
      <c r="AA6" s="10" t="s">
        <v>128</v>
      </c>
      <c r="AB6" s="3">
        <f>330+260+60+31+37+40+20+160+208+57+200+160+180+322+81+330+260+60+31+37+40+20+160+150+60+200+615+200+160+120</f>
        <v>4589</v>
      </c>
      <c r="AC6" s="3">
        <f>2.5+18+1+0.34+0+0+1.5+10+0+0+2+10+4.5+29+0+2.5+18+1+0.34+0+0+1.5+10+10+5+0+0+2+10+3</f>
        <v>142.18</v>
      </c>
      <c r="AD6" s="3">
        <f>0.5+5+0+0.04+0+0+1+7+0+0+0+7+3+4+0+0.5+5+0+0.04+0+0+1+7+1.5+3.5+0+0+0+7+2</f>
        <v>55.08</v>
      </c>
      <c r="AE6" s="3">
        <f>23+20+2+3+1+1+2+12+2+0+4+12+9+4+2+23+20+2+3+1+1+2+12+1+1+0+0+4+12+6</f>
        <v>185</v>
      </c>
      <c r="AF6" s="3">
        <f>61+5+12+6+7+10+0+2+54+15+42+2+28.5+17+21+61+5+12+6+7+10+0+2+15+2+50+20+42+2+19</f>
        <v>535.5</v>
      </c>
      <c r="AG6" s="3">
        <f>11+2+2+2+2+3+0+0+2+3+4+0+3+18+4+11+2+2+2+2+3+0+0+1+0+4+0+4+0+2</f>
        <v>89</v>
      </c>
      <c r="AH6" s="3">
        <f>0+350+420+30.03+5+0+100+380+6+1+40+380+495+14+2+0+350+420+30.03+5+0+100+380+140+15+0+30+40+380+330</f>
        <v>4443.0599999999995</v>
      </c>
      <c r="AI6" s="6">
        <f t="shared" si="1"/>
        <v>3.0982784920461977E-2</v>
      </c>
      <c r="AJ6" s="6">
        <f t="shared" si="2"/>
        <v>1.2002614948790586E-2</v>
      </c>
      <c r="AK6" s="6">
        <f t="shared" si="3"/>
        <v>4.0313793854870342E-2</v>
      </c>
      <c r="AL6" s="6">
        <f t="shared" si="4"/>
        <v>0.11669208977990847</v>
      </c>
      <c r="AM6" s="6">
        <f t="shared" si="5"/>
        <v>1.9394203530180867E-2</v>
      </c>
      <c r="AN6" s="6">
        <f t="shared" si="6"/>
        <v>0.96819786445848754</v>
      </c>
      <c r="AO6" s="7">
        <v>3</v>
      </c>
      <c r="AP6" s="7">
        <v>3</v>
      </c>
      <c r="AQ6" s="7">
        <v>1</v>
      </c>
      <c r="AR6" s="10">
        <v>0</v>
      </c>
      <c r="AS6" s="10">
        <v>0</v>
      </c>
      <c r="AT6" s="10">
        <v>0</v>
      </c>
      <c r="AU6" s="7">
        <v>0</v>
      </c>
      <c r="AV6" s="3">
        <v>0</v>
      </c>
      <c r="AW6" s="3">
        <v>31</v>
      </c>
      <c r="AX6" s="3">
        <v>1</v>
      </c>
      <c r="AY6" s="5">
        <v>7</v>
      </c>
      <c r="AZ6" s="3">
        <v>1</v>
      </c>
      <c r="BA6" s="3">
        <v>0</v>
      </c>
      <c r="BB6" s="3">
        <v>1</v>
      </c>
      <c r="BC6" s="3">
        <v>1</v>
      </c>
      <c r="BD6" s="3">
        <v>1</v>
      </c>
      <c r="BE6" s="3">
        <v>0</v>
      </c>
      <c r="BF6" s="3">
        <v>0</v>
      </c>
      <c r="BG6" s="3">
        <v>0</v>
      </c>
      <c r="BH6" s="3">
        <v>0</v>
      </c>
      <c r="BI6" s="3">
        <v>0</v>
      </c>
      <c r="BJ6" s="3">
        <v>0</v>
      </c>
      <c r="BK6" s="11">
        <v>5</v>
      </c>
      <c r="BL6" s="3" t="s">
        <v>972</v>
      </c>
      <c r="BM6" s="3">
        <v>0</v>
      </c>
    </row>
    <row r="7" spans="1:65" ht="20.100000000000001" customHeight="1" x14ac:dyDescent="0.3">
      <c r="A7" s="3" t="s">
        <v>18</v>
      </c>
      <c r="B7" s="3">
        <v>5</v>
      </c>
      <c r="C7" s="8">
        <v>44224</v>
      </c>
      <c r="D7" s="9">
        <v>0.39583333333333331</v>
      </c>
      <c r="E7" s="4">
        <v>54</v>
      </c>
      <c r="F7" s="3">
        <v>9</v>
      </c>
      <c r="G7" s="3">
        <v>5</v>
      </c>
      <c r="H7" s="3">
        <v>45</v>
      </c>
      <c r="I7" s="3">
        <v>1</v>
      </c>
      <c r="J7" s="9">
        <v>0.21875</v>
      </c>
      <c r="K7" s="3">
        <v>140.6</v>
      </c>
      <c r="L7" s="11">
        <f>K7-K6</f>
        <v>-1.8000000000000114</v>
      </c>
      <c r="M7" s="5">
        <f t="shared" si="7"/>
        <v>4589</v>
      </c>
      <c r="N7" s="11">
        <v>32.5</v>
      </c>
      <c r="O7" s="11">
        <v>33.5</v>
      </c>
      <c r="P7" s="11">
        <v>11.5</v>
      </c>
      <c r="Q7" s="18">
        <v>11.5</v>
      </c>
      <c r="R7" s="11">
        <v>23</v>
      </c>
      <c r="S7" s="11">
        <v>23</v>
      </c>
      <c r="T7" s="11">
        <v>22</v>
      </c>
      <c r="U7" s="11">
        <v>22</v>
      </c>
      <c r="V7" s="11">
        <v>20</v>
      </c>
      <c r="W7" s="11">
        <v>20</v>
      </c>
      <c r="X7" s="11">
        <v>10</v>
      </c>
      <c r="Y7" s="11">
        <v>10</v>
      </c>
      <c r="Z7" s="3" t="s">
        <v>131</v>
      </c>
      <c r="AA7" s="10" t="s">
        <v>132</v>
      </c>
      <c r="AB7" s="3">
        <f>330+260+60+31+37+40+20+200+160+140+322+200+270+300+81+920+100+80+120</f>
        <v>3671</v>
      </c>
      <c r="AC7" s="3">
        <f>2.5+18+1+0.34+0+0+1.5+2+10+10+29+0+7+2+0+0+1+5+3</f>
        <v>92.34</v>
      </c>
      <c r="AD7" s="3">
        <f>0.5+5+0+3+0+0+1+0+7+3+4+0+1+0+0+2+0+3.5+2</f>
        <v>32</v>
      </c>
      <c r="AE7" s="3">
        <f>23+20+2+3+1+1+2+4+12+12+4+0+6+6+2+24+2+6+6</f>
        <v>136</v>
      </c>
      <c r="AF7" s="3">
        <f>61+5+12+6+7+10+0+42+2+0+17+50+46+66+21+24+21+1+19</f>
        <v>410</v>
      </c>
      <c r="AG7" s="3">
        <f>11+2+2+2+2+3+0+4+0+0+18+4+3+4+4+2+2+0+2</f>
        <v>65</v>
      </c>
      <c r="AH7" s="3">
        <f>0+350+420+30.03+5+0+100+40+380+140+14+0+55+560+2+0+20+190+330</f>
        <v>2636.0299999999997</v>
      </c>
      <c r="AI7" s="6">
        <f t="shared" si="1"/>
        <v>2.5153909016616727E-2</v>
      </c>
      <c r="AJ7" s="6">
        <f t="shared" si="2"/>
        <v>8.7169708526287117E-3</v>
      </c>
      <c r="AK7" s="6">
        <f t="shared" si="3"/>
        <v>3.7047126123672024E-2</v>
      </c>
      <c r="AL7" s="6">
        <f t="shared" si="4"/>
        <v>0.11168618904930537</v>
      </c>
      <c r="AM7" s="6">
        <f t="shared" si="5"/>
        <v>1.770634704440207E-2</v>
      </c>
      <c r="AN7" s="6">
        <f t="shared" si="6"/>
        <v>0.7180686461454644</v>
      </c>
      <c r="AO7" s="7">
        <v>3</v>
      </c>
      <c r="AP7" s="7">
        <v>1</v>
      </c>
      <c r="AQ7" s="7">
        <v>1</v>
      </c>
      <c r="AR7" s="10" t="s">
        <v>129</v>
      </c>
      <c r="AS7" s="3" t="s">
        <v>130</v>
      </c>
      <c r="AU7" s="7">
        <f>5+10+10</f>
        <v>25</v>
      </c>
      <c r="AV7" s="10">
        <v>0</v>
      </c>
      <c r="AW7" s="3">
        <v>31</v>
      </c>
      <c r="AX7" s="3">
        <v>1</v>
      </c>
      <c r="AY7" s="5">
        <v>6</v>
      </c>
      <c r="AZ7" s="3">
        <v>1</v>
      </c>
      <c r="BA7" s="3">
        <v>1</v>
      </c>
      <c r="BB7" s="3">
        <v>1</v>
      </c>
      <c r="BC7" s="3">
        <v>1</v>
      </c>
      <c r="BD7" s="3">
        <v>1</v>
      </c>
      <c r="BE7" s="3">
        <v>0</v>
      </c>
      <c r="BF7" s="3">
        <v>1</v>
      </c>
      <c r="BG7" s="3">
        <v>120</v>
      </c>
      <c r="BH7" s="3">
        <v>0</v>
      </c>
      <c r="BI7" s="3">
        <v>0</v>
      </c>
      <c r="BJ7" s="3">
        <v>0</v>
      </c>
      <c r="BK7" s="3">
        <v>0</v>
      </c>
      <c r="BL7" s="3">
        <v>0</v>
      </c>
      <c r="BM7" s="3">
        <v>0</v>
      </c>
    </row>
    <row r="8" spans="1:65" ht="20.100000000000001" customHeight="1" x14ac:dyDescent="0.3">
      <c r="A8" s="3" t="s">
        <v>137</v>
      </c>
      <c r="B8" s="3">
        <v>6</v>
      </c>
      <c r="C8" s="8">
        <v>44225</v>
      </c>
      <c r="D8" s="9">
        <v>0.58333333333333337</v>
      </c>
      <c r="E8" s="4">
        <v>50</v>
      </c>
      <c r="F8" s="3">
        <v>0</v>
      </c>
      <c r="G8" s="3">
        <v>0</v>
      </c>
      <c r="H8" s="3">
        <v>0</v>
      </c>
      <c r="I8" s="3">
        <v>0</v>
      </c>
      <c r="J8" s="9">
        <v>0.29166666666666669</v>
      </c>
      <c r="K8" s="3">
        <v>141.4</v>
      </c>
      <c r="L8" s="11">
        <f>K8-K7</f>
        <v>0.80000000000001137</v>
      </c>
      <c r="M8" s="5">
        <f t="shared" si="7"/>
        <v>3671</v>
      </c>
      <c r="N8" s="11">
        <v>31.5</v>
      </c>
      <c r="O8" s="11">
        <v>33</v>
      </c>
      <c r="P8" s="11">
        <v>11.25</v>
      </c>
      <c r="Q8" s="18">
        <v>11.25</v>
      </c>
      <c r="R8" s="11">
        <v>21.75</v>
      </c>
      <c r="S8" s="11">
        <v>21.75</v>
      </c>
      <c r="T8" s="11">
        <v>20</v>
      </c>
      <c r="U8" s="11">
        <v>20</v>
      </c>
      <c r="V8" s="11">
        <v>20</v>
      </c>
      <c r="W8" s="11">
        <v>20</v>
      </c>
      <c r="X8" s="11">
        <v>14</v>
      </c>
      <c r="Y8" s="11">
        <v>14</v>
      </c>
      <c r="Z8" s="3" t="s">
        <v>146</v>
      </c>
      <c r="AA8" s="10" t="s">
        <v>144</v>
      </c>
      <c r="AB8" s="3">
        <f>140+322+200+160+162+92+150+240+42+100+22.1+190+200+5+75</f>
        <v>2100.1</v>
      </c>
      <c r="AC8" s="3">
        <f>10+29+2+10+0+0+1+6+0.4+8+0.2+18+0+0+0.5</f>
        <v>85.100000000000009</v>
      </c>
      <c r="AD8" s="3">
        <f>3+4+0+7+0+0+0+4+0+5+0+1.5+0+0+0</f>
        <v>24.5</v>
      </c>
      <c r="AE8" s="3">
        <f>12+4+4+12+4+2+3+12+1+7+1.1+4+0+0+1.5</f>
        <v>67.599999999999994</v>
      </c>
      <c r="AF8" s="3">
        <f>0+17+42+2+42+24+32+38+10+0+4.8+4+50+1+16</f>
        <v>282.8</v>
      </c>
      <c r="AG8" s="3">
        <f>0+18+4+0+8+2+2+4+2.2+0+1.5+2+4+0+1</f>
        <v>48.7</v>
      </c>
      <c r="AH8" s="3">
        <f>140+14+40+380+4+0+280+660+412+170+6.2+0+0+0+140</f>
        <v>2246.1999999999998</v>
      </c>
      <c r="AI8" s="6">
        <f t="shared" si="1"/>
        <v>4.0521879910480459E-2</v>
      </c>
      <c r="AJ8" s="6">
        <f t="shared" si="2"/>
        <v>1.1666111137564878E-2</v>
      </c>
      <c r="AK8" s="6">
        <f t="shared" si="3"/>
        <v>3.2188943383648395E-2</v>
      </c>
      <c r="AL8" s="6">
        <f t="shared" si="4"/>
        <v>0.13466025427360603</v>
      </c>
      <c r="AM8" s="6">
        <f t="shared" si="5"/>
        <v>2.3189371934669779E-2</v>
      </c>
      <c r="AN8" s="6">
        <f t="shared" si="6"/>
        <v>1.0695681158040093</v>
      </c>
      <c r="AO8" s="7">
        <v>3</v>
      </c>
      <c r="AP8" s="7">
        <v>1</v>
      </c>
      <c r="AQ8" s="7">
        <v>0</v>
      </c>
      <c r="AR8" s="10">
        <v>0</v>
      </c>
      <c r="AS8" s="10">
        <v>0</v>
      </c>
      <c r="AT8" s="10">
        <v>0</v>
      </c>
      <c r="AU8" s="7">
        <v>0</v>
      </c>
      <c r="AV8" s="3">
        <v>0</v>
      </c>
      <c r="AW8" s="3">
        <v>31</v>
      </c>
      <c r="AX8" s="3">
        <v>1</v>
      </c>
      <c r="AY8" s="5">
        <v>6.5</v>
      </c>
      <c r="AZ8" s="3">
        <v>1</v>
      </c>
      <c r="BA8" s="3">
        <v>1</v>
      </c>
      <c r="BB8" s="3">
        <v>1</v>
      </c>
      <c r="BC8" s="3">
        <v>1</v>
      </c>
      <c r="BD8" s="3">
        <v>1</v>
      </c>
      <c r="BE8" s="3">
        <v>0</v>
      </c>
      <c r="BF8" s="3">
        <v>0</v>
      </c>
      <c r="BG8" s="3">
        <v>0</v>
      </c>
      <c r="BH8" s="3">
        <v>0</v>
      </c>
      <c r="BI8" s="3">
        <v>0</v>
      </c>
      <c r="BJ8" s="3">
        <v>0</v>
      </c>
      <c r="BK8" s="3">
        <v>0</v>
      </c>
      <c r="BL8" s="3">
        <v>0</v>
      </c>
      <c r="BM8" s="3">
        <v>0</v>
      </c>
    </row>
    <row r="9" spans="1:65" ht="20.100000000000001" customHeight="1" x14ac:dyDescent="0.3">
      <c r="A9" s="3" t="s">
        <v>19</v>
      </c>
      <c r="B9" s="3">
        <v>7</v>
      </c>
      <c r="C9" s="8">
        <v>44226</v>
      </c>
      <c r="D9" s="9">
        <v>0.29166666666666669</v>
      </c>
      <c r="E9" s="4">
        <v>40</v>
      </c>
      <c r="F9" s="3">
        <v>12</v>
      </c>
      <c r="G9" s="3">
        <v>3</v>
      </c>
      <c r="H9" s="3">
        <v>36</v>
      </c>
      <c r="I9" s="3">
        <v>1</v>
      </c>
      <c r="J9" s="9">
        <v>0.29166666666666669</v>
      </c>
      <c r="K9" s="3">
        <v>141.4</v>
      </c>
      <c r="L9" s="11">
        <f t="shared" ref="L9:L23" si="8">K9-K8</f>
        <v>0</v>
      </c>
      <c r="M9" s="5">
        <f t="shared" si="7"/>
        <v>2100.1</v>
      </c>
      <c r="N9" s="5">
        <v>32.5</v>
      </c>
      <c r="O9" s="11">
        <v>33.5</v>
      </c>
      <c r="P9" s="11">
        <v>11.25</v>
      </c>
      <c r="Q9" s="18" t="s">
        <v>140</v>
      </c>
      <c r="R9" s="11">
        <v>22.5</v>
      </c>
      <c r="S9" s="11">
        <v>22.5</v>
      </c>
      <c r="T9" s="11">
        <v>20</v>
      </c>
      <c r="U9" s="11">
        <v>20</v>
      </c>
      <c r="V9" s="11">
        <v>20</v>
      </c>
      <c r="W9" s="11">
        <v>20</v>
      </c>
      <c r="X9" s="11">
        <v>12</v>
      </c>
      <c r="Y9" s="11">
        <v>10</v>
      </c>
      <c r="Z9" s="3" t="s">
        <v>145</v>
      </c>
      <c r="AA9" s="10" t="s">
        <v>141</v>
      </c>
      <c r="AB9" s="3">
        <f>42+100+22.1+190+150+200+260+60+42+100+22.1+190+20</f>
        <v>1398.1999999999998</v>
      </c>
      <c r="AC9" s="3">
        <f>0.4+8+0.2+18+1+1+18+1+0.4+8+0.2+18+1.5</f>
        <v>75.7</v>
      </c>
      <c r="AD9" s="3">
        <f>0+5+0+1.5+0+0+0+5+0+0+5+0+1.5+1</f>
        <v>19</v>
      </c>
      <c r="AE9" s="3">
        <f>1+7+1.1+4+3+4+20+2+1+7+1.1+4+2</f>
        <v>57.2</v>
      </c>
      <c r="AF9" s="3">
        <f>10+0+4.8+4+33+44+5+12+10+0+4.8+4+0</f>
        <v>131.6</v>
      </c>
      <c r="AG9" s="3">
        <f>2.2+0+1.5+2+2+1+2+2+2.2+0+1.5+2+0</f>
        <v>18.399999999999999</v>
      </c>
      <c r="AH9" s="3">
        <f>412+170+6.2+0+280+0+350+420+412+170+6.2+0+100</f>
        <v>2326.3999999999996</v>
      </c>
      <c r="AI9" s="6">
        <f t="shared" si="1"/>
        <v>5.4141038478043205E-2</v>
      </c>
      <c r="AJ9" s="6">
        <f t="shared" si="2"/>
        <v>1.3588900014304107E-2</v>
      </c>
      <c r="AK9" s="6">
        <f t="shared" si="3"/>
        <v>4.0909741095694473E-2</v>
      </c>
      <c r="AL9" s="6">
        <f t="shared" si="4"/>
        <v>9.4121012730653708E-2</v>
      </c>
      <c r="AM9" s="6">
        <f t="shared" si="5"/>
        <v>1.315977685595766E-2</v>
      </c>
      <c r="AN9" s="6">
        <f t="shared" si="6"/>
        <v>1.6638535259619511</v>
      </c>
      <c r="AO9" s="7">
        <v>3</v>
      </c>
      <c r="AP9" s="7">
        <v>3</v>
      </c>
      <c r="AQ9" s="7">
        <v>0</v>
      </c>
      <c r="AR9" s="10" t="s">
        <v>139</v>
      </c>
      <c r="AS9" s="3" t="s">
        <v>138</v>
      </c>
      <c r="AT9" s="10">
        <v>0</v>
      </c>
      <c r="AU9" s="7">
        <v>0</v>
      </c>
      <c r="AV9" s="10">
        <v>0</v>
      </c>
      <c r="AW9" s="3">
        <v>31</v>
      </c>
      <c r="AX9" s="3">
        <v>1</v>
      </c>
      <c r="AY9" s="5">
        <v>7.5</v>
      </c>
      <c r="AZ9" s="3">
        <v>1</v>
      </c>
      <c r="BA9" s="3">
        <v>1</v>
      </c>
      <c r="BB9" s="3">
        <v>1</v>
      </c>
      <c r="BC9" s="3">
        <v>1</v>
      </c>
      <c r="BD9" s="3">
        <v>1</v>
      </c>
      <c r="BE9" s="3">
        <v>0</v>
      </c>
      <c r="BF9" s="3">
        <v>1</v>
      </c>
      <c r="BG9" s="3">
        <v>30</v>
      </c>
      <c r="BH9" s="3">
        <v>0</v>
      </c>
      <c r="BI9" s="3">
        <v>0</v>
      </c>
      <c r="BJ9" s="3">
        <v>0</v>
      </c>
      <c r="BK9" s="3">
        <v>0</v>
      </c>
      <c r="BL9" s="3">
        <v>0</v>
      </c>
      <c r="BM9" s="3">
        <v>0</v>
      </c>
    </row>
    <row r="10" spans="1:65" ht="20.100000000000001" customHeight="1" x14ac:dyDescent="0.3">
      <c r="A10" s="3" t="s">
        <v>19</v>
      </c>
      <c r="B10" s="3">
        <v>7</v>
      </c>
      <c r="C10" s="8">
        <v>44226</v>
      </c>
      <c r="D10" s="9">
        <v>0.83333333333333337</v>
      </c>
      <c r="E10" s="4">
        <v>53</v>
      </c>
      <c r="F10" s="3">
        <v>12</v>
      </c>
      <c r="G10" s="3">
        <v>3</v>
      </c>
      <c r="H10" s="3">
        <v>36</v>
      </c>
      <c r="I10" s="3">
        <v>1</v>
      </c>
      <c r="J10" s="9">
        <v>0.83333333333333337</v>
      </c>
      <c r="K10" s="3">
        <v>144</v>
      </c>
      <c r="L10" s="11">
        <f t="shared" si="8"/>
        <v>2.5999999999999943</v>
      </c>
      <c r="M10" s="5">
        <f t="shared" si="7"/>
        <v>1398.1999999999998</v>
      </c>
      <c r="N10" s="5">
        <v>31</v>
      </c>
      <c r="O10" s="11">
        <v>33.5</v>
      </c>
      <c r="P10" s="11">
        <v>11.25</v>
      </c>
      <c r="Q10" s="18" t="s">
        <v>140</v>
      </c>
      <c r="R10" s="11">
        <v>22.5</v>
      </c>
      <c r="S10" s="11">
        <v>22.5</v>
      </c>
      <c r="T10" s="11">
        <v>20</v>
      </c>
      <c r="U10" s="11">
        <v>20</v>
      </c>
      <c r="V10" s="11">
        <v>20</v>
      </c>
      <c r="W10" s="11">
        <v>20</v>
      </c>
      <c r="X10" s="11">
        <v>12</v>
      </c>
      <c r="Y10" s="11">
        <v>10</v>
      </c>
      <c r="Z10" s="3" t="s">
        <v>145</v>
      </c>
      <c r="AA10" s="10" t="s">
        <v>141</v>
      </c>
      <c r="AB10" s="3">
        <f>42+100+22.1+190+150+200+260+60+42+100+22.1+190+20</f>
        <v>1398.1999999999998</v>
      </c>
      <c r="AC10" s="3">
        <f>0.4+8+0.2+18+1+1+18+1+0.4+8+0.2+18+1.5</f>
        <v>75.7</v>
      </c>
      <c r="AD10" s="3">
        <f>0+5+0+1.5+0+0+0+5+0+0+5+0+1.5+1</f>
        <v>19</v>
      </c>
      <c r="AE10" s="3">
        <f>1+7+1.1+4+3+4+20+2+1+7+1.1+4+2</f>
        <v>57.2</v>
      </c>
      <c r="AF10" s="3">
        <f>10+0+4.8+4+33+44+5+12+10+0+4.8+4+0</f>
        <v>131.6</v>
      </c>
      <c r="AG10" s="3">
        <f>2.2+0+1.5+2+2+1+2+2+2.2+0+1.5+2+0</f>
        <v>18.399999999999999</v>
      </c>
      <c r="AH10" s="3">
        <f>412+170+6.2+0+280+0+350+420+412+170+6.2+0+100</f>
        <v>2326.3999999999996</v>
      </c>
      <c r="AI10" s="6">
        <f t="shared" si="1"/>
        <v>5.4141038478043205E-2</v>
      </c>
      <c r="AJ10" s="6">
        <f t="shared" si="2"/>
        <v>1.3588900014304107E-2</v>
      </c>
      <c r="AK10" s="6">
        <f t="shared" si="3"/>
        <v>4.0909741095694473E-2</v>
      </c>
      <c r="AL10" s="6">
        <f t="shared" si="4"/>
        <v>9.4121012730653708E-2</v>
      </c>
      <c r="AM10" s="6">
        <f t="shared" si="5"/>
        <v>1.315977685595766E-2</v>
      </c>
      <c r="AN10" s="6">
        <f t="shared" si="6"/>
        <v>1.6638535259619511</v>
      </c>
      <c r="AO10" s="7">
        <v>3</v>
      </c>
      <c r="AP10" s="7">
        <v>3</v>
      </c>
      <c r="AQ10" s="7">
        <v>0</v>
      </c>
      <c r="AR10" s="10" t="s">
        <v>139</v>
      </c>
      <c r="AS10" s="3" t="s">
        <v>138</v>
      </c>
      <c r="AT10" s="10">
        <v>0</v>
      </c>
      <c r="AU10" s="7">
        <v>0</v>
      </c>
      <c r="AV10" s="3">
        <v>0</v>
      </c>
      <c r="AW10" s="3">
        <v>31</v>
      </c>
      <c r="AX10" s="3">
        <v>1</v>
      </c>
      <c r="AY10" s="5">
        <v>7.5</v>
      </c>
      <c r="AZ10" s="3">
        <v>1</v>
      </c>
      <c r="BA10" s="3">
        <v>1</v>
      </c>
      <c r="BB10" s="3">
        <v>1</v>
      </c>
      <c r="BC10" s="3">
        <v>1</v>
      </c>
      <c r="BD10" s="3">
        <v>1</v>
      </c>
      <c r="BE10" s="3">
        <v>0</v>
      </c>
      <c r="BF10" s="3">
        <v>0</v>
      </c>
      <c r="BG10" s="3">
        <v>0</v>
      </c>
      <c r="BH10" s="3">
        <v>0</v>
      </c>
      <c r="BI10" s="3">
        <v>0</v>
      </c>
      <c r="BJ10" s="3">
        <v>0</v>
      </c>
      <c r="BK10" s="3">
        <v>0</v>
      </c>
      <c r="BL10" s="3">
        <v>0</v>
      </c>
      <c r="BM10" s="3">
        <v>0</v>
      </c>
    </row>
    <row r="11" spans="1:65" ht="20.100000000000001" customHeight="1" x14ac:dyDescent="0.3">
      <c r="A11" s="3" t="s">
        <v>23</v>
      </c>
      <c r="B11" s="3">
        <v>8</v>
      </c>
      <c r="C11" s="8">
        <v>44227</v>
      </c>
      <c r="D11" s="9">
        <v>0.58333333333333337</v>
      </c>
      <c r="E11" s="4">
        <v>73</v>
      </c>
      <c r="F11" s="3">
        <v>0</v>
      </c>
      <c r="G11" s="3">
        <v>0</v>
      </c>
      <c r="H11" s="3">
        <v>0</v>
      </c>
      <c r="I11" s="3">
        <v>0</v>
      </c>
      <c r="J11" s="9">
        <v>0.25694444444444448</v>
      </c>
      <c r="K11" s="3">
        <v>139.4</v>
      </c>
      <c r="L11" s="11">
        <f t="shared" si="8"/>
        <v>-4.5999999999999943</v>
      </c>
      <c r="M11" s="5">
        <f t="shared" si="7"/>
        <v>1398.1999999999998</v>
      </c>
      <c r="N11" s="5">
        <v>31.5</v>
      </c>
      <c r="O11" s="11">
        <v>33.5</v>
      </c>
      <c r="P11" s="11">
        <v>11.5</v>
      </c>
      <c r="Q11" s="18">
        <v>11.5</v>
      </c>
      <c r="R11" s="11">
        <v>21.5</v>
      </c>
      <c r="S11" s="11">
        <v>21.5</v>
      </c>
      <c r="T11" s="11">
        <v>20</v>
      </c>
      <c r="U11" s="11">
        <v>20</v>
      </c>
      <c r="V11" s="11">
        <v>20</v>
      </c>
      <c r="W11" s="11">
        <v>20</v>
      </c>
      <c r="X11" s="11">
        <v>10</v>
      </c>
      <c r="Y11" s="11">
        <v>10</v>
      </c>
      <c r="Z11" s="3" t="s">
        <v>143</v>
      </c>
      <c r="AA11" s="10" t="s">
        <v>142</v>
      </c>
      <c r="AB11" s="5">
        <f>200+260+60+42+100+22.1+190+20+200+260+60+42+100+22.1+190+81+92+200+260+60+42+100+22.1+190+100+20+107</f>
        <v>3042.2999999999997</v>
      </c>
      <c r="AC11" s="6">
        <f>1+18+1+0.4+8+0.2+18+1.5+1+18+1+0.4+8+0.2+18+0+0+1+18+1+0.4+8+0.2+18+8+1.5+0</f>
        <v>150.80000000000001</v>
      </c>
      <c r="AD11" s="6">
        <f>0+5+0+5+0+1.5+1+0+5+0+0+5+0+1.5+0+0+0+5+0+0+5+0+1.5+4.5+1+0</f>
        <v>41</v>
      </c>
      <c r="AE11" s="6">
        <f>4+20+2+1+7+1.1+4+2+2+4+20+2+2+1+7+1.1+4+2+2+4+20+2+1+7+1.1+4+5+2+1</f>
        <v>135.29999999999998</v>
      </c>
      <c r="AF11" s="6">
        <f>44+5+12+10+0+4.8+4+0+44+5+12+10+0+4.8+4+21+24+44+5+12+10+0+4.8+4+2+0+28</f>
        <v>314.40000000000003</v>
      </c>
      <c r="AG11" s="6">
        <f>1+2+2+2.2+0+1.5+2+0+1+2+2+2.2+0+1.5+2+4+2+1+2+2+2.2+0+1.5+2+0+0+3</f>
        <v>41.1</v>
      </c>
      <c r="AH11" s="6">
        <f>0+350+420+412+170+6.2+0+100+0+350+420+412+170+6.2+0+2+0+0+350+420+412+170+6.2+0+360+100+3</f>
        <v>4639.5999999999995</v>
      </c>
      <c r="AI11" s="6">
        <f t="shared" si="1"/>
        <v>4.9567761233277462E-2</v>
      </c>
      <c r="AJ11" s="6">
        <f t="shared" si="2"/>
        <v>1.3476645958649707E-2</v>
      </c>
      <c r="AK11" s="6">
        <f t="shared" si="3"/>
        <v>4.4472931663544026E-2</v>
      </c>
      <c r="AL11" s="6">
        <f t="shared" si="4"/>
        <v>0.10334286559510898</v>
      </c>
      <c r="AM11" s="6">
        <f t="shared" si="5"/>
        <v>1.3509515826841536E-2</v>
      </c>
      <c r="AN11" s="6">
        <f t="shared" si="6"/>
        <v>1.5250304046280774</v>
      </c>
      <c r="AO11" s="7">
        <v>3</v>
      </c>
      <c r="AP11" s="7">
        <v>1</v>
      </c>
      <c r="AQ11" s="7">
        <v>0</v>
      </c>
      <c r="AR11" s="10">
        <v>0</v>
      </c>
      <c r="AS11" s="10">
        <v>0</v>
      </c>
      <c r="AT11" s="10">
        <v>0</v>
      </c>
      <c r="AU11" s="7">
        <v>0</v>
      </c>
      <c r="AV11" s="10">
        <v>0</v>
      </c>
      <c r="AW11" s="3">
        <v>31</v>
      </c>
      <c r="AX11" s="3">
        <v>1</v>
      </c>
      <c r="AY11" s="5">
        <v>7</v>
      </c>
      <c r="AZ11" s="3">
        <v>1</v>
      </c>
      <c r="BA11" s="3">
        <v>1</v>
      </c>
      <c r="BB11" s="3">
        <v>1</v>
      </c>
      <c r="BC11" s="3">
        <v>1</v>
      </c>
      <c r="BD11" s="3">
        <v>1</v>
      </c>
      <c r="BE11" s="3">
        <v>0</v>
      </c>
      <c r="BF11" s="3">
        <v>0</v>
      </c>
      <c r="BG11" s="3">
        <v>0</v>
      </c>
      <c r="BH11" s="3">
        <v>0</v>
      </c>
      <c r="BI11" s="3">
        <v>0</v>
      </c>
      <c r="BJ11" s="3">
        <v>0</v>
      </c>
      <c r="BK11" s="3">
        <v>0</v>
      </c>
      <c r="BL11" s="3">
        <v>0</v>
      </c>
      <c r="BM11" s="3">
        <v>0</v>
      </c>
    </row>
    <row r="12" spans="1:65" ht="20.100000000000001" customHeight="1" x14ac:dyDescent="0.3">
      <c r="A12" s="3" t="s">
        <v>15</v>
      </c>
      <c r="B12" s="3">
        <v>9</v>
      </c>
      <c r="C12" s="8">
        <v>44228</v>
      </c>
      <c r="D12" s="9">
        <v>0.66666666666666663</v>
      </c>
      <c r="E12" s="4">
        <v>68</v>
      </c>
      <c r="F12" s="3">
        <v>9</v>
      </c>
      <c r="G12" s="3">
        <v>5</v>
      </c>
      <c r="H12" s="3">
        <v>45</v>
      </c>
      <c r="I12" s="3">
        <v>1</v>
      </c>
      <c r="J12" s="9">
        <v>0.32291666666666669</v>
      </c>
      <c r="K12" s="3">
        <v>140.80000000000001</v>
      </c>
      <c r="L12" s="11">
        <f t="shared" si="8"/>
        <v>1.4000000000000057</v>
      </c>
      <c r="M12" s="5">
        <f t="shared" si="7"/>
        <v>3042.2999999999997</v>
      </c>
      <c r="N12" s="5">
        <v>32.25</v>
      </c>
      <c r="O12" s="11">
        <v>34</v>
      </c>
      <c r="P12" s="11">
        <v>11.375</v>
      </c>
      <c r="Q12" s="18">
        <v>11.375</v>
      </c>
      <c r="R12" s="11">
        <v>21.5</v>
      </c>
      <c r="S12" s="11">
        <v>21.5</v>
      </c>
      <c r="T12" s="11">
        <v>20</v>
      </c>
      <c r="U12" s="11">
        <v>20</v>
      </c>
      <c r="V12" s="11">
        <v>22</v>
      </c>
      <c r="W12" s="11">
        <v>20</v>
      </c>
      <c r="X12" s="11">
        <v>12</v>
      </c>
      <c r="Y12" s="11">
        <v>12</v>
      </c>
      <c r="Z12" s="3" t="s">
        <v>150</v>
      </c>
      <c r="AA12" s="10" t="s">
        <v>152</v>
      </c>
      <c r="AB12" s="5">
        <f>200+260+60+42+100+22.1+190+100+20+107+200+260+60+42+100+22.1+190+100+20+200+160+100</f>
        <v>2555.1999999999998</v>
      </c>
      <c r="AC12" s="6">
        <f>1+18+1+1+8+0.2+18+8+1.5+0+1+18+1+0.4+8+0.2+18+8+1.5+2+10+8</f>
        <v>132.80000000000001</v>
      </c>
      <c r="AD12" s="6">
        <f>0+5+0+0+5+0+1.5+4.5+1+0+0+5+0+0+5+0+1.5+4.5+1+0+7+4.5</f>
        <v>45.5</v>
      </c>
      <c r="AE12" s="6">
        <f>4+20+2+1+7+1.1+4+5+2+1+4+20+2+1+7+1.1+4+5+2+4+12+5</f>
        <v>114.19999999999999</v>
      </c>
      <c r="AF12" s="6">
        <f>44+5+12+10+0+4.8+4+2+0+28+44+5+12+10+0+4.8+4+2+0+42+2+2</f>
        <v>237.60000000000002</v>
      </c>
      <c r="AG12" s="6">
        <f>1+2+2+2.2+0+1.5+2+0+0+3+1+2+2+2.2+0+1.5+2+0+0+4+0+0</f>
        <v>28.4</v>
      </c>
      <c r="AH12" s="6">
        <f>0+350+420+412+170+6.2+0+360+100+3+0+350+420+412+170+6.2+0+360+100+40+380+360</f>
        <v>4419.3999999999996</v>
      </c>
      <c r="AI12" s="6">
        <f t="shared" si="1"/>
        <v>5.1972448340638709E-2</v>
      </c>
      <c r="AJ12" s="6">
        <f t="shared" si="2"/>
        <v>1.7806825297432688E-2</v>
      </c>
      <c r="AK12" s="6">
        <f t="shared" si="3"/>
        <v>4.4693174702567312E-2</v>
      </c>
      <c r="AL12" s="6">
        <f t="shared" si="4"/>
        <v>9.2986850344395758E-2</v>
      </c>
      <c r="AM12" s="6">
        <f t="shared" si="5"/>
        <v>1.1114589855979963E-2</v>
      </c>
      <c r="AN12" s="6">
        <f t="shared" si="6"/>
        <v>1.7295710707576706</v>
      </c>
      <c r="AO12" s="7">
        <v>3</v>
      </c>
      <c r="AP12" s="7">
        <v>1</v>
      </c>
      <c r="AQ12" s="7">
        <v>0</v>
      </c>
      <c r="AR12" s="10" t="s">
        <v>147</v>
      </c>
      <c r="AS12" s="3" t="s">
        <v>149</v>
      </c>
      <c r="AT12" s="3" t="s">
        <v>148</v>
      </c>
      <c r="AU12" s="7">
        <v>20</v>
      </c>
      <c r="AV12" s="3">
        <v>-5</v>
      </c>
      <c r="AW12" s="3">
        <v>31</v>
      </c>
      <c r="AX12" s="3">
        <v>1</v>
      </c>
      <c r="AY12" s="5">
        <v>8</v>
      </c>
      <c r="AZ12" s="3">
        <v>1</v>
      </c>
      <c r="BA12" s="3">
        <v>1</v>
      </c>
      <c r="BB12" s="3">
        <v>1</v>
      </c>
      <c r="BC12" s="3">
        <v>1</v>
      </c>
      <c r="BD12" s="3">
        <v>1</v>
      </c>
      <c r="BE12" s="3">
        <v>0</v>
      </c>
      <c r="BF12" s="3">
        <v>0</v>
      </c>
      <c r="BG12" s="3">
        <v>0</v>
      </c>
      <c r="BH12" s="3">
        <v>0</v>
      </c>
      <c r="BI12" s="3">
        <v>0</v>
      </c>
      <c r="BJ12" s="3">
        <v>0</v>
      </c>
      <c r="BK12" s="3">
        <v>0</v>
      </c>
      <c r="BL12" s="3">
        <v>0</v>
      </c>
      <c r="BM12" s="3">
        <v>0</v>
      </c>
    </row>
    <row r="13" spans="1:65" ht="20.100000000000001" customHeight="1" x14ac:dyDescent="0.3">
      <c r="A13" s="3" t="s">
        <v>15</v>
      </c>
      <c r="B13" s="3">
        <v>9</v>
      </c>
      <c r="C13" s="8">
        <v>44228</v>
      </c>
      <c r="D13" s="9">
        <v>0.66666666666666663</v>
      </c>
      <c r="E13" s="4">
        <v>68</v>
      </c>
      <c r="F13" s="3">
        <v>9</v>
      </c>
      <c r="G13" s="3">
        <v>5</v>
      </c>
      <c r="H13" s="3">
        <v>45</v>
      </c>
      <c r="I13" s="3">
        <v>1</v>
      </c>
      <c r="J13" s="9">
        <v>0.81597222222222221</v>
      </c>
      <c r="K13" s="3">
        <v>143</v>
      </c>
      <c r="L13" s="11">
        <f t="shared" si="8"/>
        <v>2.1999999999999886</v>
      </c>
      <c r="M13" s="5">
        <f t="shared" si="7"/>
        <v>2555.1999999999998</v>
      </c>
      <c r="N13" s="5">
        <v>32.5</v>
      </c>
      <c r="O13" s="11">
        <v>34</v>
      </c>
      <c r="P13" s="11">
        <v>11.25</v>
      </c>
      <c r="Q13" s="18">
        <v>11.5</v>
      </c>
      <c r="R13" s="11">
        <v>22.25</v>
      </c>
      <c r="S13" s="11">
        <v>22.5</v>
      </c>
      <c r="T13" s="11">
        <v>20</v>
      </c>
      <c r="U13" s="11">
        <v>22</v>
      </c>
      <c r="V13" s="11">
        <v>22</v>
      </c>
      <c r="W13" s="11">
        <v>20</v>
      </c>
      <c r="X13" s="11">
        <v>10</v>
      </c>
      <c r="Y13" s="11">
        <v>12</v>
      </c>
      <c r="Z13" s="3" t="s">
        <v>153</v>
      </c>
      <c r="AA13" s="10" t="s">
        <v>152</v>
      </c>
      <c r="AB13" s="5">
        <f>200+260+60+42+100+22.1+190+100+20+107+200+260+60+42+100+22.1+190+100+20+200+160+100</f>
        <v>2555.1999999999998</v>
      </c>
      <c r="AC13" s="6">
        <f>1+18+1+1+8+0.2+18+8+1.5+0+1+18+1+0.4+8+0.2+18+8+1.5+2+10+8</f>
        <v>132.80000000000001</v>
      </c>
      <c r="AD13" s="6">
        <f>0+5+0+0+5+0+1.5+4.5+1+0+0+5+0+0+5+0+1.5+4.5+1+0+7+4.5</f>
        <v>45.5</v>
      </c>
      <c r="AE13" s="6">
        <f>4+20+2+1+7+1.1+4+5+2+1+4+20+2+1+7+1.1+4+5+2+4+12+5</f>
        <v>114.19999999999999</v>
      </c>
      <c r="AF13" s="6">
        <f>44+5+12+10+0+4.8+4+2+0+28+44+5+12+10+0+4.8+4+2+0+42+2+2</f>
        <v>237.60000000000002</v>
      </c>
      <c r="AG13" s="6">
        <f>1+2+2+2.2+0+1.5+2+0+0+3+1+2+2+2.2+0+1.5+2+0+0+4+0+0</f>
        <v>28.4</v>
      </c>
      <c r="AH13" s="6">
        <f>0+350+420+412+170+6.2+0+360+100+3+0+350+420+412+170+6.2+0+360+100+40+380+360</f>
        <v>4419.3999999999996</v>
      </c>
      <c r="AI13" s="6">
        <f t="shared" si="1"/>
        <v>5.1972448340638709E-2</v>
      </c>
      <c r="AJ13" s="6">
        <f t="shared" si="2"/>
        <v>1.7806825297432688E-2</v>
      </c>
      <c r="AK13" s="6">
        <f t="shared" si="3"/>
        <v>4.4693174702567312E-2</v>
      </c>
      <c r="AL13" s="6">
        <f t="shared" si="4"/>
        <v>9.2986850344395758E-2</v>
      </c>
      <c r="AM13" s="6">
        <f t="shared" si="5"/>
        <v>1.1114589855979963E-2</v>
      </c>
      <c r="AN13" s="6">
        <f t="shared" si="6"/>
        <v>1.7295710707576706</v>
      </c>
      <c r="AO13" s="7">
        <v>3</v>
      </c>
      <c r="AP13" s="7">
        <v>1</v>
      </c>
      <c r="AQ13" s="7">
        <v>0</v>
      </c>
      <c r="AR13" s="10" t="s">
        <v>147</v>
      </c>
      <c r="AS13" s="3" t="s">
        <v>149</v>
      </c>
      <c r="AT13" s="3" t="s">
        <v>148</v>
      </c>
      <c r="AU13" s="7">
        <v>20</v>
      </c>
      <c r="AV13" s="3">
        <v>-5</v>
      </c>
      <c r="AW13" s="3">
        <v>31</v>
      </c>
      <c r="AX13" s="3">
        <v>1</v>
      </c>
      <c r="AY13" s="5">
        <v>8</v>
      </c>
      <c r="AZ13" s="3">
        <v>1</v>
      </c>
      <c r="BA13" s="3">
        <v>1</v>
      </c>
      <c r="BB13" s="3">
        <v>1</v>
      </c>
      <c r="BC13" s="3">
        <v>1</v>
      </c>
      <c r="BD13" s="3">
        <v>1</v>
      </c>
      <c r="BE13" s="3">
        <v>0</v>
      </c>
      <c r="BF13" s="3">
        <v>0</v>
      </c>
      <c r="BG13" s="3">
        <v>0</v>
      </c>
      <c r="BH13" s="3">
        <v>0</v>
      </c>
      <c r="BI13" s="3">
        <v>0</v>
      </c>
      <c r="BJ13" s="3">
        <v>0</v>
      </c>
      <c r="BK13" s="3">
        <v>0</v>
      </c>
      <c r="BL13" s="3">
        <v>0</v>
      </c>
      <c r="BM13" s="3">
        <v>0</v>
      </c>
    </row>
    <row r="14" spans="1:65" ht="20.100000000000001" customHeight="1" x14ac:dyDescent="0.3">
      <c r="A14" s="3" t="s">
        <v>16</v>
      </c>
      <c r="B14" s="3">
        <v>10</v>
      </c>
      <c r="C14" s="8">
        <v>44229</v>
      </c>
      <c r="D14" s="9">
        <v>0.23958333333333334</v>
      </c>
      <c r="E14" s="4">
        <v>52</v>
      </c>
      <c r="F14" s="3">
        <v>0</v>
      </c>
      <c r="G14" s="3">
        <v>0</v>
      </c>
      <c r="H14" s="3">
        <v>0</v>
      </c>
      <c r="I14" s="3">
        <v>0</v>
      </c>
      <c r="J14" s="9">
        <v>0.23958333333333334</v>
      </c>
      <c r="K14" s="3">
        <v>140.80000000000001</v>
      </c>
      <c r="L14" s="11">
        <f t="shared" si="8"/>
        <v>-2.1999999999999886</v>
      </c>
      <c r="M14" s="5">
        <f t="shared" si="7"/>
        <v>2555.1999999999998</v>
      </c>
      <c r="N14" s="11">
        <v>32</v>
      </c>
      <c r="O14" s="11">
        <v>34</v>
      </c>
      <c r="P14" s="11">
        <v>11.75</v>
      </c>
      <c r="Q14" s="18">
        <v>11.75</v>
      </c>
      <c r="R14" s="11">
        <v>21.5</v>
      </c>
      <c r="S14" s="11">
        <v>21.5</v>
      </c>
      <c r="T14" s="11">
        <v>22</v>
      </c>
      <c r="U14" s="11">
        <v>22</v>
      </c>
      <c r="V14" s="11">
        <v>22</v>
      </c>
      <c r="W14" s="11">
        <v>22</v>
      </c>
      <c r="X14" s="11">
        <v>12</v>
      </c>
      <c r="Y14" s="11">
        <v>12</v>
      </c>
      <c r="Z14" s="3" t="s">
        <v>158</v>
      </c>
      <c r="AA14" s="10" t="s">
        <v>156</v>
      </c>
      <c r="AB14" s="5">
        <f>200+260+60+42+100+22.1+190+100+20+107+81+1440+210+180+100+200+160+100+81</f>
        <v>3653.1</v>
      </c>
      <c r="AC14" s="6">
        <f>1+18+1+0.4+8+0.2+18+8+1.5+0+0+12+15+15+0+2+10+8+0</f>
        <v>118.1</v>
      </c>
      <c r="AD14" s="6">
        <f>0+5+0+0+5+0+1.5+4.5+1+0+0+0+4.5+10.5+0+0+7+4.5+0</f>
        <v>43.5</v>
      </c>
      <c r="AE14" s="6">
        <f>4+20+2+1+7+1.1+4+5+2+1+2+12+18+3+0+4+12+5+2</f>
        <v>105.1</v>
      </c>
      <c r="AF14" s="6">
        <f>44+5+12+10+0+4.8+4+2+0+28+21+324+0+6+25+42+2+2+21</f>
        <v>552.79999999999995</v>
      </c>
      <c r="AG14" s="6">
        <f>1+2+2+2.2+0+1.5+2+0+0+3+4+6+0+0+2+4+0+0+4</f>
        <v>33.700000000000003</v>
      </c>
      <c r="AH14" s="6">
        <f>0+350+420+412+170+6.2+0+360+100+3+2+2940+210+45+0+40+380+360+2</f>
        <v>5800.2</v>
      </c>
      <c r="AI14" s="6">
        <f t="shared" si="1"/>
        <v>3.2328707125455089E-2</v>
      </c>
      <c r="AJ14" s="6">
        <f t="shared" si="2"/>
        <v>1.1907694834524103E-2</v>
      </c>
      <c r="AK14" s="6">
        <f t="shared" si="3"/>
        <v>2.8770085680654787E-2</v>
      </c>
      <c r="AL14" s="6">
        <f t="shared" si="4"/>
        <v>0.15132353343735458</v>
      </c>
      <c r="AM14" s="6">
        <f t="shared" si="5"/>
        <v>9.2250417453669502E-3</v>
      </c>
      <c r="AN14" s="6">
        <f t="shared" si="6"/>
        <v>1.5877473926254413</v>
      </c>
      <c r="AO14" s="7">
        <v>3</v>
      </c>
      <c r="AP14" s="7">
        <v>1</v>
      </c>
      <c r="AQ14" s="7">
        <v>0</v>
      </c>
      <c r="AR14" s="7">
        <v>0</v>
      </c>
      <c r="AS14" s="7">
        <v>0</v>
      </c>
      <c r="AT14" s="10">
        <v>0</v>
      </c>
      <c r="AU14" s="7">
        <v>0</v>
      </c>
      <c r="AV14" s="3">
        <v>0</v>
      </c>
      <c r="AW14" s="3">
        <v>31</v>
      </c>
      <c r="AX14" s="3">
        <v>1</v>
      </c>
      <c r="AY14" s="5">
        <v>8</v>
      </c>
      <c r="AZ14" s="3">
        <v>1</v>
      </c>
      <c r="BA14" s="3">
        <v>1</v>
      </c>
      <c r="BB14" s="3">
        <v>0</v>
      </c>
      <c r="BC14" s="3">
        <v>1</v>
      </c>
      <c r="BD14" s="3">
        <v>1</v>
      </c>
      <c r="BE14" s="3">
        <v>0</v>
      </c>
      <c r="BF14" s="3">
        <v>0</v>
      </c>
      <c r="BG14" s="3">
        <v>0</v>
      </c>
      <c r="BH14" s="3">
        <v>0</v>
      </c>
      <c r="BI14" s="3">
        <v>0</v>
      </c>
      <c r="BJ14" s="3">
        <v>0</v>
      </c>
      <c r="BK14" s="3">
        <v>0</v>
      </c>
      <c r="BL14" s="3">
        <v>0</v>
      </c>
      <c r="BM14" s="3">
        <v>0</v>
      </c>
    </row>
    <row r="15" spans="1:65" ht="20.100000000000001" customHeight="1" x14ac:dyDescent="0.3">
      <c r="A15" s="3" t="s">
        <v>17</v>
      </c>
      <c r="B15" s="3">
        <v>11</v>
      </c>
      <c r="C15" s="8">
        <v>44230</v>
      </c>
      <c r="D15" s="9">
        <v>0.70833333333333337</v>
      </c>
      <c r="E15" s="4">
        <v>60</v>
      </c>
      <c r="F15" s="3">
        <v>15</v>
      </c>
      <c r="G15" s="3">
        <v>3</v>
      </c>
      <c r="H15" s="3">
        <v>45</v>
      </c>
      <c r="I15" s="3">
        <v>1</v>
      </c>
      <c r="J15" s="9">
        <v>0.25</v>
      </c>
      <c r="K15" s="3">
        <v>141.80000000000001</v>
      </c>
      <c r="L15" s="11">
        <f t="shared" si="8"/>
        <v>1</v>
      </c>
      <c r="M15" s="5">
        <f t="shared" si="7"/>
        <v>3653.1</v>
      </c>
      <c r="N15" s="11">
        <v>32.75</v>
      </c>
      <c r="O15" s="11">
        <v>34.5</v>
      </c>
      <c r="P15" s="11">
        <v>11.5</v>
      </c>
      <c r="Q15" s="11">
        <v>11.5</v>
      </c>
      <c r="R15" s="11">
        <v>21.5</v>
      </c>
      <c r="S15" s="11">
        <v>22</v>
      </c>
      <c r="T15" s="11">
        <v>22</v>
      </c>
      <c r="U15" s="11">
        <v>22</v>
      </c>
      <c r="V15" s="11">
        <v>20</v>
      </c>
      <c r="W15" s="11">
        <v>18</v>
      </c>
      <c r="X15" s="11">
        <v>14</v>
      </c>
      <c r="Y15" s="11">
        <v>12</v>
      </c>
      <c r="Z15" s="3" t="s">
        <v>161</v>
      </c>
      <c r="AA15" s="10" t="s">
        <v>162</v>
      </c>
      <c r="AB15" s="5">
        <f>200+160+200+81+322+52.8+190+140+100+80</f>
        <v>1525.8</v>
      </c>
      <c r="AC15" s="6">
        <f>2+10+16+0+29+2.31+18+10+1+5</f>
        <v>93.31</v>
      </c>
      <c r="AD15" s="6">
        <f>0+7+9+0+4+0.66+1.5+3+0+3.5</f>
        <v>28.66</v>
      </c>
      <c r="AE15" s="6">
        <f>4+12+10+2+4+0.66+4+12+2+6</f>
        <v>56.66</v>
      </c>
      <c r="AF15" s="6">
        <f>42+2+4+21+17+6.93+4+0+21+1</f>
        <v>118.93</v>
      </c>
      <c r="AG15" s="6">
        <f>4+0+2+4+18+0.66+2+0+2+0</f>
        <v>32.659999999999997</v>
      </c>
      <c r="AH15" s="6">
        <f>40+380+720+2+14+0+0+140+20+190</f>
        <v>1506</v>
      </c>
      <c r="AI15" s="6">
        <f t="shared" si="1"/>
        <v>6.1154804037226375E-2</v>
      </c>
      <c r="AJ15" s="6">
        <f t="shared" si="2"/>
        <v>1.8783588936951107E-2</v>
      </c>
      <c r="AK15" s="6">
        <f t="shared" si="3"/>
        <v>3.7134617905361121E-2</v>
      </c>
      <c r="AL15" s="6">
        <f t="shared" si="4"/>
        <v>7.7945995543321545E-2</v>
      </c>
      <c r="AM15" s="6">
        <f t="shared" si="5"/>
        <v>2.1405164503866824E-2</v>
      </c>
      <c r="AN15" s="6">
        <f t="shared" si="6"/>
        <v>0.98702320094376728</v>
      </c>
      <c r="AO15" s="7">
        <v>3</v>
      </c>
      <c r="AP15" s="7">
        <v>2</v>
      </c>
      <c r="AQ15" s="7">
        <v>0</v>
      </c>
      <c r="AR15" s="10" t="s">
        <v>159</v>
      </c>
      <c r="AS15" s="3" t="s">
        <v>160</v>
      </c>
      <c r="AU15" s="7">
        <f>5*7</f>
        <v>35</v>
      </c>
      <c r="AV15" s="3">
        <v>0</v>
      </c>
      <c r="AW15" s="3">
        <v>31</v>
      </c>
      <c r="AX15" s="3">
        <v>1</v>
      </c>
      <c r="AY15" s="5">
        <v>8.5</v>
      </c>
      <c r="AZ15" s="3">
        <v>1</v>
      </c>
      <c r="BA15" s="3">
        <v>1</v>
      </c>
      <c r="BB15" s="3">
        <v>1</v>
      </c>
      <c r="BC15" s="3">
        <v>1</v>
      </c>
      <c r="BD15" s="3">
        <v>1</v>
      </c>
      <c r="BE15" s="3">
        <v>0</v>
      </c>
      <c r="BF15" s="3">
        <v>0</v>
      </c>
      <c r="BG15" s="3">
        <v>0</v>
      </c>
      <c r="BH15" s="3">
        <v>0</v>
      </c>
      <c r="BI15" s="3">
        <v>0</v>
      </c>
      <c r="BJ15" s="3">
        <v>0</v>
      </c>
      <c r="BK15" s="3">
        <v>0</v>
      </c>
      <c r="BL15" s="3">
        <v>0</v>
      </c>
      <c r="BM15" s="3">
        <v>0</v>
      </c>
    </row>
    <row r="16" spans="1:65" ht="20.100000000000001" customHeight="1" x14ac:dyDescent="0.3">
      <c r="A16" s="3" t="s">
        <v>17</v>
      </c>
      <c r="B16" s="3">
        <v>11</v>
      </c>
      <c r="C16" s="8">
        <v>44230</v>
      </c>
      <c r="D16" s="9">
        <v>0.70833333333333337</v>
      </c>
      <c r="E16" s="4">
        <v>60</v>
      </c>
      <c r="F16" s="3">
        <v>15</v>
      </c>
      <c r="G16" s="3">
        <v>3</v>
      </c>
      <c r="H16" s="3">
        <v>45</v>
      </c>
      <c r="I16" s="3">
        <v>1</v>
      </c>
      <c r="J16" s="9">
        <v>0.83333333333333337</v>
      </c>
      <c r="K16" s="3">
        <v>144.80000000000001</v>
      </c>
      <c r="L16" s="11">
        <f t="shared" si="8"/>
        <v>3</v>
      </c>
      <c r="M16" s="5">
        <f t="shared" si="7"/>
        <v>1525.8</v>
      </c>
      <c r="N16" s="11">
        <v>31.5</v>
      </c>
      <c r="O16" s="11">
        <v>33.5</v>
      </c>
      <c r="P16" s="11">
        <v>11.5</v>
      </c>
      <c r="Q16" s="11">
        <v>11.5</v>
      </c>
      <c r="R16" s="11">
        <v>22</v>
      </c>
      <c r="S16" s="11">
        <v>22</v>
      </c>
      <c r="T16" s="11">
        <v>22</v>
      </c>
      <c r="U16" s="11">
        <v>20</v>
      </c>
      <c r="V16" s="11">
        <v>20</v>
      </c>
      <c r="W16" s="11">
        <v>20</v>
      </c>
      <c r="X16" s="11">
        <v>10</v>
      </c>
      <c r="Y16" s="11">
        <v>10</v>
      </c>
      <c r="Z16" s="3" t="s">
        <v>161</v>
      </c>
      <c r="AA16" s="10" t="s">
        <v>162</v>
      </c>
      <c r="AB16" s="5">
        <f>200+160+200+81+322+52.8+190+140+100+80</f>
        <v>1525.8</v>
      </c>
      <c r="AC16" s="6">
        <f>2+10+16+0+29+2.31+18+10+1+5</f>
        <v>93.31</v>
      </c>
      <c r="AD16" s="6">
        <f>0+7+9+0+4+0.66+1.5+3+0+3.5</f>
        <v>28.66</v>
      </c>
      <c r="AE16" s="6">
        <f>4+12+10+2+4+0.66+4+12+2+6</f>
        <v>56.66</v>
      </c>
      <c r="AF16" s="6">
        <f>42+2+4+21+17+6.93+4+0+21+1</f>
        <v>118.93</v>
      </c>
      <c r="AG16" s="6">
        <f>4+0+2+4+18+0.66+2+0+2+0</f>
        <v>32.659999999999997</v>
      </c>
      <c r="AH16" s="6">
        <f>40+380+720+2+14+0+0+140+20+190</f>
        <v>1506</v>
      </c>
      <c r="AI16" s="6">
        <f t="shared" si="1"/>
        <v>6.1154804037226375E-2</v>
      </c>
      <c r="AJ16" s="6">
        <f t="shared" si="2"/>
        <v>1.8783588936951107E-2</v>
      </c>
      <c r="AK16" s="6">
        <f t="shared" si="3"/>
        <v>3.7134617905361121E-2</v>
      </c>
      <c r="AL16" s="6">
        <f t="shared" si="4"/>
        <v>7.7945995543321545E-2</v>
      </c>
      <c r="AM16" s="6">
        <f t="shared" si="5"/>
        <v>2.1405164503866824E-2</v>
      </c>
      <c r="AN16" s="6">
        <f t="shared" si="6"/>
        <v>0.98702320094376728</v>
      </c>
      <c r="AO16" s="7">
        <v>3</v>
      </c>
      <c r="AP16" s="7">
        <v>2</v>
      </c>
      <c r="AQ16" s="7">
        <v>0</v>
      </c>
      <c r="AR16" s="10" t="s">
        <v>159</v>
      </c>
      <c r="AS16" s="3" t="s">
        <v>160</v>
      </c>
      <c r="AU16" s="7">
        <f>5*7</f>
        <v>35</v>
      </c>
      <c r="AV16" s="3">
        <v>0</v>
      </c>
      <c r="AW16" s="3">
        <v>31</v>
      </c>
      <c r="AX16" s="3">
        <v>1</v>
      </c>
      <c r="AY16" s="5">
        <v>8.5</v>
      </c>
      <c r="AZ16" s="3">
        <v>1</v>
      </c>
      <c r="BA16" s="3">
        <v>1</v>
      </c>
      <c r="BB16" s="3">
        <v>1</v>
      </c>
      <c r="BC16" s="3">
        <v>1</v>
      </c>
      <c r="BD16" s="3">
        <v>1</v>
      </c>
      <c r="BE16" s="3">
        <v>0</v>
      </c>
      <c r="BF16" s="3">
        <v>0</v>
      </c>
      <c r="BG16" s="3">
        <v>0</v>
      </c>
      <c r="BH16" s="3">
        <v>0</v>
      </c>
      <c r="BI16" s="3">
        <v>0</v>
      </c>
      <c r="BJ16" s="3">
        <v>0</v>
      </c>
      <c r="BK16" s="3">
        <v>0</v>
      </c>
      <c r="BL16" s="3">
        <v>0</v>
      </c>
      <c r="BM16" s="3">
        <v>0</v>
      </c>
    </row>
    <row r="17" spans="1:65" ht="20.100000000000001" customHeight="1" x14ac:dyDescent="0.3">
      <c r="A17" s="3" t="s">
        <v>18</v>
      </c>
      <c r="B17" s="3">
        <v>12</v>
      </c>
      <c r="C17" s="8">
        <v>44231</v>
      </c>
      <c r="D17" s="9">
        <v>0.58333333333333337</v>
      </c>
      <c r="E17" s="4">
        <v>66</v>
      </c>
      <c r="F17" s="3">
        <v>0</v>
      </c>
      <c r="G17" s="3">
        <v>0</v>
      </c>
      <c r="H17" s="3">
        <v>0</v>
      </c>
      <c r="I17" s="3">
        <v>0</v>
      </c>
      <c r="J17" s="9">
        <v>0.21527777777777779</v>
      </c>
      <c r="K17" s="3">
        <v>139.4</v>
      </c>
      <c r="L17" s="11">
        <f t="shared" si="8"/>
        <v>-5.4000000000000057</v>
      </c>
      <c r="M17" s="5">
        <f t="shared" si="7"/>
        <v>1525.8</v>
      </c>
      <c r="N17" s="11">
        <v>31.5</v>
      </c>
      <c r="O17" s="11">
        <v>33.25</v>
      </c>
      <c r="P17" s="11">
        <v>11.5</v>
      </c>
      <c r="Q17" s="11">
        <v>11.5</v>
      </c>
      <c r="R17" s="11">
        <v>21.5</v>
      </c>
      <c r="S17" s="11">
        <v>21.5</v>
      </c>
      <c r="T17" s="11">
        <v>20</v>
      </c>
      <c r="U17" s="11">
        <v>20</v>
      </c>
      <c r="V17" s="11">
        <v>20</v>
      </c>
      <c r="W17" s="11">
        <v>20</v>
      </c>
      <c r="X17" s="11">
        <v>10</v>
      </c>
      <c r="Y17" s="11">
        <v>10</v>
      </c>
      <c r="Z17" s="3" t="s">
        <v>164</v>
      </c>
      <c r="AA17" s="10" t="s">
        <v>165</v>
      </c>
      <c r="AB17" s="5">
        <f>200+160+140+300+42+200+160+100+130+243+92+105+150+160+160+322</f>
        <v>2664</v>
      </c>
      <c r="AC17" s="6">
        <f>2+10+10+0+0+2+10+8+0+0+0+1+7+10+29</f>
        <v>89</v>
      </c>
      <c r="AD17" s="6">
        <f>0+7+3+0+0+0+7+4.5+0+0+0+0+0+2+7+4</f>
        <v>34.5</v>
      </c>
      <c r="AE17" s="6">
        <f>4+12+12+0+1+4+12+5+3+6+2+1+3+2+12+4</f>
        <v>83</v>
      </c>
      <c r="AF17" s="6">
        <f>42+2+0+75+13+42+2+2+23+63+24+27+33+21+2+17</f>
        <v>388</v>
      </c>
      <c r="AG17" s="6">
        <f>4+0+0+6+2+4+0+0+2+12+2+3+2+2+0+18</f>
        <v>57</v>
      </c>
      <c r="AH17" s="6">
        <f>40+380+140+0+1+40+380+360+620+6+0+1+280+0+380+14</f>
        <v>2642</v>
      </c>
      <c r="AI17" s="6">
        <f t="shared" si="1"/>
        <v>3.3408408408408412E-2</v>
      </c>
      <c r="AJ17" s="6">
        <f t="shared" si="2"/>
        <v>1.295045045045045E-2</v>
      </c>
      <c r="AK17" s="6">
        <f t="shared" si="3"/>
        <v>3.1156156156156155E-2</v>
      </c>
      <c r="AL17" s="6">
        <f t="shared" si="4"/>
        <v>0.14564564564564564</v>
      </c>
      <c r="AM17" s="6">
        <f t="shared" si="5"/>
        <v>2.1396396396396396E-2</v>
      </c>
      <c r="AN17" s="6">
        <f t="shared" si="6"/>
        <v>0.99174174174174179</v>
      </c>
      <c r="AO17" s="7">
        <v>3</v>
      </c>
      <c r="AP17" s="7">
        <v>1</v>
      </c>
      <c r="AQ17" s="7">
        <v>0</v>
      </c>
      <c r="AR17" s="7">
        <v>0</v>
      </c>
      <c r="AS17" s="7">
        <v>0</v>
      </c>
      <c r="AT17" s="7">
        <v>0</v>
      </c>
      <c r="AU17" s="7">
        <v>0</v>
      </c>
      <c r="AV17" s="3">
        <v>0</v>
      </c>
      <c r="AW17" s="3">
        <v>31</v>
      </c>
      <c r="AX17" s="3">
        <v>1</v>
      </c>
      <c r="AY17" s="5">
        <v>6.75</v>
      </c>
      <c r="AZ17" s="3">
        <v>1</v>
      </c>
      <c r="BA17" s="3">
        <v>1</v>
      </c>
      <c r="BB17" s="3">
        <v>1</v>
      </c>
      <c r="BC17" s="3">
        <v>1</v>
      </c>
      <c r="BD17" s="3">
        <v>1</v>
      </c>
      <c r="BE17" s="3">
        <v>0</v>
      </c>
      <c r="BF17" s="3">
        <v>1</v>
      </c>
      <c r="BG17" s="3">
        <v>20</v>
      </c>
      <c r="BH17" s="3">
        <v>0</v>
      </c>
      <c r="BI17" s="3">
        <v>0</v>
      </c>
      <c r="BJ17" s="3">
        <v>0</v>
      </c>
      <c r="BK17" s="3">
        <v>0</v>
      </c>
      <c r="BL17" s="3">
        <v>0</v>
      </c>
      <c r="BM17" s="3">
        <v>0</v>
      </c>
    </row>
    <row r="18" spans="1:65" ht="20.100000000000001" customHeight="1" x14ac:dyDescent="0.3">
      <c r="A18" s="3" t="s">
        <v>137</v>
      </c>
      <c r="B18" s="3">
        <v>13</v>
      </c>
      <c r="C18" s="8">
        <v>44232</v>
      </c>
      <c r="D18" s="9">
        <v>0.27083333333333331</v>
      </c>
      <c r="E18" s="4">
        <v>43</v>
      </c>
      <c r="F18" s="3">
        <v>0</v>
      </c>
      <c r="G18" s="3">
        <v>0</v>
      </c>
      <c r="H18" s="3">
        <v>0</v>
      </c>
      <c r="I18" s="3">
        <v>0</v>
      </c>
      <c r="J18" s="9">
        <v>0.27083333333333331</v>
      </c>
      <c r="K18" s="3">
        <v>139.4</v>
      </c>
      <c r="L18" s="11">
        <f t="shared" si="8"/>
        <v>0</v>
      </c>
      <c r="M18" s="5">
        <f t="shared" si="7"/>
        <v>2664</v>
      </c>
      <c r="N18" s="11">
        <v>32</v>
      </c>
      <c r="O18" s="11">
        <v>33.5</v>
      </c>
      <c r="P18" s="11">
        <v>11.5</v>
      </c>
      <c r="Q18" s="11">
        <v>11.75</v>
      </c>
      <c r="R18" s="11">
        <v>21.5</v>
      </c>
      <c r="S18" s="11">
        <v>21.5</v>
      </c>
      <c r="T18" s="11">
        <v>22</v>
      </c>
      <c r="U18" s="11">
        <v>22</v>
      </c>
      <c r="V18" s="11">
        <v>20</v>
      </c>
      <c r="W18" s="11">
        <v>20</v>
      </c>
      <c r="X18" s="11">
        <v>10</v>
      </c>
      <c r="Y18" s="11">
        <v>10</v>
      </c>
      <c r="Z18" s="3" t="s">
        <v>166</v>
      </c>
      <c r="AA18" s="10" t="s">
        <v>170</v>
      </c>
      <c r="AB18" s="12">
        <f>200+160+100+130+162+105+57+107+241.5+90+200+160+100+90+50+60</f>
        <v>2012.5</v>
      </c>
      <c r="AC18" s="6">
        <f>2+10+8+3+0+0+0+4.7+21.75+2+2+10+8+2+1+4</f>
        <v>78.45</v>
      </c>
      <c r="AD18" s="6">
        <f>0+7+4.5+0+0+0+0+1.3+3+2+0+7+4.5+2+0+2.5</f>
        <v>33.799999999999997</v>
      </c>
      <c r="AE18" s="6">
        <f>4+12+5+3+4+1+0+1.3+3+3+4+12+5+3+1+5</f>
        <v>66.3</v>
      </c>
      <c r="AF18" s="6">
        <f>42+2+2+23+42+27+15+14+12.75+18+42+2+2+18+11+1</f>
        <v>273.75</v>
      </c>
      <c r="AG18" s="6">
        <f>4+0+0+2+8+3+3+1.3+13.5+4+4+0+0+4+1+0</f>
        <v>47.8</v>
      </c>
      <c r="AH18" s="6">
        <f>40+380+360+620+4+1+1+0+10.5+500+40+380+360+500+10+140</f>
        <v>3346.5</v>
      </c>
      <c r="AI18" s="6">
        <f t="shared" si="1"/>
        <v>3.8981366459627333E-2</v>
      </c>
      <c r="AJ18" s="6">
        <f t="shared" si="2"/>
        <v>1.6795031055900619E-2</v>
      </c>
      <c r="AK18" s="6">
        <f t="shared" si="3"/>
        <v>3.2944099378881986E-2</v>
      </c>
      <c r="AL18" s="6">
        <f t="shared" si="4"/>
        <v>0.13602484472049689</v>
      </c>
      <c r="AM18" s="6">
        <f t="shared" si="5"/>
        <v>2.3751552795031054E-2</v>
      </c>
      <c r="AN18" s="6">
        <f t="shared" si="6"/>
        <v>1.6628571428571428</v>
      </c>
      <c r="AO18" s="7">
        <v>3</v>
      </c>
      <c r="AP18" s="7">
        <v>2</v>
      </c>
      <c r="AQ18" s="7">
        <v>0</v>
      </c>
      <c r="AR18" s="7">
        <v>0</v>
      </c>
      <c r="AS18" s="7">
        <v>0</v>
      </c>
      <c r="AT18" s="7">
        <v>0</v>
      </c>
      <c r="AU18" s="7">
        <v>0</v>
      </c>
      <c r="AV18" s="3">
        <v>0</v>
      </c>
      <c r="AW18" s="3">
        <v>31</v>
      </c>
      <c r="AX18" s="3">
        <v>1</v>
      </c>
      <c r="AY18" s="5">
        <v>6</v>
      </c>
      <c r="AZ18" s="3">
        <v>1</v>
      </c>
      <c r="BA18" s="3">
        <v>1</v>
      </c>
      <c r="BB18" s="3">
        <v>1</v>
      </c>
      <c r="BC18" s="3">
        <v>1</v>
      </c>
      <c r="BD18" s="3">
        <v>1</v>
      </c>
      <c r="BE18" s="3">
        <v>0</v>
      </c>
      <c r="BF18" s="3">
        <v>0</v>
      </c>
      <c r="BG18" s="3">
        <v>0</v>
      </c>
      <c r="BH18" s="3">
        <v>0</v>
      </c>
      <c r="BI18" s="3">
        <v>0</v>
      </c>
      <c r="BJ18" s="3">
        <v>0</v>
      </c>
      <c r="BK18" s="3">
        <v>0</v>
      </c>
      <c r="BL18" s="3">
        <v>0</v>
      </c>
      <c r="BM18" s="3">
        <v>0</v>
      </c>
    </row>
    <row r="19" spans="1:65" ht="20.100000000000001" customHeight="1" x14ac:dyDescent="0.3">
      <c r="A19" s="3" t="s">
        <v>19</v>
      </c>
      <c r="B19" s="3">
        <v>14</v>
      </c>
      <c r="C19" s="8">
        <v>44233</v>
      </c>
      <c r="D19" s="9">
        <v>0.63541666666666663</v>
      </c>
      <c r="E19" s="4">
        <v>78</v>
      </c>
      <c r="F19" s="3">
        <v>9</v>
      </c>
      <c r="G19" s="3">
        <v>5</v>
      </c>
      <c r="H19" s="3">
        <v>45</v>
      </c>
      <c r="I19" s="3">
        <v>1</v>
      </c>
      <c r="J19" s="9">
        <v>0.25</v>
      </c>
      <c r="K19" s="3">
        <v>141.80000000000001</v>
      </c>
      <c r="L19" s="11">
        <f t="shared" si="8"/>
        <v>2.4000000000000057</v>
      </c>
      <c r="M19" s="5">
        <f t="shared" si="7"/>
        <v>2012.5</v>
      </c>
      <c r="N19" s="11">
        <v>32</v>
      </c>
      <c r="O19" s="11">
        <v>33.75</v>
      </c>
      <c r="P19" s="11">
        <v>11.5</v>
      </c>
      <c r="Q19" s="11">
        <v>11.5</v>
      </c>
      <c r="R19" s="11">
        <v>21.5</v>
      </c>
      <c r="S19" s="11">
        <v>21.5</v>
      </c>
      <c r="T19" s="11">
        <v>22</v>
      </c>
      <c r="U19" s="11">
        <v>22</v>
      </c>
      <c r="V19" s="11">
        <v>20</v>
      </c>
      <c r="W19" s="11">
        <v>20</v>
      </c>
      <c r="X19" s="11">
        <v>10</v>
      </c>
      <c r="Y19" s="11">
        <v>12</v>
      </c>
      <c r="Z19" s="3" t="s">
        <v>175</v>
      </c>
      <c r="AA19" s="10" t="s">
        <v>174</v>
      </c>
      <c r="AB19" s="5">
        <f>350+180+80+100+92+322+162+53.5+140+330+260+60+16+37+40+8+20+42</f>
        <v>2292.5</v>
      </c>
      <c r="AC19" s="6">
        <f>3.5+12+6+8+0+29+0+2.35+10+2.5+18+1+0.17+0+0+0+1.5+0</f>
        <v>94.02</v>
      </c>
      <c r="AD19" s="6">
        <f>0+7.5+4+4.5+0+1+3+0.5+5+0+0.02+0+0+0+1+0</f>
        <v>26.52</v>
      </c>
      <c r="AE19" s="6">
        <f>7+15+5+5+2+4+4+1+12+23+20+2+1.5+1+1+0.77+2+1</f>
        <v>107.27</v>
      </c>
      <c r="AF19" s="6">
        <f>73.5+3+0+2+24+17+42+7+0+61+5+12+3+7+10+1.1+0+13</f>
        <v>280.60000000000002</v>
      </c>
      <c r="AG19" s="6">
        <f>7+0+0+0+2+18+8+1+0+11+2+2+1+2+3+0.5+0+2</f>
        <v>59.5</v>
      </c>
      <c r="AH19" s="6">
        <f>70+420+130+360+0+14+4+0+140+0+350+420+15.02+5+0+8+100+1</f>
        <v>2037.02</v>
      </c>
      <c r="AI19" s="6">
        <f t="shared" si="1"/>
        <v>4.1011995637949834E-2</v>
      </c>
      <c r="AJ19" s="6">
        <f t="shared" si="2"/>
        <v>1.1568157033805889E-2</v>
      </c>
      <c r="AK19" s="6">
        <f t="shared" si="3"/>
        <v>4.6791712104689201E-2</v>
      </c>
      <c r="AL19" s="6">
        <f t="shared" si="4"/>
        <v>0.12239912758996729</v>
      </c>
      <c r="AM19" s="6">
        <f t="shared" si="5"/>
        <v>2.5954198473282442E-2</v>
      </c>
      <c r="AN19" s="6">
        <f t="shared" si="6"/>
        <v>0.88855834242093779</v>
      </c>
      <c r="AO19" s="7">
        <v>3</v>
      </c>
      <c r="AP19" s="7">
        <v>1</v>
      </c>
      <c r="AQ19" s="7">
        <v>0</v>
      </c>
      <c r="AR19" s="10" t="s">
        <v>171</v>
      </c>
      <c r="AS19" s="7">
        <v>0</v>
      </c>
      <c r="AT19" s="7">
        <v>0</v>
      </c>
      <c r="AU19" s="7">
        <v>0</v>
      </c>
      <c r="AV19" s="3">
        <v>0</v>
      </c>
      <c r="AW19" s="3">
        <v>31</v>
      </c>
      <c r="AX19" s="3">
        <v>1</v>
      </c>
      <c r="AY19" s="5">
        <v>5.5</v>
      </c>
      <c r="AZ19" s="3">
        <v>1</v>
      </c>
      <c r="BA19" s="3">
        <v>1</v>
      </c>
      <c r="BB19" s="3">
        <v>1</v>
      </c>
      <c r="BC19" s="3">
        <v>1</v>
      </c>
      <c r="BD19" s="3">
        <v>1</v>
      </c>
      <c r="BE19" s="3">
        <v>0</v>
      </c>
      <c r="BF19" s="3">
        <v>0</v>
      </c>
      <c r="BG19" s="3">
        <v>0</v>
      </c>
      <c r="BH19" s="3">
        <v>0</v>
      </c>
      <c r="BI19" s="3">
        <v>0</v>
      </c>
      <c r="BJ19" s="3">
        <v>0</v>
      </c>
      <c r="BK19" s="3">
        <v>0</v>
      </c>
      <c r="BL19" s="3">
        <v>0</v>
      </c>
      <c r="BM19" s="3">
        <v>0</v>
      </c>
    </row>
    <row r="20" spans="1:65" ht="20.100000000000001" customHeight="1" x14ac:dyDescent="0.3">
      <c r="A20" s="3" t="s">
        <v>19</v>
      </c>
      <c r="B20" s="3">
        <v>14</v>
      </c>
      <c r="C20" s="8">
        <v>44233</v>
      </c>
      <c r="D20" s="9">
        <v>0.63541666666666663</v>
      </c>
      <c r="E20" s="4">
        <v>78</v>
      </c>
      <c r="F20" s="3">
        <v>9</v>
      </c>
      <c r="G20" s="3">
        <v>5</v>
      </c>
      <c r="H20" s="3">
        <v>45</v>
      </c>
      <c r="I20" s="3">
        <v>1</v>
      </c>
      <c r="J20" s="9">
        <v>0.83333333333333337</v>
      </c>
      <c r="K20" s="3">
        <v>143.6</v>
      </c>
      <c r="L20" s="11">
        <f t="shared" si="8"/>
        <v>1.7999999999999829</v>
      </c>
      <c r="M20" s="5">
        <f t="shared" si="7"/>
        <v>2292.5</v>
      </c>
      <c r="N20" s="11">
        <v>31.5</v>
      </c>
      <c r="O20" s="11">
        <v>33.5</v>
      </c>
      <c r="P20" s="11">
        <v>11.25</v>
      </c>
      <c r="Q20" s="11">
        <v>11.25</v>
      </c>
      <c r="R20" s="11">
        <v>21.5</v>
      </c>
      <c r="S20" s="11">
        <v>21.5</v>
      </c>
      <c r="T20" s="11">
        <v>20</v>
      </c>
      <c r="U20" s="11">
        <v>20</v>
      </c>
      <c r="V20" s="11">
        <v>22</v>
      </c>
      <c r="W20" s="11">
        <v>20</v>
      </c>
      <c r="X20" s="11">
        <v>10</v>
      </c>
      <c r="Y20" s="11">
        <v>12</v>
      </c>
      <c r="Z20" s="3" t="s">
        <v>175</v>
      </c>
      <c r="AA20" s="10" t="s">
        <v>174</v>
      </c>
      <c r="AB20" s="5">
        <f>350+180+80+100+92+322+162+53.5+140+330+260+60+16+37+40+8+20+42</f>
        <v>2292.5</v>
      </c>
      <c r="AC20" s="6">
        <f>3.5+12+6+8+0+29+0+2.35+10+2.5+18+1+0.17+0+0+0+1.5+0</f>
        <v>94.02</v>
      </c>
      <c r="AD20" s="6">
        <f>0+7.5+4+4.5+0+1+3+0.5+5+0+0.02+0+0+0+1+0</f>
        <v>26.52</v>
      </c>
      <c r="AE20" s="6">
        <f>7+15+5+5+2+4+4+1+12+23+20+2+1.5+1+1+0.77+2+1</f>
        <v>107.27</v>
      </c>
      <c r="AF20" s="6">
        <f>73.5+3+0+2+24+17+42+7+0+61+5+12+3+7+10+1.1+0+13</f>
        <v>280.60000000000002</v>
      </c>
      <c r="AG20" s="6">
        <f>7+0+0+0+2+18+8+1+0+11+2+2+1+2+3+0.5+0+2</f>
        <v>59.5</v>
      </c>
      <c r="AH20" s="6">
        <f>70+420+130+360+0+14+4+0+140+0+350+420+15.02+5+0+8+100+1</f>
        <v>2037.02</v>
      </c>
      <c r="AI20" s="6">
        <f t="shared" si="1"/>
        <v>4.1011995637949834E-2</v>
      </c>
      <c r="AJ20" s="6">
        <f t="shared" si="2"/>
        <v>1.1568157033805889E-2</v>
      </c>
      <c r="AK20" s="6">
        <f t="shared" si="3"/>
        <v>4.6791712104689201E-2</v>
      </c>
      <c r="AL20" s="6">
        <f t="shared" si="4"/>
        <v>0.12239912758996729</v>
      </c>
      <c r="AM20" s="6">
        <f t="shared" si="5"/>
        <v>2.5954198473282442E-2</v>
      </c>
      <c r="AN20" s="6">
        <f t="shared" si="6"/>
        <v>0.88855834242093779</v>
      </c>
      <c r="AO20" s="7">
        <v>3</v>
      </c>
      <c r="AP20" s="7">
        <v>1</v>
      </c>
      <c r="AQ20" s="7">
        <v>0</v>
      </c>
      <c r="AR20" s="10" t="s">
        <v>171</v>
      </c>
      <c r="AS20" s="7">
        <v>0</v>
      </c>
      <c r="AT20" s="7">
        <v>0</v>
      </c>
      <c r="AU20" s="7">
        <v>0</v>
      </c>
      <c r="AV20" s="3">
        <v>0</v>
      </c>
      <c r="AW20" s="3">
        <v>31</v>
      </c>
      <c r="AX20" s="3">
        <v>1</v>
      </c>
      <c r="AY20" s="5">
        <v>5.5</v>
      </c>
      <c r="AZ20" s="3">
        <v>1</v>
      </c>
      <c r="BA20" s="3">
        <v>1</v>
      </c>
      <c r="BB20" s="3">
        <v>1</v>
      </c>
      <c r="BC20" s="3">
        <v>1</v>
      </c>
      <c r="BD20" s="3">
        <v>1</v>
      </c>
      <c r="BE20" s="3">
        <v>0</v>
      </c>
      <c r="BF20" s="3">
        <v>0</v>
      </c>
      <c r="BG20" s="3">
        <v>0</v>
      </c>
      <c r="BH20" s="3">
        <v>0</v>
      </c>
      <c r="BI20" s="3">
        <v>0</v>
      </c>
      <c r="BJ20" s="3">
        <v>0</v>
      </c>
      <c r="BK20" s="3">
        <v>0</v>
      </c>
      <c r="BL20" s="3">
        <v>0</v>
      </c>
      <c r="BM20" s="3">
        <v>0</v>
      </c>
    </row>
    <row r="21" spans="1:65" ht="20.100000000000001" customHeight="1" x14ac:dyDescent="0.3">
      <c r="A21" s="3" t="s">
        <v>23</v>
      </c>
      <c r="B21" s="3">
        <v>15</v>
      </c>
      <c r="C21" s="8">
        <v>44234</v>
      </c>
      <c r="D21" s="9">
        <v>0.2638888888888889</v>
      </c>
      <c r="E21" s="4">
        <v>37</v>
      </c>
      <c r="F21" s="3">
        <v>0</v>
      </c>
      <c r="G21" s="3">
        <v>0</v>
      </c>
      <c r="H21" s="3">
        <v>0</v>
      </c>
      <c r="I21" s="3">
        <v>0</v>
      </c>
      <c r="J21" s="9">
        <v>0.25694444444444448</v>
      </c>
      <c r="K21" s="3">
        <v>140.6</v>
      </c>
      <c r="L21" s="11">
        <f t="shared" si="8"/>
        <v>-3</v>
      </c>
      <c r="M21" s="5">
        <f t="shared" si="7"/>
        <v>2292.5</v>
      </c>
      <c r="N21" s="11">
        <v>31.75</v>
      </c>
      <c r="O21" s="11">
        <v>33.75</v>
      </c>
      <c r="P21" s="11">
        <v>11.25</v>
      </c>
      <c r="Q21" s="11">
        <v>11.25</v>
      </c>
      <c r="R21" s="11">
        <v>21.25</v>
      </c>
      <c r="S21" s="11">
        <v>21.25</v>
      </c>
      <c r="T21" s="11">
        <v>21</v>
      </c>
      <c r="U21" s="11">
        <v>21</v>
      </c>
      <c r="V21" s="11">
        <v>20</v>
      </c>
      <c r="W21" s="11">
        <v>20</v>
      </c>
      <c r="X21" s="11">
        <v>10</v>
      </c>
      <c r="Y21" s="11">
        <v>10</v>
      </c>
      <c r="Z21" s="3" t="s">
        <v>177</v>
      </c>
      <c r="AA21" s="10" t="s">
        <v>176</v>
      </c>
      <c r="AB21" s="5">
        <f>300+260+60+16+37+40+8+20+105+330+260+60+16+37+40+8+20+162+322+92+300+42+105+330+260+60+16+37+40+8+20</f>
        <v>3411</v>
      </c>
      <c r="AC21" s="6">
        <f>2.5+18+1+0.17+0+0+0+1.5+0+2.5+18+1+0.17+0+0+0+1.5+0+29+0+0+0+0+2.5+18+1+0.17+0+0+0+1.5</f>
        <v>98.51</v>
      </c>
      <c r="AD21" s="6">
        <f>0.5+5+0+0.02+0+0+0+1+0+0.5+5+0+0.02+0+0+0+1+0+4+0+0+0+0+0.5+5+0+0.02+0+0+0+1</f>
        <v>23.56</v>
      </c>
      <c r="AE21" s="6">
        <f>23+20+2+1.5+1+1+0.77+2+1+23+20+2+1.5+1+1+0.77+2+4+4+2+0+1+1+23+20+2+1.5+1+1+0.77+2</f>
        <v>166.81000000000003</v>
      </c>
      <c r="AF21" s="6">
        <f>61+5+12+3+7+10+1.1+0+27+61+5+12+3+7+10+1.1+0+42+17+24+75+13+27+61+5+12+3+7+10+1.1+0</f>
        <v>522.30000000000007</v>
      </c>
      <c r="AG21" s="6">
        <f>11+2+2+1+2+3+0.5+0+3+11+2+2+1+2+3+0.5+0+8+18+2+6+2+3+11+2+2+1+2+3+0.5+0</f>
        <v>106.5</v>
      </c>
      <c r="AH21" s="6">
        <f>0+350+420+15.02+5+0+8+100+1+0+350+420+15.02+5+0+8+100+4+14+0+0+1+1+0+350+420+15.02+5+0+8+100</f>
        <v>2715.06</v>
      </c>
      <c r="AI21" s="6">
        <f t="shared" si="1"/>
        <v>2.8880093814130755E-2</v>
      </c>
      <c r="AJ21" s="6">
        <f t="shared" si="2"/>
        <v>6.9070653767223681E-3</v>
      </c>
      <c r="AK21" s="6">
        <f t="shared" si="3"/>
        <v>4.8903547346819121E-2</v>
      </c>
      <c r="AL21" s="6">
        <f t="shared" si="4"/>
        <v>0.15312225153913811</v>
      </c>
      <c r="AM21" s="6">
        <f t="shared" si="5"/>
        <v>3.1222515391380826E-2</v>
      </c>
      <c r="AN21" s="6">
        <f t="shared" si="6"/>
        <v>0.79597185576077401</v>
      </c>
      <c r="AO21" s="7">
        <v>3</v>
      </c>
      <c r="AP21" s="7">
        <v>2</v>
      </c>
      <c r="AQ21" s="7">
        <v>0</v>
      </c>
      <c r="AR21" s="7">
        <v>0</v>
      </c>
      <c r="AS21" s="7">
        <v>0</v>
      </c>
      <c r="AT21" s="7">
        <v>0</v>
      </c>
      <c r="AU21" s="7">
        <v>0</v>
      </c>
      <c r="AV21" s="3">
        <v>0</v>
      </c>
      <c r="AW21" s="3">
        <v>31</v>
      </c>
      <c r="AX21" s="3">
        <v>1</v>
      </c>
      <c r="AY21" s="5">
        <v>7.5</v>
      </c>
      <c r="AZ21" s="3">
        <v>1</v>
      </c>
      <c r="BA21" s="3">
        <v>1</v>
      </c>
      <c r="BB21" s="3">
        <v>1</v>
      </c>
      <c r="BC21" s="3">
        <v>1</v>
      </c>
      <c r="BD21" s="3">
        <v>1</v>
      </c>
      <c r="BE21" s="3">
        <v>0</v>
      </c>
      <c r="BF21" s="3">
        <v>0</v>
      </c>
      <c r="BG21" s="3">
        <v>0</v>
      </c>
      <c r="BH21" s="3">
        <v>0</v>
      </c>
      <c r="BI21" s="3">
        <v>0</v>
      </c>
      <c r="BJ21" s="3">
        <v>0</v>
      </c>
      <c r="BK21" s="3">
        <v>0</v>
      </c>
      <c r="BL21" s="3">
        <v>0</v>
      </c>
      <c r="BM21" s="3">
        <v>0</v>
      </c>
    </row>
    <row r="22" spans="1:65" ht="20.100000000000001" customHeight="1" x14ac:dyDescent="0.3">
      <c r="A22" s="3" t="s">
        <v>15</v>
      </c>
      <c r="B22" s="3">
        <v>16</v>
      </c>
      <c r="C22" s="8">
        <v>44235</v>
      </c>
      <c r="D22" s="9">
        <v>0.58333333333333337</v>
      </c>
      <c r="E22" s="4">
        <v>67</v>
      </c>
      <c r="F22" s="3">
        <v>0</v>
      </c>
      <c r="G22" s="3">
        <v>0</v>
      </c>
      <c r="H22" s="3">
        <v>0</v>
      </c>
      <c r="I22" s="3">
        <v>0</v>
      </c>
      <c r="J22" s="9">
        <v>0.34027777777777773</v>
      </c>
      <c r="K22" s="3">
        <v>142</v>
      </c>
      <c r="L22" s="11">
        <f t="shared" si="8"/>
        <v>1.4000000000000057</v>
      </c>
      <c r="M22" s="5">
        <f t="shared" si="7"/>
        <v>3411</v>
      </c>
      <c r="N22" s="11">
        <v>31.5</v>
      </c>
      <c r="O22" s="11">
        <v>33</v>
      </c>
      <c r="P22" s="11">
        <v>11.25</v>
      </c>
      <c r="Q22" s="11">
        <v>11.25</v>
      </c>
      <c r="R22" s="11">
        <v>20.75</v>
      </c>
      <c r="S22" s="11">
        <v>20.75</v>
      </c>
      <c r="T22" s="11">
        <v>18</v>
      </c>
      <c r="U22" s="11">
        <v>18</v>
      </c>
      <c r="V22" s="11">
        <v>18</v>
      </c>
      <c r="W22" s="11">
        <v>18</v>
      </c>
      <c r="X22" s="11">
        <v>10</v>
      </c>
      <c r="Y22" s="11">
        <v>10</v>
      </c>
      <c r="Z22" s="3" t="s">
        <v>183</v>
      </c>
      <c r="AA22" s="10" t="s">
        <v>182</v>
      </c>
      <c r="AB22" s="5">
        <f>330+260+60+16+37+40+8+20+105+100+330+260+60+16+37+40+8+20+350.25+132.5+118+325+81+92+105+350.25+132.5+118</f>
        <v>3551.5</v>
      </c>
      <c r="AC22" s="6">
        <f>2.5+18+1+0.17+0+0+0+1.5+0+7+2.5+18+1+0.17+0+0+0+1.5+32.2+6+0+21.125+0+0+0+32.2+6+0</f>
        <v>150.86500000000001</v>
      </c>
      <c r="AD22" s="6">
        <f>2*(0.5+5+0+0.02+0+0+0+1)+0+6+3.5+2.75+0+19.5+0+0+0+3.5+2.75+0</f>
        <v>51.04</v>
      </c>
      <c r="AE22" s="6">
        <f>2*(23+20+2+1.5+1+1+0.77+2)+1+1+2*(5+7.25+2)+3.25+2+2+1</f>
        <v>141.29000000000002</v>
      </c>
      <c r="AF22" s="6">
        <f>2*(61+5+12+3+7+10+1.1+0)+27+11+2*(13.25+14.75+28)+35.75+21+24+27</f>
        <v>455.95</v>
      </c>
      <c r="AG22" s="6">
        <f>2*(11+2+2+1+2+3+0.5+0)+3+1+2*(4.35+3.5+4)+3.25+4+2+3</f>
        <v>82.95</v>
      </c>
      <c r="AH22" s="6">
        <f>2*(0+350+420+15.02+5+0+8+100)+1+10+2*(207.25+462.5+9)+32.5+2+0+1</f>
        <v>3200.04</v>
      </c>
      <c r="AI22" s="6">
        <f t="shared" si="1"/>
        <v>4.2479234126425458E-2</v>
      </c>
      <c r="AJ22" s="6">
        <f t="shared" si="2"/>
        <v>1.437139236942137E-2</v>
      </c>
      <c r="AK22" s="6">
        <f t="shared" si="3"/>
        <v>3.9783190201323392E-2</v>
      </c>
      <c r="AL22" s="6">
        <f t="shared" si="4"/>
        <v>0.12838237364493876</v>
      </c>
      <c r="AM22" s="6">
        <f t="shared" si="5"/>
        <v>2.3356328311980853E-2</v>
      </c>
      <c r="AN22" s="6">
        <f t="shared" si="6"/>
        <v>0.90103899760664508</v>
      </c>
      <c r="AO22" s="7">
        <v>3</v>
      </c>
      <c r="AP22" s="7">
        <v>2</v>
      </c>
      <c r="AQ22" s="7">
        <v>0</v>
      </c>
      <c r="AR22" s="7">
        <v>0</v>
      </c>
      <c r="AS22" s="7">
        <v>0</v>
      </c>
      <c r="AT22" s="7">
        <v>0</v>
      </c>
      <c r="AU22" s="7">
        <v>0</v>
      </c>
      <c r="AV22" s="3">
        <v>0</v>
      </c>
      <c r="AW22" s="3">
        <v>31</v>
      </c>
      <c r="AX22" s="3">
        <v>1</v>
      </c>
      <c r="AY22" s="5">
        <v>8</v>
      </c>
      <c r="AZ22" s="3">
        <v>1</v>
      </c>
      <c r="BA22" s="3">
        <v>1</v>
      </c>
      <c r="BB22" s="3">
        <v>0</v>
      </c>
      <c r="BC22" s="3">
        <v>1</v>
      </c>
      <c r="BD22" s="3">
        <v>1</v>
      </c>
      <c r="BE22" s="3">
        <v>0</v>
      </c>
      <c r="BF22" s="3">
        <v>0</v>
      </c>
      <c r="BG22" s="3">
        <v>0</v>
      </c>
      <c r="BH22" s="3">
        <v>0</v>
      </c>
      <c r="BI22" s="3">
        <v>0</v>
      </c>
      <c r="BJ22" s="3">
        <v>0</v>
      </c>
      <c r="BK22" s="3">
        <v>0</v>
      </c>
      <c r="BL22" s="3">
        <v>0</v>
      </c>
      <c r="BM22" s="3">
        <v>0</v>
      </c>
    </row>
    <row r="23" spans="1:65" ht="20.100000000000001" customHeight="1" x14ac:dyDescent="0.3">
      <c r="A23" s="3" t="s">
        <v>16</v>
      </c>
      <c r="B23" s="3">
        <v>17</v>
      </c>
      <c r="C23" s="8">
        <v>44236</v>
      </c>
      <c r="D23" s="9">
        <v>0.60416666666666663</v>
      </c>
      <c r="E23" s="4">
        <v>59</v>
      </c>
      <c r="F23" s="3">
        <v>15</v>
      </c>
      <c r="G23" s="3">
        <v>3</v>
      </c>
      <c r="H23" s="3">
        <v>45</v>
      </c>
      <c r="I23" s="3">
        <v>1</v>
      </c>
      <c r="J23" s="9">
        <v>0.32291666666666669</v>
      </c>
      <c r="K23" s="3">
        <v>140.19999999999999</v>
      </c>
      <c r="L23" s="11">
        <f t="shared" si="8"/>
        <v>-1.8000000000000114</v>
      </c>
      <c r="M23" s="5">
        <f t="shared" si="7"/>
        <v>3551.5</v>
      </c>
      <c r="N23" s="11">
        <v>31.5</v>
      </c>
      <c r="O23" s="11">
        <v>33.75</v>
      </c>
      <c r="P23" s="11">
        <v>11.25</v>
      </c>
      <c r="Q23" s="11">
        <v>11.25</v>
      </c>
      <c r="R23" s="11">
        <v>20.5</v>
      </c>
      <c r="S23" s="11">
        <v>21</v>
      </c>
      <c r="T23" s="11">
        <v>20</v>
      </c>
      <c r="U23" s="11">
        <v>20</v>
      </c>
      <c r="V23" s="11">
        <v>20</v>
      </c>
      <c r="W23" s="11">
        <v>18</v>
      </c>
      <c r="X23" s="11">
        <v>10</v>
      </c>
      <c r="Y23" s="11">
        <v>10</v>
      </c>
      <c r="Z23" s="3" t="s">
        <v>195</v>
      </c>
      <c r="AA23" s="10" t="s">
        <v>194</v>
      </c>
      <c r="AB23" s="5">
        <f>140+241.5+105+92+81+100+132.5+241.5+60+132.5+350.25+118+200+50</f>
        <v>2044.25</v>
      </c>
      <c r="AC23" s="6">
        <f>10+21.75+0+0+0+1+6+21.75+5+6+32.2+0+16+0</f>
        <v>119.7</v>
      </c>
      <c r="AD23" s="6">
        <f>3+3+0+0+0+2.75+3+3.5+2.75+3.5+0+10+0</f>
        <v>31.5</v>
      </c>
      <c r="AE23" s="6">
        <f>12+3+1+2+2+2+7.25+3+1+7.25+5+2+14+0</f>
        <v>61.5</v>
      </c>
      <c r="AF23" s="6">
        <f>0+12.75+27+24+21+21+14.75+12.75+0+14.75+13.25+28+0+12</f>
        <v>201.25</v>
      </c>
      <c r="AG23" s="6">
        <f>0+13.5+3+2+4+2+3.5+13.5+1+3.5+4.35+4+0+2</f>
        <v>56.35</v>
      </c>
      <c r="AH23" s="6">
        <f>140+10.5+1+0+2+60+462.5+10.5+15+462.5+207.25+9+340+0</f>
        <v>1720.25</v>
      </c>
      <c r="AI23" s="6">
        <f t="shared" si="1"/>
        <v>5.8554482083893848E-2</v>
      </c>
      <c r="AJ23" s="6">
        <f t="shared" si="2"/>
        <v>1.5409074232603645E-2</v>
      </c>
      <c r="AK23" s="6">
        <f t="shared" si="3"/>
        <v>3.0084383025559495E-2</v>
      </c>
      <c r="AL23" s="6">
        <f t="shared" si="4"/>
        <v>9.8446863152745506E-2</v>
      </c>
      <c r="AM23" s="6">
        <f t="shared" si="5"/>
        <v>2.7565121682768742E-2</v>
      </c>
      <c r="AN23" s="6">
        <f t="shared" si="6"/>
        <v>0.84150666503607685</v>
      </c>
      <c r="AO23" s="7">
        <v>3</v>
      </c>
      <c r="AP23" s="7">
        <v>1</v>
      </c>
      <c r="AQ23" s="7">
        <v>0</v>
      </c>
      <c r="AR23" s="10" t="s">
        <v>193</v>
      </c>
      <c r="AS23" s="3" t="s">
        <v>254</v>
      </c>
      <c r="AT23" s="7" t="s">
        <v>255</v>
      </c>
      <c r="AU23" s="7">
        <v>10</v>
      </c>
      <c r="AV23" s="3">
        <v>-5</v>
      </c>
      <c r="AW23" s="3">
        <v>31</v>
      </c>
      <c r="AX23" s="3">
        <v>1</v>
      </c>
      <c r="AY23" s="5">
        <v>7</v>
      </c>
      <c r="AZ23" s="3">
        <v>1</v>
      </c>
      <c r="BA23" s="3">
        <v>1</v>
      </c>
      <c r="BB23" s="3">
        <v>1</v>
      </c>
      <c r="BC23" s="3">
        <v>1</v>
      </c>
      <c r="BD23" s="3">
        <v>1</v>
      </c>
      <c r="BE23" s="3">
        <v>0</v>
      </c>
      <c r="BF23" s="3">
        <v>1</v>
      </c>
      <c r="BG23" s="3">
        <v>30</v>
      </c>
      <c r="BH23" s="3">
        <v>0</v>
      </c>
      <c r="BI23" s="3">
        <v>0</v>
      </c>
      <c r="BJ23" s="3">
        <v>0</v>
      </c>
      <c r="BK23" s="3">
        <v>0</v>
      </c>
      <c r="BL23" s="3">
        <v>0</v>
      </c>
      <c r="BM23" s="3">
        <v>0</v>
      </c>
    </row>
    <row r="24" spans="1:65" ht="20.100000000000001" customHeight="1" x14ac:dyDescent="0.3">
      <c r="A24" s="3" t="s">
        <v>16</v>
      </c>
      <c r="B24" s="3">
        <v>17</v>
      </c>
      <c r="C24" s="8">
        <v>44236</v>
      </c>
      <c r="D24" s="9">
        <v>0.60416666666666663</v>
      </c>
      <c r="E24" s="4">
        <v>59</v>
      </c>
      <c r="F24" s="3">
        <v>15</v>
      </c>
      <c r="G24" s="3">
        <v>3</v>
      </c>
      <c r="H24" s="3">
        <v>45</v>
      </c>
      <c r="I24" s="3">
        <v>1</v>
      </c>
      <c r="J24" s="9">
        <v>0.79166666666666663</v>
      </c>
      <c r="K24" s="3">
        <v>142.6</v>
      </c>
      <c r="L24" s="11">
        <f t="shared" ref="L24" si="9">K24-K23</f>
        <v>2.4000000000000057</v>
      </c>
      <c r="M24" s="5">
        <f t="shared" ref="M24" si="10">AB23</f>
        <v>2044.25</v>
      </c>
      <c r="N24" s="11">
        <v>33</v>
      </c>
      <c r="O24" s="11">
        <v>34</v>
      </c>
      <c r="P24" s="11">
        <v>11.25</v>
      </c>
      <c r="Q24" s="11">
        <v>11.25</v>
      </c>
      <c r="R24" s="11">
        <v>21.625</v>
      </c>
      <c r="S24" s="11">
        <v>21.75</v>
      </c>
      <c r="T24" s="11">
        <v>20</v>
      </c>
      <c r="U24" s="11">
        <v>18</v>
      </c>
      <c r="V24" s="11">
        <v>19</v>
      </c>
      <c r="W24" s="11">
        <v>19</v>
      </c>
      <c r="X24" s="11">
        <v>10</v>
      </c>
      <c r="Y24" s="11">
        <v>8</v>
      </c>
      <c r="Z24" s="3" t="s">
        <v>195</v>
      </c>
      <c r="AA24" s="10" t="s">
        <v>194</v>
      </c>
      <c r="AB24" s="5">
        <f>140+241.5+105+92+81+100+132.5+241.5+60+132.5+350.25+118+200+50</f>
        <v>2044.25</v>
      </c>
      <c r="AC24" s="6">
        <f>10+21.75+0+0+0+1+6+21.75+5+6+32.2+0+16+0</f>
        <v>119.7</v>
      </c>
      <c r="AD24" s="6">
        <f>3+3+0+0+0+2.75+3+3.5+2.75+3.5+0+10+0</f>
        <v>31.5</v>
      </c>
      <c r="AE24" s="6">
        <f>12+3+1+2+2+2+7.25+3+1+7.25+5+2+14+0</f>
        <v>61.5</v>
      </c>
      <c r="AF24" s="6">
        <f>0+12.75+27+24+21+21+14.75+12.75+0+14.75+13.25+28+0+12</f>
        <v>201.25</v>
      </c>
      <c r="AG24" s="6">
        <f>0+13.5+3+2+4+2+3.5+13.5+1+3.5+4.35+4+0+2</f>
        <v>56.35</v>
      </c>
      <c r="AH24" s="6">
        <f>140+10.5+1+0+2+60+462.5+10.5+15+462.5+207.25+9+340+0</f>
        <v>1720.25</v>
      </c>
      <c r="AI24" s="6">
        <f t="shared" si="1"/>
        <v>5.8554482083893848E-2</v>
      </c>
      <c r="AJ24" s="6">
        <f t="shared" si="2"/>
        <v>1.5409074232603645E-2</v>
      </c>
      <c r="AK24" s="6">
        <f t="shared" si="3"/>
        <v>3.0084383025559495E-2</v>
      </c>
      <c r="AL24" s="6">
        <f t="shared" si="4"/>
        <v>9.8446863152745506E-2</v>
      </c>
      <c r="AM24" s="6">
        <f t="shared" si="5"/>
        <v>2.7565121682768742E-2</v>
      </c>
      <c r="AN24" s="6">
        <f t="shared" si="6"/>
        <v>0.84150666503607685</v>
      </c>
      <c r="AO24" s="7">
        <v>3</v>
      </c>
      <c r="AP24" s="7">
        <v>1</v>
      </c>
      <c r="AQ24" s="7">
        <v>0</v>
      </c>
      <c r="AR24" s="10" t="s">
        <v>193</v>
      </c>
      <c r="AS24" s="3" t="s">
        <v>254</v>
      </c>
      <c r="AT24" s="7" t="s">
        <v>255</v>
      </c>
      <c r="AU24" s="7">
        <v>10</v>
      </c>
      <c r="AV24" s="3">
        <v>-5</v>
      </c>
      <c r="AW24" s="3">
        <v>31</v>
      </c>
      <c r="AX24" s="3">
        <v>1</v>
      </c>
      <c r="AY24" s="5">
        <v>7</v>
      </c>
      <c r="AZ24" s="3">
        <v>1</v>
      </c>
      <c r="BA24" s="3">
        <v>1</v>
      </c>
      <c r="BB24" s="3">
        <v>1</v>
      </c>
      <c r="BC24" s="3">
        <v>1</v>
      </c>
      <c r="BD24" s="3">
        <v>1</v>
      </c>
      <c r="BE24" s="3">
        <v>0</v>
      </c>
      <c r="BF24" s="3">
        <v>1</v>
      </c>
      <c r="BG24" s="3">
        <v>30</v>
      </c>
      <c r="BH24" s="3">
        <v>0</v>
      </c>
      <c r="BI24" s="3">
        <v>0</v>
      </c>
      <c r="BJ24" s="3">
        <v>0</v>
      </c>
      <c r="BK24" s="3">
        <v>0</v>
      </c>
      <c r="BL24" s="3">
        <v>0</v>
      </c>
      <c r="BM24" s="3">
        <v>0</v>
      </c>
    </row>
    <row r="25" spans="1:65" ht="20.100000000000001" customHeight="1" x14ac:dyDescent="0.3">
      <c r="A25" s="3" t="s">
        <v>17</v>
      </c>
      <c r="B25" s="3">
        <v>18</v>
      </c>
      <c r="C25" s="8">
        <v>44237</v>
      </c>
      <c r="D25" s="9">
        <v>0.6875</v>
      </c>
      <c r="E25" s="4">
        <v>63</v>
      </c>
      <c r="F25" s="3">
        <v>9</v>
      </c>
      <c r="G25" s="3">
        <v>5</v>
      </c>
      <c r="H25" s="3">
        <v>45</v>
      </c>
      <c r="I25" s="3">
        <v>0</v>
      </c>
      <c r="J25" s="9">
        <v>0.23958333333333334</v>
      </c>
      <c r="K25" s="3">
        <v>139.4</v>
      </c>
      <c r="L25" s="11">
        <f t="shared" ref="L25" si="11">K25-K24</f>
        <v>-3.1999999999999886</v>
      </c>
      <c r="M25" s="5">
        <f t="shared" ref="M25" si="12">AB24</f>
        <v>2044.25</v>
      </c>
      <c r="N25" s="11">
        <v>31.5</v>
      </c>
      <c r="O25" s="11">
        <v>33.25</v>
      </c>
      <c r="P25" s="11">
        <v>11</v>
      </c>
      <c r="Q25" s="11">
        <v>11.125</v>
      </c>
      <c r="R25" s="11">
        <v>21</v>
      </c>
      <c r="S25" s="11">
        <v>20.75</v>
      </c>
      <c r="T25" s="11">
        <v>19</v>
      </c>
      <c r="U25" s="11">
        <v>20</v>
      </c>
      <c r="V25" s="11">
        <v>19</v>
      </c>
      <c r="W25" s="11">
        <v>19</v>
      </c>
      <c r="X25" s="11">
        <v>9</v>
      </c>
      <c r="Y25" s="11">
        <v>9</v>
      </c>
      <c r="Z25" s="3" t="s">
        <v>252</v>
      </c>
      <c r="AA25" s="10" t="s">
        <v>249</v>
      </c>
      <c r="AB25" s="5">
        <f>132.5+350.25+118+60+132.5+350.25+118+162+184+140+60+144+160+241.5</f>
        <v>2353</v>
      </c>
      <c r="AC25" s="6">
        <f>6+32.2+0+5+6+32.2+0+0+0+10+5+0+12+21.75</f>
        <v>130.15</v>
      </c>
      <c r="AD25" s="6">
        <f>2.75+3.5+0+3.5+2.75+3.5+0+0+0+3+3.5+0+8+3</f>
        <v>33.5</v>
      </c>
      <c r="AE25" s="6">
        <f>7.25+5+2+1+7.25+5+2+4+4+12+1+4+10+3</f>
        <v>67.5</v>
      </c>
      <c r="AF25" s="6">
        <f>14.75+13.25+28+0+14.75+13.25+28+42+48+0+0+28+0+12.75</f>
        <v>242.75</v>
      </c>
      <c r="AG25" s="6">
        <f>3.5+4.35+4+1+3.5+4.35+4+8+4+0+1+4+0+13.5</f>
        <v>55.2</v>
      </c>
      <c r="AH25" s="6">
        <f>1874</f>
        <v>1874</v>
      </c>
      <c r="AI25" s="6">
        <f t="shared" si="1"/>
        <v>5.5312367190820229E-2</v>
      </c>
      <c r="AJ25" s="6">
        <f t="shared" si="2"/>
        <v>1.4237144071398216E-2</v>
      </c>
      <c r="AK25" s="6">
        <f t="shared" si="3"/>
        <v>2.868678283042924E-2</v>
      </c>
      <c r="AL25" s="6">
        <f t="shared" si="4"/>
        <v>0.10316617084572886</v>
      </c>
      <c r="AM25" s="6">
        <f t="shared" si="5"/>
        <v>2.3459413514662134E-2</v>
      </c>
      <c r="AN25" s="6">
        <f t="shared" si="6"/>
        <v>0.79643008924776881</v>
      </c>
      <c r="AO25" s="7">
        <v>3</v>
      </c>
      <c r="AP25" s="7">
        <v>1</v>
      </c>
      <c r="AQ25" s="7">
        <v>0</v>
      </c>
      <c r="AR25" s="7">
        <v>0</v>
      </c>
      <c r="AS25" s="7">
        <v>0</v>
      </c>
      <c r="AT25" s="7">
        <v>0</v>
      </c>
      <c r="AU25" s="7">
        <v>0</v>
      </c>
      <c r="AV25" s="3">
        <v>0</v>
      </c>
      <c r="AW25" s="3">
        <v>31</v>
      </c>
      <c r="AX25" s="3">
        <v>1</v>
      </c>
      <c r="AY25" s="5">
        <v>8</v>
      </c>
      <c r="AZ25" s="3">
        <v>1</v>
      </c>
      <c r="BA25" s="3">
        <v>1</v>
      </c>
      <c r="BB25" s="3">
        <v>1</v>
      </c>
      <c r="BC25" s="3">
        <v>1</v>
      </c>
      <c r="BD25" s="3">
        <v>1</v>
      </c>
      <c r="BE25" s="3">
        <v>0</v>
      </c>
      <c r="BF25" s="3">
        <v>0</v>
      </c>
      <c r="BG25" s="3">
        <v>0</v>
      </c>
      <c r="BH25" s="3">
        <v>0</v>
      </c>
      <c r="BI25" s="3">
        <v>0</v>
      </c>
      <c r="BJ25" s="3">
        <v>0</v>
      </c>
      <c r="BK25" s="3">
        <v>0</v>
      </c>
      <c r="BL25" s="3">
        <v>0</v>
      </c>
      <c r="BM25" s="3">
        <v>0</v>
      </c>
    </row>
    <row r="26" spans="1:65" ht="20.100000000000001" customHeight="1" x14ac:dyDescent="0.3">
      <c r="A26" s="3" t="s">
        <v>17</v>
      </c>
      <c r="B26" s="3">
        <v>18</v>
      </c>
      <c r="C26" s="8">
        <v>44237</v>
      </c>
      <c r="D26" s="9">
        <v>0.6875</v>
      </c>
      <c r="E26" s="4">
        <v>63</v>
      </c>
      <c r="F26" s="3">
        <v>9</v>
      </c>
      <c r="G26" s="3">
        <v>5</v>
      </c>
      <c r="H26" s="3">
        <v>45</v>
      </c>
      <c r="I26" s="3">
        <v>0</v>
      </c>
      <c r="J26" s="9">
        <v>0.80208333333333337</v>
      </c>
      <c r="K26" s="3">
        <v>142.19999999999999</v>
      </c>
      <c r="L26" s="11">
        <f t="shared" ref="L26" si="13">K26-K25</f>
        <v>2.7999999999999829</v>
      </c>
      <c r="M26" s="5">
        <f t="shared" ref="M26" si="14">AB25</f>
        <v>2353</v>
      </c>
      <c r="N26" s="11">
        <v>31.5</v>
      </c>
      <c r="O26" s="11">
        <v>33.5</v>
      </c>
      <c r="P26" s="11">
        <v>11</v>
      </c>
      <c r="Q26" s="11">
        <v>11.25</v>
      </c>
      <c r="R26" s="11">
        <v>20.5</v>
      </c>
      <c r="S26" s="11">
        <v>20.75</v>
      </c>
      <c r="T26" s="11">
        <v>16</v>
      </c>
      <c r="U26" s="11">
        <v>18</v>
      </c>
      <c r="V26" s="11">
        <v>19</v>
      </c>
      <c r="W26" s="11">
        <v>19</v>
      </c>
      <c r="X26" s="11">
        <v>9</v>
      </c>
      <c r="Y26" s="11">
        <v>8</v>
      </c>
      <c r="Z26" s="3" t="s">
        <v>256</v>
      </c>
      <c r="AA26" s="10" t="s">
        <v>249</v>
      </c>
      <c r="AB26" s="5">
        <f>132.5+350.25+118+60+132.5+350.25+118+162+184+140+60+144+160+241.5</f>
        <v>2353</v>
      </c>
      <c r="AC26" s="6">
        <f>6+32.2+0+5+6+32.2+0+0+0+10+5+0+12+21.75</f>
        <v>130.15</v>
      </c>
      <c r="AD26" s="6">
        <f>2.75+3.5+0+3.5+2.75+3.5+0+0+0+3+3.5+0+8+3</f>
        <v>33.5</v>
      </c>
      <c r="AE26" s="6">
        <f>7.25+5+2+1+7.25+5+2+4+4+12+1+4+10+3</f>
        <v>67.5</v>
      </c>
      <c r="AF26" s="6">
        <f>14.75+13.25+28+0+14.75+13.25+28+42+48+0+0+28+0+12.75</f>
        <v>242.75</v>
      </c>
      <c r="AG26" s="6">
        <f>3.5+4.35+4+1+3.5+4.35+4+8+4+0+1+4+0+13.5</f>
        <v>55.2</v>
      </c>
      <c r="AH26" s="6">
        <f>1874</f>
        <v>1874</v>
      </c>
      <c r="AI26" s="6">
        <f t="shared" si="1"/>
        <v>5.5312367190820229E-2</v>
      </c>
      <c r="AJ26" s="6">
        <f t="shared" si="2"/>
        <v>1.4237144071398216E-2</v>
      </c>
      <c r="AK26" s="6">
        <f t="shared" si="3"/>
        <v>2.868678283042924E-2</v>
      </c>
      <c r="AL26" s="6">
        <f t="shared" si="4"/>
        <v>0.10316617084572886</v>
      </c>
      <c r="AM26" s="6">
        <f t="shared" si="5"/>
        <v>2.3459413514662134E-2</v>
      </c>
      <c r="AN26" s="6">
        <f t="shared" si="6"/>
        <v>0.79643008924776881</v>
      </c>
      <c r="AO26" s="7">
        <v>3</v>
      </c>
      <c r="AP26" s="7">
        <v>1</v>
      </c>
      <c r="AQ26" s="7">
        <v>0</v>
      </c>
      <c r="AR26" s="7">
        <v>0</v>
      </c>
      <c r="AS26" s="7">
        <v>0</v>
      </c>
      <c r="AT26" s="7">
        <v>0</v>
      </c>
      <c r="AU26" s="7">
        <v>0</v>
      </c>
      <c r="AV26" s="3">
        <v>0</v>
      </c>
      <c r="AW26" s="3">
        <v>31</v>
      </c>
      <c r="AX26" s="3">
        <v>1</v>
      </c>
      <c r="AY26" s="5">
        <v>8</v>
      </c>
      <c r="AZ26" s="3">
        <v>1</v>
      </c>
      <c r="BA26" s="3">
        <v>1</v>
      </c>
      <c r="BB26" s="3">
        <v>1</v>
      </c>
      <c r="BC26" s="3">
        <v>1</v>
      </c>
      <c r="BD26" s="3">
        <v>1</v>
      </c>
      <c r="BE26" s="3">
        <v>0</v>
      </c>
      <c r="BF26" s="3">
        <v>0</v>
      </c>
      <c r="BG26" s="3">
        <v>0</v>
      </c>
      <c r="BH26" s="3">
        <v>0</v>
      </c>
      <c r="BI26" s="3">
        <v>0</v>
      </c>
      <c r="BJ26" s="3">
        <v>0</v>
      </c>
      <c r="BK26" s="3">
        <v>0</v>
      </c>
      <c r="BL26" s="3">
        <v>0</v>
      </c>
      <c r="BM26" s="3">
        <v>0</v>
      </c>
    </row>
    <row r="27" spans="1:65" ht="20.100000000000001" customHeight="1" x14ac:dyDescent="0.3">
      <c r="A27" s="3" t="s">
        <v>18</v>
      </c>
      <c r="B27" s="3">
        <v>19</v>
      </c>
      <c r="C27" s="8">
        <v>44238</v>
      </c>
      <c r="D27" s="9">
        <v>0.59027777777777779</v>
      </c>
      <c r="E27" s="4">
        <v>70</v>
      </c>
      <c r="F27" s="3">
        <v>0</v>
      </c>
      <c r="G27" s="3">
        <v>0</v>
      </c>
      <c r="H27" s="3">
        <v>0</v>
      </c>
      <c r="I27" s="3">
        <v>1</v>
      </c>
      <c r="J27" s="9">
        <v>0.15972222222222224</v>
      </c>
      <c r="K27" s="3">
        <v>140</v>
      </c>
      <c r="L27" s="11">
        <f t="shared" ref="L27" si="15">K27-K26</f>
        <v>-2.1999999999999886</v>
      </c>
      <c r="M27" s="5">
        <f t="shared" ref="M27" si="16">AB26</f>
        <v>2353</v>
      </c>
      <c r="N27" s="11">
        <v>31.25</v>
      </c>
      <c r="O27" s="11">
        <v>32.75</v>
      </c>
      <c r="P27" s="11">
        <v>11</v>
      </c>
      <c r="Q27" s="11">
        <v>11</v>
      </c>
      <c r="R27" s="11">
        <v>20.5</v>
      </c>
      <c r="S27" s="11">
        <v>20.75</v>
      </c>
      <c r="T27" s="11">
        <v>17</v>
      </c>
      <c r="U27" s="11">
        <v>17</v>
      </c>
      <c r="V27" s="11">
        <v>18</v>
      </c>
      <c r="W27" s="11">
        <v>17</v>
      </c>
      <c r="X27" s="11">
        <v>8</v>
      </c>
      <c r="Y27" s="11">
        <v>7</v>
      </c>
      <c r="Z27" s="3" t="s">
        <v>261</v>
      </c>
      <c r="AA27" s="10" t="s">
        <v>262</v>
      </c>
      <c r="AB27" s="5">
        <f>70+30+164+160+210+164+160+100+100+5+1.25+13.125+60+3.75+4.375+200+30+100+25+615</f>
        <v>2215.5</v>
      </c>
      <c r="AC27" s="6">
        <f>5+2.5+0+12+15+0+12+8+10+0.375+0.65+0+0.1875+0+20+2.25+8+0+0</f>
        <v>95.962500000000006</v>
      </c>
      <c r="AD27" s="6">
        <f>1.5+1.75+0+8+4.5+0+8+4.5+1+0+0+0+0+0+2+0+5+0+0</f>
        <v>36.25</v>
      </c>
      <c r="AE27" s="6">
        <f>6+0.5+4+10+18+4+10+5+2.5+0.125+0.125+0.47+0.47+5+0.75+7+0+0</f>
        <v>73.94</v>
      </c>
      <c r="AF27" s="6">
        <f>0.25+0.375+3.375+0.125+1.125+4+1.5+0+6+20</f>
        <v>36.75</v>
      </c>
      <c r="AG27" s="6">
        <f>0+0.5+4+0+0+4+0+1+1+0.125+0.125+2+0.75+0+1+0</f>
        <v>14.5</v>
      </c>
      <c r="AH27" s="6">
        <f>70+7.5+72+260+210+72+260+360+0+22.5+0+0.125+0+0.47+17+0+135+170+0+30</f>
        <v>1686.595</v>
      </c>
      <c r="AI27" s="6">
        <f t="shared" si="1"/>
        <v>4.3314150304671631E-2</v>
      </c>
      <c r="AJ27" s="6">
        <f t="shared" si="2"/>
        <v>1.6361995034980818E-2</v>
      </c>
      <c r="AK27" s="6">
        <f t="shared" si="3"/>
        <v>3.3373956217558114E-2</v>
      </c>
      <c r="AL27" s="6">
        <f t="shared" si="4"/>
        <v>1.6587677725118485E-2</v>
      </c>
      <c r="AM27" s="6">
        <f t="shared" si="5"/>
        <v>6.5447980139923265E-3</v>
      </c>
      <c r="AN27" s="6">
        <f t="shared" si="6"/>
        <v>0.7612705935454751</v>
      </c>
      <c r="AO27" s="7">
        <v>3</v>
      </c>
      <c r="AP27" s="7">
        <v>1</v>
      </c>
      <c r="AQ27" s="7">
        <v>0</v>
      </c>
      <c r="AR27" s="10" t="s">
        <v>257</v>
      </c>
      <c r="AS27" s="7" t="s">
        <v>260</v>
      </c>
      <c r="AT27" s="7">
        <v>0</v>
      </c>
      <c r="AU27" s="7">
        <f>5+10+5+5+5+10+10+10</f>
        <v>60</v>
      </c>
      <c r="AV27" s="7">
        <v>0</v>
      </c>
      <c r="AW27" s="3">
        <v>31</v>
      </c>
      <c r="AX27" s="3">
        <v>1</v>
      </c>
      <c r="AY27" s="5">
        <v>7</v>
      </c>
      <c r="AZ27" s="3">
        <v>1</v>
      </c>
      <c r="BA27" s="3">
        <v>1</v>
      </c>
      <c r="BB27" s="3">
        <v>1</v>
      </c>
      <c r="BC27" s="3">
        <v>1</v>
      </c>
      <c r="BD27" s="3">
        <v>1</v>
      </c>
      <c r="BE27" s="3">
        <v>0</v>
      </c>
      <c r="BF27" s="3">
        <v>0</v>
      </c>
      <c r="BG27" s="3">
        <v>0</v>
      </c>
      <c r="BH27" s="3">
        <v>0.5</v>
      </c>
      <c r="BI27" s="3">
        <v>0</v>
      </c>
      <c r="BJ27" s="3">
        <v>0</v>
      </c>
      <c r="BK27" s="3">
        <v>0</v>
      </c>
      <c r="BL27" s="3">
        <v>0</v>
      </c>
      <c r="BM27" s="3">
        <v>0</v>
      </c>
    </row>
    <row r="28" spans="1:65" ht="20.100000000000001" customHeight="1" x14ac:dyDescent="0.3">
      <c r="A28" s="3" t="s">
        <v>18</v>
      </c>
      <c r="B28" s="3">
        <v>19</v>
      </c>
      <c r="C28" s="8">
        <v>44238</v>
      </c>
      <c r="D28" s="9">
        <v>0.59027777777777779</v>
      </c>
      <c r="E28" s="4">
        <v>70</v>
      </c>
      <c r="F28" s="3">
        <v>0</v>
      </c>
      <c r="G28" s="3">
        <v>0</v>
      </c>
      <c r="H28" s="3">
        <v>0</v>
      </c>
      <c r="I28" s="3">
        <v>1</v>
      </c>
      <c r="J28" s="9">
        <v>0.69791666666666663</v>
      </c>
      <c r="K28" s="3">
        <v>141</v>
      </c>
      <c r="L28" s="11">
        <f t="shared" ref="L28" si="17">K28-K27</f>
        <v>1</v>
      </c>
      <c r="M28" s="5">
        <f t="shared" ref="M28" si="18">AB27</f>
        <v>2215.5</v>
      </c>
      <c r="N28" s="11">
        <v>31</v>
      </c>
      <c r="O28" s="11">
        <v>32.25</v>
      </c>
      <c r="P28" s="11">
        <v>10.625</v>
      </c>
      <c r="Q28" s="11">
        <v>11.125</v>
      </c>
      <c r="R28" s="11">
        <v>20.75</v>
      </c>
      <c r="S28" s="11">
        <v>21</v>
      </c>
      <c r="T28" s="11">
        <v>17</v>
      </c>
      <c r="U28" s="11">
        <v>18</v>
      </c>
      <c r="V28" s="11">
        <v>16</v>
      </c>
      <c r="W28" s="11">
        <v>18</v>
      </c>
      <c r="X28" s="11">
        <v>8</v>
      </c>
      <c r="Y28" s="11">
        <v>7</v>
      </c>
      <c r="Z28" s="3" t="s">
        <v>261</v>
      </c>
      <c r="AA28" s="10" t="s">
        <v>262</v>
      </c>
      <c r="AB28" s="5">
        <f>70+30+164+160+210+164+160+100+100+5+1.25+13.125+60+3.75+4.375+200+30+100+25+615</f>
        <v>2215.5</v>
      </c>
      <c r="AC28" s="6">
        <f>5+2.5+0+12+15+0+12+8+10+0.375+0.65+0+0.1875+0+20+2.25+8+0+0</f>
        <v>95.962500000000006</v>
      </c>
      <c r="AD28" s="6">
        <f>1.5+1.75+0+8+4.5+0+8+4.5+1+0+0+0+0+0+2+0+5+0+0</f>
        <v>36.25</v>
      </c>
      <c r="AE28" s="6">
        <f>6+0.5+4+10+18+4+10+5+2.5+0.125+0.125+0.47+0.47+5+0.75+7+0+0</f>
        <v>73.94</v>
      </c>
      <c r="AF28" s="6">
        <f>0.25+0.375+3.375+0.125+1.125+4+1.5+0+6+20</f>
        <v>36.75</v>
      </c>
      <c r="AG28" s="6">
        <f>0+0.5+4+0+0+4+0+1+1+0.125+0.125+2+0.75+0+1+0</f>
        <v>14.5</v>
      </c>
      <c r="AH28" s="6">
        <f>70+7.5+72+260+210+72+260+360+0+22.5+0+0.125+0+0.47+17+0+135+170+0+30</f>
        <v>1686.595</v>
      </c>
      <c r="AI28" s="6">
        <f t="shared" si="1"/>
        <v>4.3314150304671631E-2</v>
      </c>
      <c r="AJ28" s="6">
        <f t="shared" si="2"/>
        <v>1.6361995034980818E-2</v>
      </c>
      <c r="AK28" s="6">
        <f t="shared" si="3"/>
        <v>3.3373956217558114E-2</v>
      </c>
      <c r="AL28" s="6">
        <f t="shared" si="4"/>
        <v>1.6587677725118485E-2</v>
      </c>
      <c r="AM28" s="6">
        <f t="shared" si="5"/>
        <v>6.5447980139923265E-3</v>
      </c>
      <c r="AN28" s="6">
        <f t="shared" si="6"/>
        <v>0.7612705935454751</v>
      </c>
      <c r="AO28" s="7">
        <v>3</v>
      </c>
      <c r="AP28" s="7">
        <v>1</v>
      </c>
      <c r="AQ28" s="7">
        <v>0</v>
      </c>
      <c r="AR28" s="10" t="s">
        <v>257</v>
      </c>
      <c r="AS28" s="7" t="s">
        <v>260</v>
      </c>
      <c r="AT28" s="7">
        <v>0</v>
      </c>
      <c r="AU28" s="7">
        <f>5+10+5+5+5+10+10+10</f>
        <v>60</v>
      </c>
      <c r="AV28" s="7">
        <v>0</v>
      </c>
      <c r="AW28" s="3">
        <v>31</v>
      </c>
      <c r="AX28" s="3">
        <v>1</v>
      </c>
      <c r="AY28" s="5">
        <v>7</v>
      </c>
      <c r="AZ28" s="3">
        <v>1</v>
      </c>
      <c r="BA28" s="3">
        <v>1</v>
      </c>
      <c r="BB28" s="3">
        <v>1</v>
      </c>
      <c r="BC28" s="3">
        <v>1</v>
      </c>
      <c r="BD28" s="3">
        <v>1</v>
      </c>
      <c r="BE28" s="3">
        <v>0</v>
      </c>
      <c r="BF28" s="3">
        <v>0</v>
      </c>
      <c r="BG28" s="3">
        <v>0</v>
      </c>
      <c r="BH28" s="3">
        <v>0.5</v>
      </c>
      <c r="BI28" s="3">
        <v>0</v>
      </c>
      <c r="BJ28" s="3">
        <v>0</v>
      </c>
      <c r="BK28" s="3">
        <v>0</v>
      </c>
      <c r="BL28" s="3">
        <v>0</v>
      </c>
      <c r="BM28" s="3">
        <v>0</v>
      </c>
    </row>
    <row r="29" spans="1:65" ht="20.100000000000001" customHeight="1" x14ac:dyDescent="0.3">
      <c r="A29" s="3" t="s">
        <v>18</v>
      </c>
      <c r="B29" s="3">
        <v>19</v>
      </c>
      <c r="C29" s="8">
        <v>44238</v>
      </c>
      <c r="D29" s="9">
        <v>0.59027777777777779</v>
      </c>
      <c r="E29" s="4">
        <v>70</v>
      </c>
      <c r="F29" s="3">
        <v>0</v>
      </c>
      <c r="G29" s="3">
        <v>0</v>
      </c>
      <c r="H29" s="3">
        <v>0</v>
      </c>
      <c r="I29" s="3">
        <v>1</v>
      </c>
      <c r="J29" s="9">
        <v>0.88541666666666663</v>
      </c>
      <c r="K29" s="3">
        <v>141</v>
      </c>
      <c r="L29" s="11">
        <f t="shared" ref="L29" si="19">K29-K28</f>
        <v>0</v>
      </c>
      <c r="M29" s="5">
        <f t="shared" ref="M29" si="20">AB28</f>
        <v>2215.5</v>
      </c>
      <c r="N29" s="11">
        <v>32</v>
      </c>
      <c r="O29" s="11">
        <v>33.5</v>
      </c>
      <c r="P29" s="11">
        <v>10.75</v>
      </c>
      <c r="Q29" s="11">
        <v>11</v>
      </c>
      <c r="R29" s="11">
        <v>20.5</v>
      </c>
      <c r="S29" s="11">
        <v>21.25</v>
      </c>
      <c r="T29" s="11">
        <v>17</v>
      </c>
      <c r="U29" s="11">
        <v>17</v>
      </c>
      <c r="V29" s="11">
        <v>18</v>
      </c>
      <c r="W29" s="11">
        <v>18</v>
      </c>
      <c r="X29" s="11">
        <v>8</v>
      </c>
      <c r="Y29" s="11">
        <v>8</v>
      </c>
      <c r="Z29" s="3" t="s">
        <v>263</v>
      </c>
      <c r="AA29" s="10" t="s">
        <v>268</v>
      </c>
      <c r="AB29" s="5">
        <f>70+30+164+160+210+164+160+100+100+5+1.25+13.125+60+3.75+4.375+200+30+100+25+615</f>
        <v>2215.5</v>
      </c>
      <c r="AC29" s="6">
        <f>5+2.5+0+12+15+0+12+8+10+0.375+0.65+0+0.1875+0+20+2.25+8+0+0</f>
        <v>95.962500000000006</v>
      </c>
      <c r="AD29" s="6">
        <f>1.5+1.75+0+8+4.5+0+8+4.5+1+0+0+0+0+0+2+0+5+0+0</f>
        <v>36.25</v>
      </c>
      <c r="AE29" s="6">
        <f>6+0.5+4+10+18+4+10+5+2.5+0.125+0.125+0.47+0.47+5+0.75+7+0+0</f>
        <v>73.94</v>
      </c>
      <c r="AF29" s="6">
        <f>0.25+0.375+3.375+0.125+1.125+4+1.5+0+6+20</f>
        <v>36.75</v>
      </c>
      <c r="AG29" s="6">
        <f>0+0.5+4+0+0+4+0+1+1+0.125+0.125+2+0.75+0+1+0</f>
        <v>14.5</v>
      </c>
      <c r="AH29" s="6">
        <f>70+7.5+72+260+210+72+260+360+0+22.5+0+0.125+0+0.47+17+0+135+170+0+30</f>
        <v>1686.595</v>
      </c>
      <c r="AI29" s="6">
        <f t="shared" si="1"/>
        <v>4.3314150304671631E-2</v>
      </c>
      <c r="AJ29" s="6">
        <f t="shared" si="2"/>
        <v>1.6361995034980818E-2</v>
      </c>
      <c r="AK29" s="6">
        <f t="shared" si="3"/>
        <v>3.3373956217558114E-2</v>
      </c>
      <c r="AL29" s="6">
        <f t="shared" si="4"/>
        <v>1.6587677725118485E-2</v>
      </c>
      <c r="AM29" s="6">
        <f t="shared" si="5"/>
        <v>6.5447980139923265E-3</v>
      </c>
      <c r="AN29" s="6">
        <f t="shared" si="6"/>
        <v>0.7612705935454751</v>
      </c>
      <c r="AO29" s="7">
        <v>3</v>
      </c>
      <c r="AP29" s="7">
        <v>2</v>
      </c>
      <c r="AQ29" s="7">
        <v>0</v>
      </c>
      <c r="AR29" s="10" t="s">
        <v>257</v>
      </c>
      <c r="AS29" s="7" t="s">
        <v>260</v>
      </c>
      <c r="AT29" s="7">
        <v>0</v>
      </c>
      <c r="AU29" s="7">
        <f>5+10+5+5+5+10+10+10</f>
        <v>60</v>
      </c>
      <c r="AV29" s="7">
        <v>0</v>
      </c>
      <c r="AW29" s="3">
        <v>31</v>
      </c>
      <c r="AX29" s="3">
        <v>1</v>
      </c>
      <c r="AY29" s="5">
        <v>7</v>
      </c>
      <c r="AZ29" s="3">
        <v>1</v>
      </c>
      <c r="BA29" s="3">
        <v>0</v>
      </c>
      <c r="BB29" s="3">
        <v>1</v>
      </c>
      <c r="BC29" s="3">
        <v>1</v>
      </c>
      <c r="BD29" s="3">
        <v>1</v>
      </c>
      <c r="BE29" s="3">
        <v>0</v>
      </c>
      <c r="BF29" s="3">
        <v>0</v>
      </c>
      <c r="BG29" s="3">
        <v>0</v>
      </c>
      <c r="BH29" s="3">
        <v>0.5</v>
      </c>
      <c r="BI29" s="3">
        <v>0</v>
      </c>
      <c r="BJ29" s="3">
        <v>0</v>
      </c>
      <c r="BK29" s="11">
        <v>5</v>
      </c>
      <c r="BL29" s="3" t="s">
        <v>972</v>
      </c>
      <c r="BM29" s="3">
        <v>0</v>
      </c>
    </row>
    <row r="30" spans="1:65" ht="20.100000000000001" customHeight="1" x14ac:dyDescent="0.3">
      <c r="A30" s="3" t="s">
        <v>137</v>
      </c>
      <c r="B30" s="3">
        <v>20</v>
      </c>
      <c r="C30" s="8">
        <v>44239</v>
      </c>
      <c r="D30" s="9">
        <v>0.58333333333333337</v>
      </c>
      <c r="E30" s="4">
        <v>66</v>
      </c>
      <c r="F30" s="3">
        <v>0</v>
      </c>
      <c r="G30" s="3">
        <v>0</v>
      </c>
      <c r="H30" s="3">
        <v>0</v>
      </c>
      <c r="I30" s="3">
        <v>0</v>
      </c>
      <c r="J30" s="9">
        <v>0.26041666666666669</v>
      </c>
      <c r="K30" s="3">
        <v>139.19999999999999</v>
      </c>
      <c r="L30" s="11">
        <f t="shared" ref="L30" si="21">K30-K29</f>
        <v>-1.8000000000000114</v>
      </c>
      <c r="M30" s="5">
        <f t="shared" ref="M30" si="22">AB29</f>
        <v>2215.5</v>
      </c>
      <c r="N30" s="11">
        <v>31</v>
      </c>
      <c r="O30" s="11">
        <v>33.25</v>
      </c>
      <c r="P30" s="11">
        <v>11</v>
      </c>
      <c r="Q30" s="11">
        <v>11</v>
      </c>
      <c r="R30" s="11">
        <v>20.5</v>
      </c>
      <c r="S30" s="11">
        <v>20.75</v>
      </c>
      <c r="T30" s="11">
        <v>17</v>
      </c>
      <c r="U30" s="11">
        <v>17</v>
      </c>
      <c r="V30" s="11">
        <v>18</v>
      </c>
      <c r="W30" s="11">
        <v>18</v>
      </c>
      <c r="X30" s="11">
        <v>8</v>
      </c>
      <c r="Y30" s="11">
        <v>8</v>
      </c>
      <c r="Z30" s="3" t="s">
        <v>270</v>
      </c>
      <c r="AA30" s="10" t="s">
        <v>269</v>
      </c>
      <c r="AB30" s="5">
        <f>788+81+92+322+100+60+200+105+60+10+5+200+60+10</f>
        <v>2093</v>
      </c>
      <c r="AC30" s="6">
        <f>24.35+0+0+29+8+4.5+20+0+0+0.5+0.375+20+0+0.5</f>
        <v>107.22499999999999</v>
      </c>
      <c r="AD30" s="6">
        <f>6.54+0+0+4+4.5+3+2+0+0+0+0+2+0+0</f>
        <v>22.04</v>
      </c>
      <c r="AE30" s="6">
        <f>51+2+2+4+5+6+5+1+0+1+0.125+5+0+1</f>
        <v>83.125</v>
      </c>
      <c r="AF30" s="6">
        <f>101+21+24+17+2+0+4+27+17+3+0.25+4+17+3</f>
        <v>240.25</v>
      </c>
      <c r="AG30" s="6">
        <f>23+4+2+18+1+0+2+3+0+1+0.125+2+0+1</f>
        <v>57.125</v>
      </c>
      <c r="AH30" s="6">
        <f>845.03+2+0+14+360+300+0+1+0+0+22.5+0+0+0</f>
        <v>1544.53</v>
      </c>
      <c r="AI30" s="6">
        <f t="shared" si="1"/>
        <v>5.1230291447682749E-2</v>
      </c>
      <c r="AJ30" s="6">
        <f t="shared" si="2"/>
        <v>1.0530339225991399E-2</v>
      </c>
      <c r="AK30" s="6">
        <f t="shared" si="3"/>
        <v>3.9715719063545152E-2</v>
      </c>
      <c r="AL30" s="6">
        <f t="shared" si="4"/>
        <v>0.11478738652651696</v>
      </c>
      <c r="AM30" s="6">
        <f t="shared" si="5"/>
        <v>2.7293358815097944E-2</v>
      </c>
      <c r="AN30" s="6">
        <f t="shared" si="6"/>
        <v>0.73795031055900617</v>
      </c>
      <c r="AO30" s="7">
        <v>3</v>
      </c>
      <c r="AP30" s="7">
        <v>1</v>
      </c>
      <c r="AQ30" s="7">
        <v>0</v>
      </c>
      <c r="AR30" s="7">
        <v>0</v>
      </c>
      <c r="AS30" s="7">
        <v>0</v>
      </c>
      <c r="AT30" s="7">
        <v>0</v>
      </c>
      <c r="AU30" s="7">
        <v>0</v>
      </c>
      <c r="AV30" s="7">
        <v>0</v>
      </c>
      <c r="AW30" s="7">
        <v>31</v>
      </c>
      <c r="AX30" s="7">
        <v>1</v>
      </c>
      <c r="AY30" s="6">
        <v>5</v>
      </c>
      <c r="AZ30" s="7">
        <v>1</v>
      </c>
      <c r="BA30" s="7">
        <v>1</v>
      </c>
      <c r="BB30" s="7">
        <v>1</v>
      </c>
      <c r="BC30" s="7">
        <v>1</v>
      </c>
      <c r="BD30" s="7">
        <v>1</v>
      </c>
      <c r="BE30" s="3">
        <v>0</v>
      </c>
      <c r="BF30" s="3">
        <v>0</v>
      </c>
      <c r="BG30" s="3">
        <v>0</v>
      </c>
      <c r="BH30" s="3">
        <v>1</v>
      </c>
      <c r="BI30" s="3">
        <v>0</v>
      </c>
      <c r="BJ30" s="3">
        <v>0</v>
      </c>
      <c r="BK30" s="3">
        <v>0</v>
      </c>
      <c r="BL30" s="3">
        <v>0</v>
      </c>
      <c r="BM30" s="3">
        <v>0</v>
      </c>
    </row>
    <row r="31" spans="1:65" ht="20.100000000000001" customHeight="1" x14ac:dyDescent="0.3">
      <c r="A31" s="3" t="s">
        <v>19</v>
      </c>
      <c r="B31" s="3">
        <v>21</v>
      </c>
      <c r="C31" s="8">
        <v>44240</v>
      </c>
      <c r="D31" s="9">
        <v>0.58333333333333337</v>
      </c>
      <c r="E31" s="4">
        <v>61</v>
      </c>
      <c r="F31" s="3">
        <v>0</v>
      </c>
      <c r="G31" s="3">
        <v>0</v>
      </c>
      <c r="H31" s="3">
        <v>0</v>
      </c>
      <c r="I31" s="3">
        <v>0</v>
      </c>
      <c r="J31" s="9">
        <v>0.1875</v>
      </c>
      <c r="K31" s="3">
        <v>140.80000000000001</v>
      </c>
      <c r="L31" s="11">
        <f t="shared" ref="L31" si="23">K31-K30</f>
        <v>1.6000000000000227</v>
      </c>
      <c r="M31" s="5">
        <f t="shared" ref="M31" si="24">AB30</f>
        <v>2093</v>
      </c>
      <c r="N31" s="11">
        <v>31.5</v>
      </c>
      <c r="O31" s="11">
        <v>32.75</v>
      </c>
      <c r="P31" s="11">
        <v>10.75</v>
      </c>
      <c r="Q31" s="11">
        <v>11</v>
      </c>
      <c r="R31" s="11">
        <v>30.75</v>
      </c>
      <c r="S31" s="11">
        <v>21</v>
      </c>
      <c r="T31" s="11">
        <v>18</v>
      </c>
      <c r="U31" s="11">
        <v>16</v>
      </c>
      <c r="V31" s="11">
        <v>18</v>
      </c>
      <c r="W31" s="11">
        <v>17</v>
      </c>
      <c r="X31" s="11">
        <v>8</v>
      </c>
      <c r="Y31" s="11">
        <v>10</v>
      </c>
      <c r="Z31" s="3" t="s">
        <v>273</v>
      </c>
      <c r="AA31" s="10" t="s">
        <v>272</v>
      </c>
      <c r="AB31" s="5">
        <f>788+81+322+322+120+7.5+72+80</f>
        <v>1792.5</v>
      </c>
      <c r="AC31" s="6">
        <f>24.34+0+29+29+10+0.53+0+6</f>
        <v>98.87</v>
      </c>
      <c r="AD31" s="6">
        <f>6.54+0+4+4+7+0.15+0+4</f>
        <v>25.689999999999998</v>
      </c>
      <c r="AE31" s="6">
        <f>51+2+4+4+2+0.6125+2+5</f>
        <v>70.612499999999997</v>
      </c>
      <c r="AF31" s="6">
        <f>101+21+17+17+0+0.025+14+0</f>
        <v>170.02500000000001</v>
      </c>
      <c r="AG31" s="6">
        <f>23+4+18+18+2+0.0125+2+0</f>
        <v>67.012500000000003</v>
      </c>
      <c r="AH31" s="6">
        <f>845.03+2+14+14+30+9.25+36+130</f>
        <v>1080.28</v>
      </c>
      <c r="AI31" s="6">
        <f t="shared" si="1"/>
        <v>5.5157601115760117E-2</v>
      </c>
      <c r="AJ31" s="6">
        <f t="shared" si="2"/>
        <v>1.4331938633193863E-2</v>
      </c>
      <c r="AK31" s="6">
        <f t="shared" si="3"/>
        <v>3.9393305439330541E-2</v>
      </c>
      <c r="AL31" s="6">
        <f t="shared" si="4"/>
        <v>9.485355648535565E-2</v>
      </c>
      <c r="AM31" s="6">
        <f t="shared" si="5"/>
        <v>3.7384937238493725E-2</v>
      </c>
      <c r="AN31" s="6">
        <f t="shared" si="6"/>
        <v>0.60266666666666668</v>
      </c>
      <c r="AO31" s="7">
        <v>3</v>
      </c>
      <c r="AP31" s="7">
        <v>1</v>
      </c>
      <c r="AQ31" s="7">
        <v>0</v>
      </c>
      <c r="AR31" s="3">
        <v>0</v>
      </c>
      <c r="AS31" s="3">
        <v>0</v>
      </c>
      <c r="AT31" s="7">
        <v>0</v>
      </c>
      <c r="AU31" s="7">
        <v>0</v>
      </c>
      <c r="AV31" s="7">
        <v>0</v>
      </c>
      <c r="AW31" s="3">
        <v>31</v>
      </c>
      <c r="AX31" s="3">
        <v>1</v>
      </c>
      <c r="AY31" s="5">
        <v>7</v>
      </c>
      <c r="AZ31" s="3">
        <v>1</v>
      </c>
      <c r="BA31" s="3">
        <v>1</v>
      </c>
      <c r="BB31" s="3">
        <v>1</v>
      </c>
      <c r="BC31" s="3">
        <v>1</v>
      </c>
      <c r="BD31" s="3">
        <v>1</v>
      </c>
      <c r="BE31" s="3">
        <v>0</v>
      </c>
      <c r="BF31" s="3">
        <v>0</v>
      </c>
      <c r="BG31" s="3">
        <v>0</v>
      </c>
      <c r="BH31" s="3">
        <v>0</v>
      </c>
      <c r="BI31" s="3">
        <v>0</v>
      </c>
      <c r="BJ31" s="3">
        <v>0</v>
      </c>
      <c r="BK31" s="3">
        <v>0</v>
      </c>
      <c r="BL31" s="3">
        <v>0</v>
      </c>
      <c r="BM31" s="3">
        <v>0</v>
      </c>
    </row>
    <row r="32" spans="1:65" ht="20.100000000000001" customHeight="1" x14ac:dyDescent="0.3">
      <c r="A32" s="3" t="s">
        <v>23</v>
      </c>
      <c r="B32" s="3">
        <v>22</v>
      </c>
      <c r="C32" s="8">
        <v>44241</v>
      </c>
      <c r="D32" s="9">
        <v>0.58333333333333337</v>
      </c>
      <c r="E32" s="4">
        <v>64</v>
      </c>
      <c r="F32" s="3">
        <v>0</v>
      </c>
      <c r="G32" s="3">
        <v>0</v>
      </c>
      <c r="H32" s="3">
        <v>0</v>
      </c>
      <c r="I32" s="3">
        <v>0</v>
      </c>
      <c r="J32" s="9">
        <v>0.23958333333333334</v>
      </c>
      <c r="K32" s="3">
        <v>140.6</v>
      </c>
      <c r="L32" s="11">
        <f t="shared" ref="L32" si="25">K32-K31</f>
        <v>-0.20000000000001705</v>
      </c>
      <c r="M32" s="5">
        <f t="shared" ref="M32" si="26">AB31</f>
        <v>1792.5</v>
      </c>
      <c r="N32" s="11">
        <v>31.5</v>
      </c>
      <c r="O32" s="11">
        <v>33</v>
      </c>
      <c r="P32" s="11">
        <v>11</v>
      </c>
      <c r="Q32" s="11">
        <v>11</v>
      </c>
      <c r="R32" s="11">
        <v>20.5</v>
      </c>
      <c r="S32" s="11">
        <v>20.5</v>
      </c>
      <c r="T32" s="11">
        <v>18</v>
      </c>
      <c r="U32" s="11">
        <v>17</v>
      </c>
      <c r="V32" s="11">
        <v>19</v>
      </c>
      <c r="W32" s="11">
        <v>18</v>
      </c>
      <c r="X32" s="11">
        <v>8</v>
      </c>
      <c r="Y32" s="11">
        <v>8</v>
      </c>
      <c r="Z32" s="3" t="s">
        <v>276</v>
      </c>
      <c r="AA32" s="10" t="s">
        <v>275</v>
      </c>
      <c r="AB32" s="5">
        <f>1320+360+240+644+162+120+70+72</f>
        <v>2988</v>
      </c>
      <c r="AC32" s="6">
        <f>10+14+18+58+0+10+5+0</f>
        <v>115</v>
      </c>
      <c r="AD32" s="6">
        <f>2+4+12+8+0+7+3+0</f>
        <v>36</v>
      </c>
      <c r="AE32" s="6">
        <f>92+12+15+8+4+2+5+2</f>
        <v>140</v>
      </c>
      <c r="AF32" s="6">
        <f>244+48+0+34+42+0+0+14</f>
        <v>382</v>
      </c>
      <c r="AG32" s="6">
        <f>44+12+0+36+8+2+0+2</f>
        <v>104</v>
      </c>
      <c r="AH32" s="6">
        <f>0+1840+390+28+4+30+170+36</f>
        <v>2498</v>
      </c>
      <c r="AI32" s="6">
        <f t="shared" si="1"/>
        <v>3.8487282463186077E-2</v>
      </c>
      <c r="AJ32" s="6">
        <f t="shared" si="2"/>
        <v>1.2048192771084338E-2</v>
      </c>
      <c r="AK32" s="6">
        <f t="shared" si="3"/>
        <v>4.6854082998661312E-2</v>
      </c>
      <c r="AL32" s="6">
        <f t="shared" si="4"/>
        <v>0.12784471218206159</v>
      </c>
      <c r="AM32" s="6">
        <f t="shared" si="5"/>
        <v>3.4805890227576977E-2</v>
      </c>
      <c r="AN32" s="6">
        <f t="shared" si="6"/>
        <v>0.83601070950468537</v>
      </c>
      <c r="AO32" s="7">
        <v>3</v>
      </c>
      <c r="AP32" s="7">
        <v>1</v>
      </c>
      <c r="AQ32" s="7">
        <v>0</v>
      </c>
      <c r="AR32" s="7">
        <v>0</v>
      </c>
      <c r="AS32" s="7">
        <v>0</v>
      </c>
      <c r="AT32" s="7">
        <v>0</v>
      </c>
      <c r="AU32" s="7">
        <v>0</v>
      </c>
      <c r="AV32" s="7">
        <v>0</v>
      </c>
      <c r="AW32" s="3">
        <v>31</v>
      </c>
      <c r="AX32" s="3">
        <v>1</v>
      </c>
      <c r="AY32" s="5">
        <v>7.5</v>
      </c>
      <c r="AZ32" s="3">
        <v>1</v>
      </c>
      <c r="BA32" s="3">
        <v>1</v>
      </c>
      <c r="BB32" s="3">
        <v>1</v>
      </c>
      <c r="BC32" s="3">
        <v>1</v>
      </c>
      <c r="BD32" s="3">
        <v>1</v>
      </c>
      <c r="BE32" s="3">
        <v>0</v>
      </c>
      <c r="BF32" s="3">
        <v>0</v>
      </c>
      <c r="BG32" s="3">
        <v>0</v>
      </c>
      <c r="BH32" s="3">
        <v>0</v>
      </c>
      <c r="BI32" s="3">
        <v>0</v>
      </c>
      <c r="BJ32" s="3">
        <v>0</v>
      </c>
      <c r="BK32" s="3">
        <v>0</v>
      </c>
      <c r="BL32" s="3">
        <v>0</v>
      </c>
      <c r="BM32" s="3">
        <v>0</v>
      </c>
    </row>
    <row r="33" spans="1:65" ht="20.100000000000001" customHeight="1" x14ac:dyDescent="0.3">
      <c r="A33" s="3" t="s">
        <v>15</v>
      </c>
      <c r="B33" s="3">
        <v>23</v>
      </c>
      <c r="C33" s="8">
        <v>44242</v>
      </c>
      <c r="D33" s="9">
        <v>0.33333333333333331</v>
      </c>
      <c r="E33" s="4">
        <v>45</v>
      </c>
      <c r="F33" s="3">
        <v>15</v>
      </c>
      <c r="G33" s="3">
        <v>3</v>
      </c>
      <c r="H33" s="3">
        <v>45</v>
      </c>
      <c r="I33" s="3">
        <v>0</v>
      </c>
      <c r="J33" s="9">
        <v>0.25694444444444448</v>
      </c>
      <c r="K33" s="3">
        <v>142.80000000000001</v>
      </c>
      <c r="L33" s="11">
        <f t="shared" ref="L33" si="27">K33-K32</f>
        <v>2.2000000000000171</v>
      </c>
      <c r="M33" s="5">
        <f t="shared" ref="M33" si="28">AB32</f>
        <v>2988</v>
      </c>
      <c r="N33" s="11">
        <v>31.75</v>
      </c>
      <c r="O33" s="11">
        <v>33.5</v>
      </c>
      <c r="P33" s="11">
        <v>11</v>
      </c>
      <c r="Q33" s="11">
        <v>11.25</v>
      </c>
      <c r="R33" s="11">
        <v>20.5</v>
      </c>
      <c r="S33" s="11">
        <v>20.25</v>
      </c>
      <c r="T33" s="11">
        <v>17</v>
      </c>
      <c r="U33" s="11">
        <v>17</v>
      </c>
      <c r="V33" s="11">
        <v>20</v>
      </c>
      <c r="W33" s="11">
        <v>19</v>
      </c>
      <c r="X33" s="11">
        <v>8</v>
      </c>
      <c r="Y33" s="11">
        <v>7</v>
      </c>
      <c r="Z33" s="3" t="s">
        <v>281</v>
      </c>
      <c r="AA33" s="10" t="s">
        <v>283</v>
      </c>
      <c r="AB33" s="5">
        <f>57+778.5+60+70+81+92+5</f>
        <v>1143.5</v>
      </c>
      <c r="AC33" s="6">
        <f>0+44+5+5+0+0+0</f>
        <v>54</v>
      </c>
      <c r="AD33" s="6">
        <f>0+12+3.5+3+0+0+0</f>
        <v>18.5</v>
      </c>
      <c r="AE33" s="6">
        <f>0+50.5+1+5+2+2+0</f>
        <v>60.5</v>
      </c>
      <c r="AF33" s="6">
        <f>15+51+0+0+21+24+1</f>
        <v>112</v>
      </c>
      <c r="AG33" s="6">
        <f>3+16+1+0+4+2+0</f>
        <v>26</v>
      </c>
      <c r="AH33" s="6">
        <f>1+971+15+170+2+0+0</f>
        <v>1159</v>
      </c>
      <c r="AI33" s="6">
        <f t="shared" si="1"/>
        <v>4.7223436816790552E-2</v>
      </c>
      <c r="AJ33" s="6">
        <f t="shared" si="2"/>
        <v>1.6178399650196764E-2</v>
      </c>
      <c r="AK33" s="6">
        <f t="shared" si="3"/>
        <v>5.2907739396589416E-2</v>
      </c>
      <c r="AL33" s="6">
        <f t="shared" si="4"/>
        <v>9.7944905990380415E-2</v>
      </c>
      <c r="AM33" s="6">
        <f t="shared" si="5"/>
        <v>2.2737210319195452E-2</v>
      </c>
      <c r="AN33" s="6">
        <f t="shared" si="6"/>
        <v>1.0135548753825974</v>
      </c>
      <c r="AO33" s="7">
        <v>3</v>
      </c>
      <c r="AP33" s="7">
        <v>1</v>
      </c>
      <c r="AQ33" s="7">
        <v>0</v>
      </c>
      <c r="AR33" s="10">
        <v>0</v>
      </c>
      <c r="AS33" s="7">
        <v>0</v>
      </c>
      <c r="AT33" s="7">
        <v>0</v>
      </c>
      <c r="AU33" s="7">
        <v>0</v>
      </c>
      <c r="AV33" s="7">
        <v>0</v>
      </c>
      <c r="AW33" s="3">
        <v>31</v>
      </c>
      <c r="AX33" s="3">
        <v>1</v>
      </c>
      <c r="AY33" s="5">
        <v>6</v>
      </c>
      <c r="AZ33" s="3">
        <v>1</v>
      </c>
      <c r="BA33" s="3">
        <v>1</v>
      </c>
      <c r="BB33" s="3">
        <v>1</v>
      </c>
      <c r="BC33" s="3">
        <v>1</v>
      </c>
      <c r="BD33" s="3">
        <v>1</v>
      </c>
      <c r="BE33" s="3">
        <v>0</v>
      </c>
      <c r="BF33" s="3">
        <v>1</v>
      </c>
      <c r="BG33" s="3">
        <v>30</v>
      </c>
      <c r="BH33" s="3">
        <v>0</v>
      </c>
      <c r="BI33" s="3">
        <v>0</v>
      </c>
      <c r="BJ33" s="3">
        <v>0</v>
      </c>
      <c r="BK33" s="3">
        <v>0</v>
      </c>
      <c r="BL33" s="3">
        <v>0</v>
      </c>
      <c r="BM33" s="3">
        <v>0</v>
      </c>
    </row>
    <row r="34" spans="1:65" ht="20.100000000000001" customHeight="1" x14ac:dyDescent="0.3">
      <c r="A34" s="3" t="s">
        <v>16</v>
      </c>
      <c r="B34" s="3">
        <v>24</v>
      </c>
      <c r="C34" s="8">
        <v>44243</v>
      </c>
      <c r="D34" s="9">
        <v>0.73958333333333337</v>
      </c>
      <c r="E34" s="4">
        <v>59</v>
      </c>
      <c r="F34" s="3">
        <v>0</v>
      </c>
      <c r="G34" s="3">
        <v>0</v>
      </c>
      <c r="H34" s="3">
        <v>0</v>
      </c>
      <c r="I34" s="3">
        <v>0</v>
      </c>
      <c r="J34" s="9">
        <v>0.2638888888888889</v>
      </c>
      <c r="K34" s="3">
        <v>141.80000000000001</v>
      </c>
      <c r="L34" s="11">
        <f t="shared" ref="L34" si="29">K34-K33</f>
        <v>-1</v>
      </c>
      <c r="M34" s="5">
        <f t="shared" ref="M34" si="30">AB33</f>
        <v>1143.5</v>
      </c>
      <c r="N34" s="11">
        <v>31.75</v>
      </c>
      <c r="O34" s="11">
        <v>33.5</v>
      </c>
      <c r="P34" s="11">
        <v>10.875</v>
      </c>
      <c r="Q34" s="11">
        <v>11.125</v>
      </c>
      <c r="R34" s="11">
        <v>20.875</v>
      </c>
      <c r="S34" s="11">
        <v>20.875</v>
      </c>
      <c r="T34" s="11">
        <v>17</v>
      </c>
      <c r="U34" s="11">
        <v>16</v>
      </c>
      <c r="V34" s="11">
        <v>18</v>
      </c>
      <c r="W34" s="11">
        <v>18</v>
      </c>
      <c r="X34" s="11">
        <v>8</v>
      </c>
      <c r="Y34" s="11">
        <v>8</v>
      </c>
      <c r="Z34" s="3" t="s">
        <v>289</v>
      </c>
      <c r="AA34" s="10" t="s">
        <v>288</v>
      </c>
      <c r="AB34" s="5">
        <f>140+120+60+200+160+81+389.25+60+195.2+148+80+292.8+330+389.25</f>
        <v>2645.5</v>
      </c>
      <c r="AC34" s="6">
        <f>10+14+5+2+10+22+5+0+0+5+0+1.5+22</f>
        <v>96.5</v>
      </c>
      <c r="AD34" s="6">
        <f>3+2+3.5+0+7+6+3.5+0+0+3.5+0+0+6</f>
        <v>34.5</v>
      </c>
      <c r="AE34" s="6">
        <f>12+0+1+4+12+2+25.25+1+0+4+6+0+6+25.25</f>
        <v>98.5</v>
      </c>
      <c r="AF34" s="6">
        <f>0+0+0+42+2+21+25.5+2+6.4+28+1+9.6+75+25.5</f>
        <v>238</v>
      </c>
      <c r="AG34" s="6">
        <f>0+0+1+4+0+4+8+0+0+4+0+0+3+8</f>
        <v>32</v>
      </c>
      <c r="AH34" s="6">
        <f>140+0+15+40+380+2+485.5+15+0+72+190+0+930+485.5</f>
        <v>2755</v>
      </c>
      <c r="AI34" s="6">
        <f t="shared" si="1"/>
        <v>3.6477036477036477E-2</v>
      </c>
      <c r="AJ34" s="6">
        <f t="shared" si="2"/>
        <v>1.3041013041013041E-2</v>
      </c>
      <c r="AK34" s="6">
        <f t="shared" si="3"/>
        <v>3.7233037233037232E-2</v>
      </c>
      <c r="AL34" s="6">
        <f t="shared" si="4"/>
        <v>8.9964089964089958E-2</v>
      </c>
      <c r="AM34" s="6">
        <f t="shared" si="5"/>
        <v>1.2096012096012096E-2</v>
      </c>
      <c r="AN34" s="6">
        <f t="shared" si="6"/>
        <v>1.0413910413910414</v>
      </c>
      <c r="AO34" s="7">
        <v>3</v>
      </c>
      <c r="AP34" s="7">
        <v>4</v>
      </c>
      <c r="AQ34" s="7">
        <v>0</v>
      </c>
      <c r="AR34" s="10">
        <v>0</v>
      </c>
      <c r="AS34" s="7">
        <v>0</v>
      </c>
      <c r="AT34" s="7">
        <v>0</v>
      </c>
      <c r="AU34" s="7">
        <v>0</v>
      </c>
      <c r="AV34" s="7">
        <v>0</v>
      </c>
      <c r="AW34" s="7">
        <v>31</v>
      </c>
      <c r="AX34" s="7">
        <v>1</v>
      </c>
      <c r="AY34" s="6">
        <v>7</v>
      </c>
      <c r="AZ34" s="7">
        <v>1</v>
      </c>
      <c r="BA34" s="7">
        <v>0</v>
      </c>
      <c r="BB34" s="7">
        <v>0</v>
      </c>
      <c r="BC34" s="7">
        <v>1</v>
      </c>
      <c r="BD34" s="7">
        <v>1</v>
      </c>
      <c r="BE34" s="3">
        <v>0</v>
      </c>
      <c r="BF34" s="3">
        <v>0</v>
      </c>
      <c r="BG34" s="3">
        <v>0</v>
      </c>
      <c r="BH34" s="3">
        <v>0</v>
      </c>
      <c r="BI34" s="3">
        <v>1</v>
      </c>
      <c r="BJ34" s="3">
        <v>0</v>
      </c>
      <c r="BK34" s="11">
        <v>5</v>
      </c>
      <c r="BL34" s="3" t="s">
        <v>971</v>
      </c>
      <c r="BM34" s="3">
        <v>0</v>
      </c>
    </row>
    <row r="35" spans="1:65" ht="20.100000000000001" customHeight="1" x14ac:dyDescent="0.3">
      <c r="A35" s="3" t="s">
        <v>17</v>
      </c>
      <c r="B35" s="3">
        <v>25</v>
      </c>
      <c r="C35" s="8">
        <v>44244</v>
      </c>
      <c r="D35" s="9">
        <v>0.66666666666666663</v>
      </c>
      <c r="E35" s="4">
        <v>66</v>
      </c>
      <c r="F35" s="3">
        <v>0</v>
      </c>
      <c r="G35" s="3">
        <v>0</v>
      </c>
      <c r="H35" s="3">
        <v>0</v>
      </c>
      <c r="I35" s="3">
        <v>1</v>
      </c>
      <c r="J35" s="9">
        <v>0.25</v>
      </c>
      <c r="K35" s="3">
        <v>141</v>
      </c>
      <c r="L35" s="11">
        <f t="shared" ref="L35" si="31">K35-K34</f>
        <v>-0.80000000000001137</v>
      </c>
      <c r="M35" s="5">
        <f t="shared" ref="M35" si="32">AB34</f>
        <v>2645.5</v>
      </c>
      <c r="N35" s="11">
        <v>31.625</v>
      </c>
      <c r="O35" s="11">
        <v>32.75</v>
      </c>
      <c r="P35" s="11">
        <v>10.875</v>
      </c>
      <c r="Q35" s="11">
        <v>10.875</v>
      </c>
      <c r="R35" s="11">
        <v>19.75</v>
      </c>
      <c r="S35" s="11">
        <v>20</v>
      </c>
      <c r="T35" s="11">
        <v>16</v>
      </c>
      <c r="U35" s="11">
        <v>15</v>
      </c>
      <c r="V35" s="11">
        <v>17</v>
      </c>
      <c r="W35" s="11">
        <v>17</v>
      </c>
      <c r="X35" s="11">
        <v>7</v>
      </c>
      <c r="Y35" s="11">
        <v>8</v>
      </c>
      <c r="Z35" s="3" t="s">
        <v>296</v>
      </c>
      <c r="AA35" s="10" t="s">
        <v>295</v>
      </c>
      <c r="AB35" s="5">
        <f>330*3+92*2+162+472.5+80+20</f>
        <v>1908.5</v>
      </c>
      <c r="AC35" s="6">
        <f>1.5*3+0*2+0+3.75+5+1.5</f>
        <v>14.75</v>
      </c>
      <c r="AD35" s="6">
        <f>0*3+0*2+0+0+3.5+1</f>
        <v>4.5</v>
      </c>
      <c r="AE35" s="6">
        <f>6*3+2*2+4+31.5+6+2</f>
        <v>65.5</v>
      </c>
      <c r="AF35" s="6">
        <f>75*3+24*2+42+79.5+1+0</f>
        <v>395.5</v>
      </c>
      <c r="AG35" s="6">
        <f>3*3+2*2+8+9+0+0</f>
        <v>30</v>
      </c>
      <c r="AH35" s="6">
        <f>930*3+0*2+4+453.75+190+100</f>
        <v>3537.75</v>
      </c>
      <c r="AI35" s="6">
        <f t="shared" si="1"/>
        <v>7.7285826565365468E-3</v>
      </c>
      <c r="AJ35" s="6">
        <f t="shared" si="2"/>
        <v>2.3578726748755569E-3</v>
      </c>
      <c r="AK35" s="6">
        <f t="shared" si="3"/>
        <v>3.4320146712077546E-2</v>
      </c>
      <c r="AL35" s="6">
        <f t="shared" si="4"/>
        <v>0.20723080953628503</v>
      </c>
      <c r="AM35" s="6">
        <f t="shared" si="5"/>
        <v>1.5719151165837046E-2</v>
      </c>
      <c r="AN35" s="6">
        <f t="shared" si="6"/>
        <v>1.8536809012313336</v>
      </c>
      <c r="AO35" s="7">
        <v>3</v>
      </c>
      <c r="AP35" s="7">
        <v>1</v>
      </c>
      <c r="AQ35" s="7">
        <v>0</v>
      </c>
      <c r="AR35" s="10" t="s">
        <v>290</v>
      </c>
      <c r="AS35" s="3" t="s">
        <v>291</v>
      </c>
      <c r="AT35" s="7">
        <v>0</v>
      </c>
      <c r="AU35" s="7">
        <v>5</v>
      </c>
      <c r="AV35" s="7">
        <v>0</v>
      </c>
      <c r="AW35" s="3">
        <v>31</v>
      </c>
      <c r="AX35" s="3">
        <v>1</v>
      </c>
      <c r="AY35" s="5">
        <v>7</v>
      </c>
      <c r="AZ35" s="3">
        <v>1</v>
      </c>
      <c r="BA35" s="3">
        <v>1</v>
      </c>
      <c r="BB35" s="3">
        <v>0</v>
      </c>
      <c r="BC35" s="3">
        <v>1</v>
      </c>
      <c r="BD35" s="3">
        <v>1</v>
      </c>
      <c r="BE35" s="3">
        <v>0</v>
      </c>
      <c r="BF35" s="3">
        <v>0</v>
      </c>
      <c r="BG35" s="3">
        <v>0</v>
      </c>
      <c r="BH35" s="3">
        <v>0</v>
      </c>
      <c r="BI35" s="3">
        <v>0</v>
      </c>
      <c r="BJ35" s="3">
        <v>0</v>
      </c>
      <c r="BK35" s="3">
        <v>0</v>
      </c>
      <c r="BL35" s="3">
        <v>0</v>
      </c>
      <c r="BM35" s="3">
        <v>0</v>
      </c>
    </row>
    <row r="36" spans="1:65" ht="20.100000000000001" customHeight="1" x14ac:dyDescent="0.3">
      <c r="A36" s="3" t="s">
        <v>18</v>
      </c>
      <c r="B36" s="3">
        <v>26</v>
      </c>
      <c r="C36" s="8" t="s">
        <v>297</v>
      </c>
      <c r="D36" s="9">
        <v>0.72916666666666663</v>
      </c>
      <c r="E36" s="4">
        <v>65</v>
      </c>
      <c r="F36" s="3">
        <v>0</v>
      </c>
      <c r="G36" s="3">
        <v>0</v>
      </c>
      <c r="H36" s="3">
        <v>0</v>
      </c>
      <c r="I36" s="3">
        <v>0</v>
      </c>
      <c r="J36" s="9">
        <v>0.23958333333333334</v>
      </c>
      <c r="K36" s="3">
        <v>141</v>
      </c>
      <c r="L36" s="11">
        <f t="shared" ref="L36:L37" si="33">K36-K35</f>
        <v>0</v>
      </c>
      <c r="M36" s="5">
        <f t="shared" ref="M36:M37" si="34">AB35</f>
        <v>1908.5</v>
      </c>
      <c r="N36" s="11">
        <v>31.75</v>
      </c>
      <c r="O36" s="11">
        <v>33.25</v>
      </c>
      <c r="P36" s="11">
        <v>10.875</v>
      </c>
      <c r="Q36" s="11">
        <v>11.125</v>
      </c>
      <c r="R36" s="11">
        <v>20.25</v>
      </c>
      <c r="S36" s="11">
        <v>20.25</v>
      </c>
      <c r="T36" s="11">
        <v>16</v>
      </c>
      <c r="U36" s="11">
        <v>16</v>
      </c>
      <c r="V36" s="11">
        <v>18</v>
      </c>
      <c r="W36" s="11">
        <v>18</v>
      </c>
      <c r="X36" s="11">
        <v>8</v>
      </c>
      <c r="Y36" s="11">
        <v>8</v>
      </c>
      <c r="Z36" s="3" t="s">
        <v>298</v>
      </c>
      <c r="AA36" s="10" t="s">
        <v>299</v>
      </c>
      <c r="AB36" s="5">
        <f>945+120+40+72+100+140+120+243+220+60+35</f>
        <v>2095</v>
      </c>
      <c r="AC36" s="6">
        <f>7.5+10+3+0+6.25+10+14+0+4+0+2.5</f>
        <v>57.25</v>
      </c>
      <c r="AD36" s="6">
        <f>0+7+2+0+4.375+3+2+0+0+0+1.5</f>
        <v>19.875</v>
      </c>
      <c r="AE36" s="6">
        <f>63+2+4+2+6+12+0+6+4+0+2.5</f>
        <v>101.5</v>
      </c>
      <c r="AF36" s="6">
        <f>159+0+0+14+1.25+0+0+63+50+17+0</f>
        <v>304.25</v>
      </c>
      <c r="AG36" s="6">
        <f>18+2+0+2+0+0+0+12+2+0+0</f>
        <v>36</v>
      </c>
      <c r="AH36" s="6">
        <f>907.5+30+200+36+237.5+140+0+6+620+0+85</f>
        <v>2262</v>
      </c>
      <c r="AI36" s="6">
        <f t="shared" si="1"/>
        <v>2.7326968973747017E-2</v>
      </c>
      <c r="AJ36" s="6">
        <f t="shared" si="2"/>
        <v>9.4868735083532222E-3</v>
      </c>
      <c r="AK36" s="6">
        <f t="shared" si="3"/>
        <v>4.8448687350835323E-2</v>
      </c>
      <c r="AL36" s="6">
        <f t="shared" si="4"/>
        <v>0.14522673031026254</v>
      </c>
      <c r="AM36" s="6">
        <f t="shared" si="5"/>
        <v>1.7183770883054894E-2</v>
      </c>
      <c r="AN36" s="6">
        <f t="shared" si="6"/>
        <v>1.0797136038186157</v>
      </c>
      <c r="AO36" s="7">
        <v>3</v>
      </c>
      <c r="AP36" s="7">
        <v>3</v>
      </c>
      <c r="AQ36" s="7">
        <v>0</v>
      </c>
      <c r="AR36" s="10">
        <v>0</v>
      </c>
      <c r="AS36" s="7">
        <v>0</v>
      </c>
      <c r="AT36" s="7">
        <v>0</v>
      </c>
      <c r="AU36" s="7">
        <v>0</v>
      </c>
      <c r="AV36" s="7">
        <v>0</v>
      </c>
      <c r="AW36" s="7">
        <v>31</v>
      </c>
      <c r="AX36" s="7">
        <v>0</v>
      </c>
      <c r="AY36" s="6">
        <v>6.5</v>
      </c>
      <c r="AZ36" s="7">
        <v>1</v>
      </c>
      <c r="BA36" s="7">
        <v>1</v>
      </c>
      <c r="BB36" s="7">
        <v>0</v>
      </c>
      <c r="BC36" s="7">
        <v>1</v>
      </c>
      <c r="BD36" s="7">
        <v>1</v>
      </c>
      <c r="BE36" s="3">
        <v>0</v>
      </c>
      <c r="BF36" s="3">
        <v>0</v>
      </c>
      <c r="BG36" s="3">
        <v>0</v>
      </c>
      <c r="BH36" s="3">
        <v>0</v>
      </c>
      <c r="BI36" s="3">
        <v>0</v>
      </c>
      <c r="BJ36" s="3">
        <v>0</v>
      </c>
      <c r="BK36" s="3">
        <v>0</v>
      </c>
      <c r="BL36" s="3">
        <v>0</v>
      </c>
      <c r="BM36" s="3">
        <v>0</v>
      </c>
    </row>
    <row r="37" spans="1:65" ht="20.100000000000001" customHeight="1" x14ac:dyDescent="0.3">
      <c r="A37" s="3" t="s">
        <v>137</v>
      </c>
      <c r="B37" s="3">
        <v>0</v>
      </c>
      <c r="C37" s="8">
        <v>44246</v>
      </c>
      <c r="D37" s="9">
        <v>0.70833333333333337</v>
      </c>
      <c r="E37" s="4">
        <v>66</v>
      </c>
      <c r="F37" s="3">
        <v>0</v>
      </c>
      <c r="G37" s="3">
        <v>0</v>
      </c>
      <c r="H37" s="3">
        <v>0</v>
      </c>
      <c r="I37" s="3">
        <v>0</v>
      </c>
      <c r="J37" s="9">
        <v>0.23958333333333334</v>
      </c>
      <c r="K37" s="3">
        <v>141</v>
      </c>
      <c r="L37" s="11">
        <f t="shared" si="33"/>
        <v>0</v>
      </c>
      <c r="M37" s="5">
        <f t="shared" si="34"/>
        <v>2095</v>
      </c>
      <c r="N37" s="11">
        <v>31.5</v>
      </c>
      <c r="O37" s="11">
        <v>33.5</v>
      </c>
      <c r="P37" s="11">
        <v>10.875</v>
      </c>
      <c r="Q37" s="11">
        <v>11</v>
      </c>
      <c r="R37" s="11">
        <v>20</v>
      </c>
      <c r="S37" s="11">
        <v>20</v>
      </c>
      <c r="T37" s="11">
        <v>16</v>
      </c>
      <c r="U37" s="11">
        <v>16</v>
      </c>
      <c r="V37" s="11">
        <v>17</v>
      </c>
      <c r="W37" s="11">
        <v>17</v>
      </c>
      <c r="X37" s="11">
        <v>7</v>
      </c>
      <c r="Y37" s="11">
        <v>7</v>
      </c>
      <c r="Z37" s="3" t="s">
        <v>302</v>
      </c>
      <c r="AA37" s="10" t="s">
        <v>303</v>
      </c>
      <c r="AB37" s="5">
        <f>472.5+80+60+107+57+216+350+105+81+200+160+322</f>
        <v>2210.5</v>
      </c>
      <c r="AC37" s="6">
        <f>3.75+5+5+0+0+0+25+0+0+2+10+29</f>
        <v>79.75</v>
      </c>
      <c r="AD37" s="6">
        <f>0+3.5+3.5+0+0+0+15+0+0+0+7+4</f>
        <v>33</v>
      </c>
      <c r="AE37" s="6">
        <f>31.5+6+1+1+0+6+25+1+2+4+12+4</f>
        <v>93.5</v>
      </c>
      <c r="AF37" s="6">
        <f>79.5+1+0+28+15+42+0+27+21+42+2+17</f>
        <v>274.5</v>
      </c>
      <c r="AG37" s="6">
        <f>9+0+1+3+3+6+0+3+4+4+0+18</f>
        <v>51</v>
      </c>
      <c r="AH37" s="6">
        <f>453.75+190+15+3+1+108+850+1+2+40+380+14</f>
        <v>2057.75</v>
      </c>
      <c r="AI37" s="6">
        <f t="shared" si="1"/>
        <v>3.6077810450124405E-2</v>
      </c>
      <c r="AJ37" s="6">
        <f t="shared" si="2"/>
        <v>1.4928749151775616E-2</v>
      </c>
      <c r="AK37" s="6">
        <f t="shared" si="3"/>
        <v>4.2298122596697581E-2</v>
      </c>
      <c r="AL37" s="6">
        <f t="shared" si="4"/>
        <v>0.12418004976249718</v>
      </c>
      <c r="AM37" s="6">
        <f t="shared" si="5"/>
        <v>2.3071703234562316E-2</v>
      </c>
      <c r="AN37" s="6">
        <f t="shared" si="6"/>
        <v>0.93089798688079617</v>
      </c>
      <c r="AO37" s="7">
        <v>3</v>
      </c>
      <c r="AP37" s="7">
        <v>1</v>
      </c>
      <c r="AQ37" s="7">
        <v>1</v>
      </c>
      <c r="AR37" s="10">
        <v>0</v>
      </c>
      <c r="AS37" s="7">
        <v>0</v>
      </c>
      <c r="AT37" s="7">
        <v>0</v>
      </c>
      <c r="AU37" s="7">
        <v>0</v>
      </c>
      <c r="AV37" s="7">
        <v>0</v>
      </c>
      <c r="AW37" s="7">
        <v>31</v>
      </c>
      <c r="AX37" s="7">
        <v>1</v>
      </c>
      <c r="AY37" s="6">
        <v>7.25</v>
      </c>
      <c r="AZ37" s="7">
        <v>1</v>
      </c>
      <c r="BA37" s="7">
        <v>1</v>
      </c>
      <c r="BB37" s="7">
        <v>1</v>
      </c>
      <c r="BC37" s="7">
        <v>1</v>
      </c>
      <c r="BD37" s="7">
        <v>1</v>
      </c>
      <c r="BE37" s="3">
        <v>0</v>
      </c>
      <c r="BF37" s="3">
        <v>0</v>
      </c>
      <c r="BG37" s="3">
        <v>0</v>
      </c>
      <c r="BH37" s="3">
        <v>0</v>
      </c>
      <c r="BI37" s="3">
        <v>0</v>
      </c>
      <c r="BJ37" s="3">
        <v>1</v>
      </c>
      <c r="BK37" s="3">
        <v>0</v>
      </c>
      <c r="BL37" s="3">
        <v>0</v>
      </c>
      <c r="BM37" s="3">
        <v>0</v>
      </c>
    </row>
    <row r="38" spans="1:65" ht="20.100000000000001" customHeight="1" x14ac:dyDescent="0.3">
      <c r="A38" s="3" t="s">
        <v>19</v>
      </c>
      <c r="B38" s="3">
        <v>1</v>
      </c>
      <c r="C38" s="8">
        <v>44247</v>
      </c>
      <c r="D38" s="9">
        <v>0.64583333333333337</v>
      </c>
      <c r="E38" s="4">
        <v>68</v>
      </c>
      <c r="F38" s="3">
        <v>9</v>
      </c>
      <c r="G38" s="3">
        <v>5</v>
      </c>
      <c r="H38" s="3">
        <v>45</v>
      </c>
      <c r="I38" s="3">
        <v>0</v>
      </c>
      <c r="J38" s="9">
        <v>0.26041666666666669</v>
      </c>
      <c r="K38" s="3">
        <v>139.6</v>
      </c>
      <c r="L38" s="11">
        <f t="shared" ref="L38" si="35">K38-K37</f>
        <v>-1.4000000000000057</v>
      </c>
      <c r="M38" s="5">
        <f t="shared" ref="M38" si="36">AB37</f>
        <v>2210.5</v>
      </c>
      <c r="N38" s="11">
        <v>31</v>
      </c>
      <c r="O38" s="11">
        <v>33</v>
      </c>
      <c r="P38" s="11">
        <v>10.875</v>
      </c>
      <c r="Q38" s="11">
        <v>10.9375</v>
      </c>
      <c r="R38" s="11">
        <v>20.25</v>
      </c>
      <c r="S38" s="11">
        <v>20.25</v>
      </c>
      <c r="T38" s="11">
        <v>16</v>
      </c>
      <c r="U38" s="11">
        <v>16</v>
      </c>
      <c r="V38" s="11">
        <v>17</v>
      </c>
      <c r="W38" s="11">
        <v>17</v>
      </c>
      <c r="X38" s="11">
        <v>7</v>
      </c>
      <c r="Y38" s="11">
        <v>8</v>
      </c>
      <c r="Z38" s="3" t="s">
        <v>308</v>
      </c>
      <c r="AA38" s="10" t="s">
        <v>309</v>
      </c>
      <c r="AB38" s="5">
        <f>400+160+162+105+57+62+551.7+106.7+140+322</f>
        <v>2066.4</v>
      </c>
      <c r="AC38" s="6">
        <f>4+10+0+0+0+0.1+20.9+6.7+10+29</f>
        <v>80.7</v>
      </c>
      <c r="AD38" s="6">
        <f>0+7+0+0+0+0+5.6+4.7+3+4</f>
        <v>24.3</v>
      </c>
      <c r="AE38" s="6">
        <f>8+12+4+1+0+0.3+26.6+8+12+4</f>
        <v>75.900000000000006</v>
      </c>
      <c r="AF38" s="6">
        <f>84+2+42+27+15+14.9+63.8+1.3+0+17</f>
        <v>267</v>
      </c>
      <c r="AG38" s="6">
        <f>8+0+8+3+3+2.5+4.5+0+0+18</f>
        <v>47</v>
      </c>
      <c r="AH38" s="6">
        <f>80+380+4+1+1+0+950.1+253.3+140+14</f>
        <v>1823.3999999999999</v>
      </c>
      <c r="AI38" s="6">
        <f t="shared" si="1"/>
        <v>3.9053426248548198E-2</v>
      </c>
      <c r="AJ38" s="6">
        <f t="shared" si="2"/>
        <v>1.1759581881533102E-2</v>
      </c>
      <c r="AK38" s="6">
        <f t="shared" si="3"/>
        <v>3.6730545876887344E-2</v>
      </c>
      <c r="AL38" s="6">
        <f t="shared" si="4"/>
        <v>0.1292102206736353</v>
      </c>
      <c r="AM38" s="6">
        <f t="shared" si="5"/>
        <v>2.2744870305845915E-2</v>
      </c>
      <c r="AN38" s="6">
        <f t="shared" si="6"/>
        <v>0.8824041811846689</v>
      </c>
      <c r="AO38" s="7">
        <v>3</v>
      </c>
      <c r="AP38" s="7">
        <v>1</v>
      </c>
      <c r="AQ38" s="7">
        <v>1</v>
      </c>
      <c r="AR38" s="10">
        <v>0</v>
      </c>
      <c r="AS38" s="7">
        <v>0</v>
      </c>
      <c r="AT38" s="7">
        <v>0</v>
      </c>
      <c r="AU38" s="7">
        <v>0</v>
      </c>
      <c r="AV38" s="7">
        <v>0</v>
      </c>
      <c r="AW38" s="7">
        <v>31</v>
      </c>
      <c r="AX38" s="7">
        <v>1</v>
      </c>
      <c r="AY38" s="6">
        <v>8</v>
      </c>
      <c r="AZ38" s="7">
        <v>1</v>
      </c>
      <c r="BA38" s="7">
        <v>1</v>
      </c>
      <c r="BB38" s="7">
        <v>1</v>
      </c>
      <c r="BC38" s="7">
        <v>1</v>
      </c>
      <c r="BD38" s="7">
        <v>1</v>
      </c>
      <c r="BE38" s="3">
        <v>0</v>
      </c>
      <c r="BF38" s="3">
        <v>0</v>
      </c>
      <c r="BG38" s="3">
        <v>0</v>
      </c>
      <c r="BH38" s="3">
        <v>0</v>
      </c>
      <c r="BI38" s="3">
        <v>0</v>
      </c>
      <c r="BJ38" s="3">
        <v>0</v>
      </c>
      <c r="BK38" s="3">
        <v>0</v>
      </c>
      <c r="BL38" s="3">
        <v>0</v>
      </c>
      <c r="BM38" s="3">
        <v>0</v>
      </c>
    </row>
    <row r="39" spans="1:65" ht="20.100000000000001" customHeight="1" x14ac:dyDescent="0.3">
      <c r="A39" s="3" t="s">
        <v>23</v>
      </c>
      <c r="B39" s="3">
        <v>2</v>
      </c>
      <c r="C39" s="8">
        <v>44248</v>
      </c>
      <c r="D39" s="9">
        <v>0.66666666666666663</v>
      </c>
      <c r="E39" s="4">
        <v>72</v>
      </c>
      <c r="F39" s="3">
        <v>0</v>
      </c>
      <c r="G39" s="3">
        <v>0</v>
      </c>
      <c r="H39" s="3">
        <v>0</v>
      </c>
      <c r="I39" s="3">
        <v>0</v>
      </c>
      <c r="J39" s="9">
        <v>0.26041666666666669</v>
      </c>
      <c r="K39" s="3">
        <v>137.4</v>
      </c>
      <c r="L39" s="11">
        <f t="shared" ref="L39" si="37">K39-K38</f>
        <v>-2.1999999999999886</v>
      </c>
      <c r="M39" s="5">
        <f t="shared" ref="M39" si="38">AB38</f>
        <v>2066.4</v>
      </c>
      <c r="N39" s="11">
        <v>31.25</v>
      </c>
      <c r="O39" s="11">
        <v>33.25</v>
      </c>
      <c r="P39" s="11">
        <v>10.875</v>
      </c>
      <c r="Q39" s="11">
        <v>11</v>
      </c>
      <c r="R39" s="11">
        <v>20</v>
      </c>
      <c r="S39" s="11">
        <v>20</v>
      </c>
      <c r="T39" s="11">
        <v>16</v>
      </c>
      <c r="U39" s="11">
        <v>15</v>
      </c>
      <c r="V39" s="11">
        <v>18</v>
      </c>
      <c r="W39" s="11">
        <v>16</v>
      </c>
      <c r="X39" s="11">
        <v>8</v>
      </c>
      <c r="Y39" s="11">
        <v>8</v>
      </c>
      <c r="Z39" s="3" t="s">
        <v>311</v>
      </c>
      <c r="AA39" s="10" t="s">
        <v>310</v>
      </c>
      <c r="AB39" s="5">
        <f>243+105+551.7+106.7+322+140+551.7+20+551.7+106.7</f>
        <v>2698.5</v>
      </c>
      <c r="AC39" s="6">
        <f>0+0+20.9+6.7+29+10+20.9+1.5+20.9+6.7</f>
        <v>116.60000000000001</v>
      </c>
      <c r="AD39" s="6">
        <f>0+0+5.6+4.7+4+3+5.6+1+5.6+4.7</f>
        <v>34.200000000000003</v>
      </c>
      <c r="AE39" s="6">
        <f>6+1+26.6+8+4+12+26.6+2+26.6+8</f>
        <v>120.80000000000001</v>
      </c>
      <c r="AF39" s="6">
        <f>63+27+63.75+1.3+17+0+63.75+0+63.75+1.3</f>
        <v>300.85000000000002</v>
      </c>
      <c r="AG39" s="6">
        <f>12+3+4.5+0+18+0+4.5+0+4.5+0</f>
        <v>46.5</v>
      </c>
      <c r="AH39" s="6">
        <f>6+1+950.1+253.3+14+140+950.125+100+950.1+253.3</f>
        <v>3617.9250000000002</v>
      </c>
      <c r="AI39" s="6">
        <f t="shared" si="1"/>
        <v>4.3209190290902359E-2</v>
      </c>
      <c r="AJ39" s="6">
        <f t="shared" si="2"/>
        <v>1.2673707615341858E-2</v>
      </c>
      <c r="AK39" s="6">
        <f t="shared" si="3"/>
        <v>4.4765610524365396E-2</v>
      </c>
      <c r="AL39" s="6">
        <f t="shared" si="4"/>
        <v>0.11148786362794146</v>
      </c>
      <c r="AM39" s="6">
        <f t="shared" si="5"/>
        <v>1.7231795441912175E-2</v>
      </c>
      <c r="AN39" s="6">
        <f t="shared" si="6"/>
        <v>1.3407170650361313</v>
      </c>
      <c r="AO39" s="7">
        <v>3</v>
      </c>
      <c r="AP39" s="7">
        <v>1</v>
      </c>
      <c r="AQ39" s="7">
        <v>1</v>
      </c>
      <c r="AR39" s="10">
        <v>0</v>
      </c>
      <c r="AS39" s="7">
        <v>0</v>
      </c>
      <c r="AT39" s="7">
        <v>0</v>
      </c>
      <c r="AU39" s="7">
        <v>0</v>
      </c>
      <c r="AV39" s="7">
        <v>0</v>
      </c>
      <c r="AW39" s="7">
        <v>31</v>
      </c>
      <c r="AX39" s="7">
        <v>1</v>
      </c>
      <c r="AY39" s="6">
        <v>8</v>
      </c>
      <c r="AZ39" s="7">
        <v>1</v>
      </c>
      <c r="BA39" s="7">
        <v>1</v>
      </c>
      <c r="BB39" s="7">
        <v>1</v>
      </c>
      <c r="BC39" s="7">
        <v>1</v>
      </c>
      <c r="BD39" s="7">
        <v>1</v>
      </c>
      <c r="BE39" s="3">
        <v>0</v>
      </c>
      <c r="BF39" s="3">
        <v>0</v>
      </c>
      <c r="BG39" s="3">
        <v>0</v>
      </c>
      <c r="BH39" s="3">
        <v>0</v>
      </c>
      <c r="BI39" s="3">
        <v>0</v>
      </c>
      <c r="BJ39" s="3">
        <v>0</v>
      </c>
      <c r="BK39" s="3">
        <v>0</v>
      </c>
      <c r="BL39" s="3">
        <v>0</v>
      </c>
      <c r="BM39" s="3">
        <v>0</v>
      </c>
    </row>
    <row r="40" spans="1:65" ht="20.100000000000001" customHeight="1" x14ac:dyDescent="0.3">
      <c r="A40" s="3" t="s">
        <v>15</v>
      </c>
      <c r="B40" s="3">
        <v>3</v>
      </c>
      <c r="C40" s="8">
        <v>44249</v>
      </c>
      <c r="D40" s="9">
        <v>0.625</v>
      </c>
      <c r="E40" s="4">
        <v>79</v>
      </c>
      <c r="F40" s="3">
        <v>0</v>
      </c>
      <c r="G40" s="3">
        <v>0</v>
      </c>
      <c r="H40" s="3">
        <v>0</v>
      </c>
      <c r="I40" s="3">
        <v>0</v>
      </c>
      <c r="J40" s="9">
        <v>0.23958333333333334</v>
      </c>
      <c r="K40" s="3">
        <v>138.19999999999999</v>
      </c>
      <c r="L40" s="11">
        <f t="shared" ref="L40" si="39">K40-K39</f>
        <v>0.79999999999998295</v>
      </c>
      <c r="M40" s="5">
        <f t="shared" ref="M40" si="40">AB39</f>
        <v>2698.5</v>
      </c>
      <c r="N40" s="11">
        <v>31.25</v>
      </c>
      <c r="O40" s="11">
        <v>32.75</v>
      </c>
      <c r="P40" s="11">
        <v>10.25</v>
      </c>
      <c r="Q40" s="11">
        <v>10.8125</v>
      </c>
      <c r="R40" s="11">
        <v>20.25</v>
      </c>
      <c r="S40" s="11">
        <v>20.25</v>
      </c>
      <c r="T40" s="11">
        <v>15</v>
      </c>
      <c r="U40" s="11">
        <v>15</v>
      </c>
      <c r="V40" s="11">
        <v>18</v>
      </c>
      <c r="W40" s="11">
        <v>18</v>
      </c>
      <c r="X40" s="11">
        <v>7</v>
      </c>
      <c r="Y40" s="11">
        <v>7</v>
      </c>
      <c r="Z40" s="3" t="s">
        <v>319</v>
      </c>
      <c r="AA40" s="10" t="s">
        <v>316</v>
      </c>
      <c r="AB40" s="5">
        <f>200+160+105+162+679.4+20+339.7+10+161+92</f>
        <v>1929.1000000000001</v>
      </c>
      <c r="AC40" s="6">
        <f>2+10+0+0+38.4+1.5+19.2+0.75+14.5+0</f>
        <v>86.35</v>
      </c>
      <c r="AD40" s="6">
        <f>0+7+0+0+13.7+1+6.85+0.5+2+0</f>
        <v>31.049999999999997</v>
      </c>
      <c r="AE40" s="6">
        <f>4+12+1+4+26+2+13+1+2+2</f>
        <v>67</v>
      </c>
      <c r="AF40" s="6">
        <f>42+2+27+42+63.5+0+31.75+0+8.5+24</f>
        <v>240.75</v>
      </c>
      <c r="AG40" s="6">
        <f>4+0+3+8+5.2+0+2.6+0+6.5+2</f>
        <v>31.3</v>
      </c>
      <c r="AH40" s="6">
        <f>40+380+1+4+862+100+431+50+7+0</f>
        <v>1875</v>
      </c>
      <c r="AI40" s="6">
        <f t="shared" si="1"/>
        <v>4.4761806023534287E-2</v>
      </c>
      <c r="AJ40" s="6">
        <f t="shared" si="2"/>
        <v>1.6095588616453264E-2</v>
      </c>
      <c r="AK40" s="6">
        <f t="shared" si="3"/>
        <v>3.4731221813280803E-2</v>
      </c>
      <c r="AL40" s="6">
        <f t="shared" si="4"/>
        <v>0.12479912912757243</v>
      </c>
      <c r="AM40" s="6">
        <f t="shared" si="5"/>
        <v>1.6225182727696852E-2</v>
      </c>
      <c r="AN40" s="6">
        <f t="shared" si="6"/>
        <v>0.97195583432688815</v>
      </c>
      <c r="AO40" s="7">
        <v>3</v>
      </c>
      <c r="AP40" s="7">
        <v>1</v>
      </c>
      <c r="AQ40" s="7">
        <v>1</v>
      </c>
      <c r="AR40" s="10">
        <v>0</v>
      </c>
      <c r="AS40" s="7">
        <v>0</v>
      </c>
      <c r="AT40" s="7">
        <v>0</v>
      </c>
      <c r="AU40" s="7">
        <v>0</v>
      </c>
      <c r="AV40" s="7">
        <v>0</v>
      </c>
      <c r="AW40" s="7">
        <v>31</v>
      </c>
      <c r="AX40" s="7">
        <v>1</v>
      </c>
      <c r="AY40" s="6">
        <v>7</v>
      </c>
      <c r="AZ40" s="7">
        <v>1</v>
      </c>
      <c r="BA40" s="7">
        <v>1</v>
      </c>
      <c r="BB40" s="7">
        <v>1</v>
      </c>
      <c r="BC40" s="7">
        <v>1</v>
      </c>
      <c r="BD40" s="7">
        <v>1</v>
      </c>
      <c r="BE40" s="3">
        <v>0</v>
      </c>
      <c r="BF40" s="3">
        <v>0</v>
      </c>
      <c r="BG40" s="3">
        <v>0</v>
      </c>
      <c r="BH40" s="3">
        <v>0</v>
      </c>
      <c r="BI40" s="3">
        <v>0</v>
      </c>
      <c r="BJ40" s="3">
        <v>0</v>
      </c>
      <c r="BK40" s="3">
        <v>0</v>
      </c>
      <c r="BL40" s="3">
        <v>0</v>
      </c>
      <c r="BM40" s="3">
        <v>0</v>
      </c>
    </row>
    <row r="41" spans="1:65" ht="20.100000000000001" customHeight="1" x14ac:dyDescent="0.3">
      <c r="A41" s="3" t="s">
        <v>16</v>
      </c>
      <c r="B41" s="3">
        <v>4</v>
      </c>
      <c r="C41" s="8">
        <v>44250</v>
      </c>
      <c r="D41" s="9">
        <v>0.625</v>
      </c>
      <c r="E41" s="4">
        <v>79</v>
      </c>
      <c r="F41" s="3">
        <v>0</v>
      </c>
      <c r="G41" s="3">
        <v>0</v>
      </c>
      <c r="H41" s="3">
        <v>0</v>
      </c>
      <c r="I41" s="3">
        <v>0</v>
      </c>
      <c r="J41" s="9">
        <v>0.3125</v>
      </c>
      <c r="K41" s="3">
        <v>137.19999999999999</v>
      </c>
      <c r="L41" s="11">
        <f t="shared" ref="L41" si="41">K41-K40</f>
        <v>-1</v>
      </c>
      <c r="M41" s="5">
        <f t="shared" ref="M41" si="42">AB40</f>
        <v>1929.1000000000001</v>
      </c>
      <c r="N41" s="11">
        <v>31</v>
      </c>
      <c r="O41" s="11">
        <v>32.5</v>
      </c>
      <c r="P41" s="11">
        <v>10.75</v>
      </c>
      <c r="Q41" s="11">
        <v>10.875</v>
      </c>
      <c r="R41" s="11">
        <v>19.75</v>
      </c>
      <c r="S41" s="11">
        <v>20</v>
      </c>
      <c r="T41" s="11">
        <v>16</v>
      </c>
      <c r="U41" s="11">
        <v>15</v>
      </c>
      <c r="V41" s="11">
        <v>18</v>
      </c>
      <c r="W41" s="11">
        <v>17</v>
      </c>
      <c r="X41" s="11">
        <v>7</v>
      </c>
      <c r="Y41" s="11">
        <v>7</v>
      </c>
      <c r="Z41" s="3" t="s">
        <v>318</v>
      </c>
      <c r="AA41" s="10" t="s">
        <v>317</v>
      </c>
      <c r="AB41" s="5">
        <f>92+226.47+241.5+339.7+20+81+339.7+20+679.4+20+20+60+60</f>
        <v>2199.77</v>
      </c>
      <c r="AC41" s="6">
        <f>0+12.8+21.75+19.2+1.5+0+19.2+1.5+38.4+1.5+1+0+4.5</f>
        <v>121.35</v>
      </c>
      <c r="AD41" s="6">
        <f>0+4.57+3+6.85+1+0+6.85+1+13.7+1+0+0+0</f>
        <v>37.97</v>
      </c>
      <c r="AE41" s="6">
        <f>2+8.67+3+13+2+2+13+2+26+2+2+0+1.5</f>
        <v>77.17</v>
      </c>
      <c r="AF41" s="6">
        <f>24+21.17+12.75+31.75+0+21+31.75+0+63.5+0+6+17+3</f>
        <v>231.92000000000002</v>
      </c>
      <c r="AG41" s="6">
        <f>2+1.73+13.5+2.6+0+4+2.6+0+5.2+0+2+0+1.5</f>
        <v>35.130000000000003</v>
      </c>
      <c r="AH41" s="6">
        <f>0+287.33+10.5+431+100+2+431+100+862+100+0+0+270</f>
        <v>2593.83</v>
      </c>
      <c r="AI41" s="6">
        <f t="shared" si="1"/>
        <v>5.5164858144260531E-2</v>
      </c>
      <c r="AJ41" s="6">
        <f t="shared" si="2"/>
        <v>1.7260895457252349E-2</v>
      </c>
      <c r="AK41" s="6">
        <f t="shared" si="3"/>
        <v>3.5080940280120196E-2</v>
      </c>
      <c r="AL41" s="6">
        <f t="shared" si="4"/>
        <v>0.10542920396223242</v>
      </c>
      <c r="AM41" s="6">
        <f t="shared" si="5"/>
        <v>1.5969851393554783E-2</v>
      </c>
      <c r="AN41" s="6">
        <f t="shared" si="6"/>
        <v>1.1791369097678392</v>
      </c>
      <c r="AO41" s="7">
        <v>3</v>
      </c>
      <c r="AP41" s="7">
        <v>1</v>
      </c>
      <c r="AQ41" s="7">
        <v>1</v>
      </c>
      <c r="AR41" s="10">
        <v>0</v>
      </c>
      <c r="AS41" s="7">
        <v>0</v>
      </c>
      <c r="AT41" s="7">
        <v>0</v>
      </c>
      <c r="AU41" s="7">
        <v>0</v>
      </c>
      <c r="AV41" s="7">
        <v>0</v>
      </c>
      <c r="AW41" s="7">
        <v>31</v>
      </c>
      <c r="AX41" s="7">
        <v>1</v>
      </c>
      <c r="AY41" s="6">
        <v>6</v>
      </c>
      <c r="AZ41" s="7">
        <v>1</v>
      </c>
      <c r="BA41" s="7">
        <v>1</v>
      </c>
      <c r="BB41" s="7">
        <v>1</v>
      </c>
      <c r="BC41" s="7">
        <v>1</v>
      </c>
      <c r="BD41" s="7">
        <v>1</v>
      </c>
      <c r="BE41" s="3">
        <v>0</v>
      </c>
      <c r="BF41" s="3">
        <v>0</v>
      </c>
      <c r="BG41" s="3">
        <v>0</v>
      </c>
      <c r="BH41" s="3">
        <v>0</v>
      </c>
      <c r="BI41" s="3">
        <v>0</v>
      </c>
      <c r="BJ41" s="3">
        <v>0</v>
      </c>
      <c r="BK41" s="3">
        <v>0</v>
      </c>
      <c r="BL41" s="3">
        <v>0</v>
      </c>
      <c r="BM41" s="3">
        <v>0</v>
      </c>
    </row>
    <row r="42" spans="1:65" ht="20.100000000000001" customHeight="1" x14ac:dyDescent="0.3">
      <c r="A42" s="3" t="s">
        <v>17</v>
      </c>
      <c r="B42" s="3">
        <v>5</v>
      </c>
      <c r="C42" s="8">
        <v>44251</v>
      </c>
      <c r="D42" s="9">
        <v>0.66666666666666663</v>
      </c>
      <c r="E42" s="4">
        <v>73</v>
      </c>
      <c r="F42" s="3">
        <v>0</v>
      </c>
      <c r="G42" s="3">
        <v>0</v>
      </c>
      <c r="H42" s="3">
        <v>0</v>
      </c>
      <c r="I42" s="3">
        <v>1</v>
      </c>
      <c r="J42" s="9">
        <v>0.66666666666666663</v>
      </c>
      <c r="K42" s="3">
        <v>138.80000000000001</v>
      </c>
      <c r="L42" s="11">
        <f t="shared" ref="L42" si="43">K42-K41</f>
        <v>1.6000000000000227</v>
      </c>
      <c r="M42" s="5">
        <f t="shared" ref="M42" si="44">AB41</f>
        <v>2199.77</v>
      </c>
      <c r="N42" s="11">
        <v>31.25</v>
      </c>
      <c r="O42" s="11">
        <v>32.75</v>
      </c>
      <c r="P42" s="11">
        <v>10.875</v>
      </c>
      <c r="Q42" s="11">
        <v>10.875</v>
      </c>
      <c r="R42" s="11">
        <v>20</v>
      </c>
      <c r="S42" s="11">
        <v>20</v>
      </c>
      <c r="T42" s="11">
        <v>16</v>
      </c>
      <c r="U42" s="11">
        <v>15</v>
      </c>
      <c r="V42" s="11">
        <v>18</v>
      </c>
      <c r="W42" s="11">
        <v>17</v>
      </c>
      <c r="X42" s="11">
        <v>7</v>
      </c>
      <c r="Y42" s="11">
        <v>7</v>
      </c>
      <c r="Z42" s="3" t="s">
        <v>327</v>
      </c>
      <c r="AA42" s="10" t="s">
        <v>324</v>
      </c>
      <c r="AB42" s="5">
        <f>184+162+400+240+57+62+649+80</f>
        <v>1834</v>
      </c>
      <c r="AC42" s="6">
        <f>0+0+4+15+0+0.1+14.43+5</f>
        <v>38.53</v>
      </c>
      <c r="AD42" s="6">
        <f>0+0+0+10.5+0+0+2.52+3.5</f>
        <v>16.52</v>
      </c>
      <c r="AE42" s="6">
        <f>4+4+8+18+0+0.3+36.85+6</f>
        <v>77.150000000000006</v>
      </c>
      <c r="AF42" s="6">
        <f>48+42+84+3+15+14.9+104.13+1</f>
        <v>312.02999999999997</v>
      </c>
      <c r="AG42" s="6">
        <f>4+8+8+0+3+2.5+18.3+0</f>
        <v>43.8</v>
      </c>
      <c r="AH42" s="6">
        <f>0+4+80+570+1+0+401.23+190</f>
        <v>1246.23</v>
      </c>
      <c r="AI42" s="6">
        <f t="shared" si="1"/>
        <v>2.1008724100327156E-2</v>
      </c>
      <c r="AJ42" s="6">
        <f t="shared" si="2"/>
        <v>9.0076335877862599E-3</v>
      </c>
      <c r="AK42" s="6">
        <f t="shared" si="3"/>
        <v>4.206652126499455E-2</v>
      </c>
      <c r="AL42" s="6">
        <f t="shared" si="4"/>
        <v>0.17013631406761176</v>
      </c>
      <c r="AM42" s="6">
        <f t="shared" si="5"/>
        <v>2.3882224645583424E-2</v>
      </c>
      <c r="AN42" s="6">
        <f t="shared" si="6"/>
        <v>0.67951472191930207</v>
      </c>
      <c r="AO42" s="7">
        <v>3</v>
      </c>
      <c r="AP42" s="7">
        <v>1</v>
      </c>
      <c r="AQ42" s="7">
        <v>1</v>
      </c>
      <c r="AR42" s="10" t="s">
        <v>326</v>
      </c>
      <c r="AS42" s="7" t="s">
        <v>325</v>
      </c>
      <c r="AT42" s="7">
        <v>0</v>
      </c>
      <c r="AU42" s="7">
        <v>20</v>
      </c>
      <c r="AV42" s="7">
        <v>0</v>
      </c>
      <c r="AW42" s="7">
        <v>31</v>
      </c>
      <c r="AX42" s="7">
        <v>1</v>
      </c>
      <c r="AY42" s="6">
        <v>7</v>
      </c>
      <c r="AZ42" s="7">
        <v>1</v>
      </c>
      <c r="BA42" s="7">
        <v>1</v>
      </c>
      <c r="BB42" s="7">
        <v>1</v>
      </c>
      <c r="BC42" s="7">
        <v>1</v>
      </c>
      <c r="BD42" s="7">
        <v>1</v>
      </c>
      <c r="BE42" s="3">
        <v>0</v>
      </c>
      <c r="BF42" s="3">
        <v>0</v>
      </c>
      <c r="BG42" s="3">
        <v>0</v>
      </c>
      <c r="BH42" s="3">
        <v>0</v>
      </c>
      <c r="BI42" s="3">
        <v>0</v>
      </c>
      <c r="BJ42" s="3">
        <v>0</v>
      </c>
      <c r="BK42" s="3">
        <v>0</v>
      </c>
      <c r="BL42" s="3">
        <v>0</v>
      </c>
      <c r="BM42" s="3">
        <v>0</v>
      </c>
    </row>
    <row r="43" spans="1:65" ht="20.100000000000001" customHeight="1" x14ac:dyDescent="0.3">
      <c r="A43" s="3" t="s">
        <v>18</v>
      </c>
      <c r="B43" s="3">
        <v>6</v>
      </c>
      <c r="C43" s="8">
        <v>44252</v>
      </c>
      <c r="D43" s="9">
        <v>0.625</v>
      </c>
      <c r="E43" s="4">
        <v>71</v>
      </c>
      <c r="F43" s="3">
        <v>0</v>
      </c>
      <c r="G43" s="3">
        <v>0</v>
      </c>
      <c r="H43" s="3">
        <v>0</v>
      </c>
      <c r="I43" s="3">
        <v>0</v>
      </c>
      <c r="J43" s="9">
        <v>0.2638888888888889</v>
      </c>
      <c r="K43" s="3">
        <v>138.80000000000001</v>
      </c>
      <c r="L43" s="11">
        <f t="shared" ref="L43:L44" si="45">K43-K42</f>
        <v>0</v>
      </c>
      <c r="M43" s="5">
        <f t="shared" ref="M43" si="46">AB42</f>
        <v>1834</v>
      </c>
      <c r="N43" s="11">
        <v>31.5</v>
      </c>
      <c r="O43" s="11">
        <v>32.75</v>
      </c>
      <c r="P43" s="11">
        <v>10.875</v>
      </c>
      <c r="Q43" s="11">
        <v>10.875</v>
      </c>
      <c r="R43" s="11">
        <v>19.75</v>
      </c>
      <c r="S43" s="11">
        <v>19.875</v>
      </c>
      <c r="T43" s="11">
        <v>16</v>
      </c>
      <c r="U43" s="11">
        <v>15</v>
      </c>
      <c r="V43" s="11">
        <v>17</v>
      </c>
      <c r="W43" s="11">
        <v>16</v>
      </c>
      <c r="X43" s="11">
        <v>7</v>
      </c>
      <c r="Y43" s="11">
        <v>7</v>
      </c>
      <c r="Z43" s="3" t="s">
        <v>329</v>
      </c>
      <c r="AA43" s="10" t="s">
        <v>328</v>
      </c>
      <c r="AB43" s="5">
        <f>649+80+20+92+81+10+60+40+140+120+100+80+10+60+10+649+80+20+10+60+10</f>
        <v>2381</v>
      </c>
      <c r="AC43" s="6">
        <f>14.43+5+1.5+0+0+0.5+0+3+10+14+1+5+0.5+0+0.75+14.43+5+1.5+0.5+0+0.75</f>
        <v>77.86</v>
      </c>
      <c r="AD43" s="6">
        <f>2.52+3.5+1+0+0+0+0+0+3+2+0+3.5+0+0+0+2.52+3.5+1+0+0+0</f>
        <v>22.54</v>
      </c>
      <c r="AE43" s="6">
        <f>36.85+6+2+2+2+1+0+1+12+0+2+6+1+0+0.25+36.85+6+2+1+0+0.25</f>
        <v>118.19999999999999</v>
      </c>
      <c r="AF43" s="6">
        <f>104.13+1+0+24+21+3+17+2+0+0+21+1+3+17+0.5+104.13+1+0+3+17+0.5</f>
        <v>340.26</v>
      </c>
      <c r="AG43" s="6">
        <f>18.3+0+0+2+4+1+0+1+0+0+2+0+1+0+0.25+18.3+0+0+1+0+0.25</f>
        <v>49.1</v>
      </c>
      <c r="AH43" s="6">
        <f>401.23+190+100+0+2+0+0+180+140+0+20+190+0+0+45+401.23+190+100+0+0+45</f>
        <v>2004.46</v>
      </c>
      <c r="AI43" s="6">
        <f t="shared" si="1"/>
        <v>3.2700545989080218E-2</v>
      </c>
      <c r="AJ43" s="6">
        <f t="shared" si="2"/>
        <v>9.466610667786644E-3</v>
      </c>
      <c r="AK43" s="6">
        <f t="shared" si="3"/>
        <v>4.9643007139857198E-2</v>
      </c>
      <c r="AL43" s="6">
        <f t="shared" si="4"/>
        <v>0.14290634187316253</v>
      </c>
      <c r="AM43" s="6">
        <f t="shared" si="5"/>
        <v>2.0621587568248636E-2</v>
      </c>
      <c r="AN43" s="6">
        <f t="shared" si="6"/>
        <v>0.84185636287274257</v>
      </c>
      <c r="AO43" s="7">
        <v>3</v>
      </c>
      <c r="AP43" s="7">
        <v>2</v>
      </c>
      <c r="AQ43" s="7">
        <v>0</v>
      </c>
      <c r="AR43" s="10">
        <v>0</v>
      </c>
      <c r="AS43" s="7">
        <v>0</v>
      </c>
      <c r="AT43" s="7">
        <v>0</v>
      </c>
      <c r="AU43" s="7">
        <v>0</v>
      </c>
      <c r="AV43" s="7">
        <v>0</v>
      </c>
      <c r="AW43" s="7">
        <v>31</v>
      </c>
      <c r="AX43" s="7">
        <v>1</v>
      </c>
      <c r="AY43" s="6">
        <v>8.5</v>
      </c>
      <c r="AZ43" s="7">
        <v>1</v>
      </c>
      <c r="BA43" s="7">
        <v>1</v>
      </c>
      <c r="BB43" s="7">
        <v>1</v>
      </c>
      <c r="BC43" s="7">
        <v>1</v>
      </c>
      <c r="BD43" s="7">
        <v>1</v>
      </c>
      <c r="BE43" s="3">
        <v>0</v>
      </c>
      <c r="BF43" s="3">
        <v>2</v>
      </c>
      <c r="BG43" s="3">
        <f>25+55</f>
        <v>80</v>
      </c>
      <c r="BH43" s="3">
        <v>3</v>
      </c>
      <c r="BI43" s="3">
        <v>0</v>
      </c>
      <c r="BJ43" s="3">
        <v>0</v>
      </c>
      <c r="BK43" s="3">
        <v>0</v>
      </c>
      <c r="BL43" s="3">
        <v>0</v>
      </c>
      <c r="BM43" s="3">
        <v>0</v>
      </c>
    </row>
    <row r="44" spans="1:65" ht="20.100000000000001" customHeight="1" x14ac:dyDescent="0.3">
      <c r="A44" s="3" t="s">
        <v>137</v>
      </c>
      <c r="B44" s="3">
        <v>7</v>
      </c>
      <c r="C44" s="8">
        <v>44253</v>
      </c>
      <c r="D44" s="9">
        <v>0.71875</v>
      </c>
      <c r="E44" s="4">
        <v>66</v>
      </c>
      <c r="F44" s="3">
        <v>15</v>
      </c>
      <c r="G44" s="3">
        <v>3</v>
      </c>
      <c r="H44" s="3">
        <v>45</v>
      </c>
      <c r="I44" s="3">
        <v>0</v>
      </c>
      <c r="J44" s="9">
        <v>0.27152777777777776</v>
      </c>
      <c r="K44" s="3">
        <v>140</v>
      </c>
      <c r="L44" s="11">
        <f t="shared" si="45"/>
        <v>1.1999999999999886</v>
      </c>
      <c r="M44" s="5">
        <f t="shared" ref="M44" si="47">AB43</f>
        <v>2381</v>
      </c>
      <c r="N44" s="11">
        <v>31.25</v>
      </c>
      <c r="O44" s="11">
        <v>33.25</v>
      </c>
      <c r="P44" s="11">
        <v>10.75</v>
      </c>
      <c r="Q44" s="11">
        <v>10.75</v>
      </c>
      <c r="R44" s="11">
        <v>19.75</v>
      </c>
      <c r="S44" s="11">
        <v>19.574999999999999</v>
      </c>
      <c r="T44" s="11">
        <v>14</v>
      </c>
      <c r="U44" s="11">
        <v>15</v>
      </c>
      <c r="V44" s="11">
        <v>16</v>
      </c>
      <c r="W44" s="11">
        <v>15</v>
      </c>
      <c r="X44" s="11">
        <v>6</v>
      </c>
      <c r="Y44" s="11">
        <v>7</v>
      </c>
      <c r="Z44" s="3" t="s">
        <v>331</v>
      </c>
      <c r="AA44" s="10" t="s">
        <v>330</v>
      </c>
      <c r="AB44" s="5">
        <f xml:space="preserve"> 649+80+20+649+80+20+8.5+649+80+20</f>
        <v>2255.5</v>
      </c>
      <c r="AC44" s="6">
        <f>14.43+5+1.5+14.43+5+1.5+0+14.43+5+1.5</f>
        <v>62.79</v>
      </c>
      <c r="AD44" s="6">
        <f>2.52+3.5+1+2.52+3.5+1+0+2.52+3.5+1</f>
        <v>21.06</v>
      </c>
      <c r="AE44" s="6">
        <f>36.85+6+2+36.85+6+2+0+36.85+6+2</f>
        <v>134.55000000000001</v>
      </c>
      <c r="AF44" s="6">
        <f>104.13+1+0+104.13+1+0+36+104.13+1+0</f>
        <v>351.39</v>
      </c>
      <c r="AG44" s="6">
        <f>18.3+0+0+18.3+0+0+0+18.3+0+0</f>
        <v>54.900000000000006</v>
      </c>
      <c r="AH44" s="6">
        <f>401.23+190+100+401.23+190+100+1+401.23+190+100</f>
        <v>2074.69</v>
      </c>
      <c r="AI44" s="6">
        <f t="shared" si="1"/>
        <v>2.7838616714697405E-2</v>
      </c>
      <c r="AJ44" s="6">
        <f t="shared" si="2"/>
        <v>9.3371757925072036E-3</v>
      </c>
      <c r="AK44" s="6">
        <f t="shared" si="3"/>
        <v>5.9654178674351591E-2</v>
      </c>
      <c r="AL44" s="6">
        <f t="shared" si="4"/>
        <v>0.15579250720461094</v>
      </c>
      <c r="AM44" s="6">
        <f t="shared" si="5"/>
        <v>2.4340500997561521E-2</v>
      </c>
      <c r="AN44" s="6">
        <f t="shared" si="6"/>
        <v>0.91983595655065398</v>
      </c>
      <c r="AO44" s="7">
        <v>3</v>
      </c>
      <c r="AP44" s="7">
        <v>1</v>
      </c>
      <c r="AQ44" s="7">
        <v>0</v>
      </c>
      <c r="AR44" s="10">
        <v>0</v>
      </c>
      <c r="AS44" s="7">
        <v>0</v>
      </c>
      <c r="AT44" s="7">
        <v>0</v>
      </c>
      <c r="AU44" s="7">
        <v>0</v>
      </c>
      <c r="AV44" s="7">
        <v>0</v>
      </c>
      <c r="AW44" s="7">
        <v>31</v>
      </c>
      <c r="AX44" s="7">
        <v>1</v>
      </c>
      <c r="AY44" s="5">
        <v>6</v>
      </c>
      <c r="AZ44" s="7">
        <v>1</v>
      </c>
      <c r="BA44" s="7">
        <v>1</v>
      </c>
      <c r="BB44" s="7">
        <v>1</v>
      </c>
      <c r="BC44" s="7">
        <v>1</v>
      </c>
      <c r="BD44" s="7">
        <v>1</v>
      </c>
      <c r="BE44" s="3">
        <v>0</v>
      </c>
      <c r="BF44" s="3">
        <v>0</v>
      </c>
      <c r="BG44" s="3">
        <v>0</v>
      </c>
      <c r="BH44" s="3">
        <v>0</v>
      </c>
      <c r="BI44" s="3">
        <v>0</v>
      </c>
      <c r="BJ44" s="3">
        <v>0</v>
      </c>
      <c r="BK44" s="3">
        <v>0</v>
      </c>
      <c r="BL44" s="3">
        <v>0</v>
      </c>
      <c r="BM44" s="3">
        <v>0</v>
      </c>
    </row>
    <row r="45" spans="1:65" ht="20.100000000000001" customHeight="1" x14ac:dyDescent="0.3">
      <c r="A45" s="3" t="s">
        <v>19</v>
      </c>
      <c r="B45" s="3">
        <v>8</v>
      </c>
      <c r="C45" s="8">
        <v>44254</v>
      </c>
      <c r="D45" s="9">
        <v>0.625</v>
      </c>
      <c r="E45" s="4">
        <v>70</v>
      </c>
      <c r="F45" s="3">
        <v>0</v>
      </c>
      <c r="G45" s="3">
        <v>0</v>
      </c>
      <c r="H45" s="3">
        <v>0</v>
      </c>
      <c r="I45" s="3">
        <v>0</v>
      </c>
      <c r="J45" s="9">
        <v>0.2673611111111111</v>
      </c>
      <c r="K45" s="3">
        <v>138.80000000000001</v>
      </c>
      <c r="L45" s="11">
        <f t="shared" ref="L45" si="48">K45-K44</f>
        <v>-1.1999999999999886</v>
      </c>
      <c r="M45" s="5">
        <f t="shared" ref="M45" si="49">AB44</f>
        <v>2255.5</v>
      </c>
      <c r="N45" s="11">
        <v>31</v>
      </c>
      <c r="O45" s="11">
        <v>33</v>
      </c>
      <c r="P45" s="11">
        <v>10.875</v>
      </c>
      <c r="Q45" s="11">
        <v>10.875</v>
      </c>
      <c r="R45" s="11">
        <v>19.875</v>
      </c>
      <c r="S45" s="11">
        <v>19.875</v>
      </c>
      <c r="T45" s="11">
        <v>14</v>
      </c>
      <c r="U45" s="11">
        <v>14</v>
      </c>
      <c r="V45" s="11">
        <v>16</v>
      </c>
      <c r="W45" s="11">
        <v>15</v>
      </c>
      <c r="X45" s="11">
        <v>7</v>
      </c>
      <c r="Y45" s="11">
        <v>7</v>
      </c>
      <c r="Z45" s="3" t="s">
        <v>333</v>
      </c>
      <c r="AA45" s="10" t="s">
        <v>334</v>
      </c>
      <c r="AB45" s="5">
        <f>400+80+140+30+120+8.5+81+322+140+120+120+240</f>
        <v>1801.5</v>
      </c>
      <c r="AC45" s="6">
        <f>4+5+10+10+14+0+0+29+10+14+0.6+1.6</f>
        <v>98.199999999999989</v>
      </c>
      <c r="AD45" s="6">
        <f>0+3.5+3+1.75+2+0+0+4+3+2+0.3+0</f>
        <v>19.55</v>
      </c>
      <c r="AE45" s="6">
        <f>8+6+12+0.5+0+0+2+4+12+0+1.8+4.8</f>
        <v>51.099999999999994</v>
      </c>
      <c r="AF45" s="6">
        <f>84+1+0+1+0+36+21+17+0+0+30.3+52.8</f>
        <v>243.10000000000002</v>
      </c>
      <c r="AG45" s="6">
        <f>8+0+0+0+0+0+4+18+0+0+4.2+3.2</f>
        <v>37.400000000000006</v>
      </c>
      <c r="AH45" s="6">
        <f>80+190+140+7.5+0+1+2+14+140+0+6+448</f>
        <v>1028.5</v>
      </c>
      <c r="AI45" s="6">
        <f t="shared" si="1"/>
        <v>5.4510130446849839E-2</v>
      </c>
      <c r="AJ45" s="6">
        <f t="shared" si="2"/>
        <v>1.0852067721343325E-2</v>
      </c>
      <c r="AK45" s="6">
        <f t="shared" si="3"/>
        <v>2.8365251179572577E-2</v>
      </c>
      <c r="AL45" s="6">
        <f t="shared" si="4"/>
        <v>0.13494310296974746</v>
      </c>
      <c r="AM45" s="6">
        <f t="shared" si="5"/>
        <v>2.0760477379961145E-2</v>
      </c>
      <c r="AN45" s="6">
        <f t="shared" si="6"/>
        <v>0.57091312794893145</v>
      </c>
      <c r="AO45" s="7">
        <v>4</v>
      </c>
      <c r="AP45" s="7">
        <v>1</v>
      </c>
      <c r="AQ45" s="7">
        <v>0</v>
      </c>
      <c r="AR45" s="10">
        <v>0</v>
      </c>
      <c r="AS45" s="7">
        <v>0</v>
      </c>
      <c r="AT45" s="7">
        <v>0</v>
      </c>
      <c r="AU45" s="7">
        <v>0</v>
      </c>
      <c r="AV45" s="7">
        <v>0</v>
      </c>
      <c r="AW45" s="7">
        <v>31</v>
      </c>
      <c r="AX45" s="7">
        <v>1</v>
      </c>
      <c r="AY45" s="5">
        <v>7</v>
      </c>
      <c r="AZ45" s="7">
        <v>1</v>
      </c>
      <c r="BA45" s="7">
        <v>1</v>
      </c>
      <c r="BB45" s="7">
        <v>1</v>
      </c>
      <c r="BC45" s="7">
        <v>1</v>
      </c>
      <c r="BD45" s="7">
        <v>1</v>
      </c>
      <c r="BE45" s="3">
        <v>0</v>
      </c>
      <c r="BF45" s="3">
        <v>0</v>
      </c>
      <c r="BG45" s="3">
        <v>0</v>
      </c>
      <c r="BH45" s="3">
        <v>0</v>
      </c>
      <c r="BI45" s="3">
        <v>0</v>
      </c>
      <c r="BJ45" s="3">
        <v>0</v>
      </c>
      <c r="BK45" s="3">
        <v>0</v>
      </c>
      <c r="BL45" s="3">
        <v>0</v>
      </c>
      <c r="BM45" s="3">
        <v>0</v>
      </c>
    </row>
    <row r="46" spans="1:65" ht="20.100000000000001" customHeight="1" x14ac:dyDescent="0.3">
      <c r="A46" s="3" t="s">
        <v>23</v>
      </c>
      <c r="B46" s="3">
        <v>9</v>
      </c>
      <c r="C46" s="8">
        <v>44255</v>
      </c>
      <c r="D46" s="9">
        <v>0.68055555555555547</v>
      </c>
      <c r="E46" s="4">
        <v>67</v>
      </c>
      <c r="F46" s="3">
        <v>0</v>
      </c>
      <c r="G46" s="3">
        <v>0</v>
      </c>
      <c r="H46" s="3">
        <v>0</v>
      </c>
      <c r="I46" s="3">
        <v>0</v>
      </c>
      <c r="J46" s="9">
        <v>0.28125</v>
      </c>
      <c r="K46" s="3">
        <v>138.80000000000001</v>
      </c>
      <c r="L46" s="11">
        <f t="shared" ref="L46" si="50">K46-K45</f>
        <v>0</v>
      </c>
      <c r="M46" s="5">
        <f t="shared" ref="M46" si="51">AB45</f>
        <v>1801.5</v>
      </c>
      <c r="N46" s="11">
        <v>31</v>
      </c>
      <c r="O46" s="11">
        <v>33</v>
      </c>
      <c r="P46" s="11">
        <v>10.625</v>
      </c>
      <c r="Q46" s="11">
        <v>10.75</v>
      </c>
      <c r="R46" s="11">
        <v>20</v>
      </c>
      <c r="S46" s="11">
        <v>20.25</v>
      </c>
      <c r="T46" s="11">
        <v>14</v>
      </c>
      <c r="U46" s="11">
        <v>14</v>
      </c>
      <c r="V46" s="11">
        <v>17</v>
      </c>
      <c r="W46" s="11">
        <v>15</v>
      </c>
      <c r="X46" s="11">
        <v>7</v>
      </c>
      <c r="Y46" s="11">
        <v>7</v>
      </c>
      <c r="Z46" s="3" t="s">
        <v>341</v>
      </c>
      <c r="AA46" s="10" t="s">
        <v>340</v>
      </c>
      <c r="AB46" s="5">
        <f>140+120+60+322+200+106.7+120+210+10+60+60+663+322+200+106.7</f>
        <v>2700.3999999999996</v>
      </c>
      <c r="AC46" s="6">
        <f>10+14+5+29+2+6.7+0.6+0+0.5+7+0+25.7+29+2+6.7</f>
        <v>138.19999999999999</v>
      </c>
      <c r="AD46" s="6">
        <f>3+2+3.5+4+0+4.7+0.3+0+0+6.5+0+5.95+4+0+4.7</f>
        <v>38.650000000000006</v>
      </c>
      <c r="AE46" s="6">
        <f>12+0+1+4+4+8+1.8+2+1+0+0+36.87+4+4+8</f>
        <v>86.669999999999987</v>
      </c>
      <c r="AF46" s="6">
        <f>0+0+2+17+42+1.3+30.3+54+3+0+17+76.1+17+42+1.3</f>
        <v>303</v>
      </c>
      <c r="AG46" s="6">
        <f>0+0+0+18+4+0+4.2+6+1+0+0+13.1+18+4+0</f>
        <v>68.300000000000011</v>
      </c>
      <c r="AH46" s="6">
        <f>140+0+15+14+40+253.3+6+2+0+0+0+1035.8+14+40+253.3</f>
        <v>1813.3999999999999</v>
      </c>
      <c r="AI46" s="6">
        <f t="shared" si="1"/>
        <v>5.1177603318026961E-2</v>
      </c>
      <c r="AJ46" s="6">
        <f t="shared" si="2"/>
        <v>1.4312694415642131E-2</v>
      </c>
      <c r="AK46" s="6">
        <f t="shared" si="3"/>
        <v>3.2095245148866837E-2</v>
      </c>
      <c r="AL46" s="6">
        <f t="shared" si="4"/>
        <v>0.11220559917049328</v>
      </c>
      <c r="AM46" s="6">
        <f t="shared" si="5"/>
        <v>2.5292549251962681E-2</v>
      </c>
      <c r="AN46" s="6">
        <f t="shared" si="6"/>
        <v>0.67153014368241748</v>
      </c>
      <c r="AO46" s="7">
        <v>4</v>
      </c>
      <c r="AP46" s="7">
        <v>1</v>
      </c>
      <c r="AQ46" s="7">
        <v>0</v>
      </c>
      <c r="AR46" s="10">
        <v>0</v>
      </c>
      <c r="AS46" s="7">
        <v>0</v>
      </c>
      <c r="AT46" s="7">
        <v>0</v>
      </c>
      <c r="AU46" s="7">
        <v>0</v>
      </c>
      <c r="AV46" s="7">
        <v>0</v>
      </c>
      <c r="AW46" s="7">
        <v>30</v>
      </c>
      <c r="AX46" s="7">
        <v>1</v>
      </c>
      <c r="AY46" s="5">
        <v>6.25</v>
      </c>
      <c r="AZ46" s="7">
        <v>1</v>
      </c>
      <c r="BA46" s="7">
        <v>1</v>
      </c>
      <c r="BB46" s="7">
        <v>1</v>
      </c>
      <c r="BC46" s="7">
        <v>1</v>
      </c>
      <c r="BD46" s="7">
        <v>1</v>
      </c>
      <c r="BE46" s="3">
        <v>0</v>
      </c>
      <c r="BF46" s="3">
        <v>0</v>
      </c>
      <c r="BG46" s="3">
        <v>0</v>
      </c>
      <c r="BH46" s="3">
        <v>1</v>
      </c>
      <c r="BI46" s="3">
        <v>0</v>
      </c>
      <c r="BJ46" s="3">
        <v>0</v>
      </c>
      <c r="BK46" s="3">
        <v>0</v>
      </c>
      <c r="BL46" s="3">
        <v>0</v>
      </c>
      <c r="BM46" s="3">
        <v>0</v>
      </c>
    </row>
    <row r="47" spans="1:65" ht="20.100000000000001" customHeight="1" x14ac:dyDescent="0.3">
      <c r="A47" s="3" t="s">
        <v>15</v>
      </c>
      <c r="B47" s="3">
        <v>10</v>
      </c>
      <c r="C47" s="8">
        <v>44256</v>
      </c>
      <c r="D47" s="9">
        <v>0.625</v>
      </c>
      <c r="E47" s="4">
        <v>75</v>
      </c>
      <c r="F47" s="3">
        <v>0</v>
      </c>
      <c r="G47" s="3">
        <v>0</v>
      </c>
      <c r="H47" s="3">
        <v>0</v>
      </c>
      <c r="I47" s="3">
        <v>0</v>
      </c>
      <c r="J47" s="9">
        <v>0.30902777777777779</v>
      </c>
      <c r="K47" s="3">
        <v>138.80000000000001</v>
      </c>
      <c r="L47" s="11">
        <f t="shared" ref="L47" si="52">K47-K46</f>
        <v>0</v>
      </c>
      <c r="M47" s="5">
        <f t="shared" ref="M47" si="53">AB46</f>
        <v>2700.3999999999996</v>
      </c>
      <c r="N47" s="11">
        <v>31</v>
      </c>
      <c r="O47" s="11">
        <v>32.25</v>
      </c>
      <c r="P47" s="11">
        <v>10.75</v>
      </c>
      <c r="Q47" s="11">
        <v>10.75</v>
      </c>
      <c r="R47" s="11">
        <v>19.75</v>
      </c>
      <c r="S47" s="11">
        <v>19.75</v>
      </c>
      <c r="T47" s="11">
        <v>15</v>
      </c>
      <c r="U47" s="11">
        <v>14</v>
      </c>
      <c r="V47" s="11">
        <v>16</v>
      </c>
      <c r="W47" s="11">
        <v>16</v>
      </c>
      <c r="X47" s="11">
        <v>7</v>
      </c>
      <c r="Y47" s="11">
        <v>7</v>
      </c>
      <c r="Z47" s="3" t="s">
        <v>344</v>
      </c>
      <c r="AA47" s="10" t="s">
        <v>343</v>
      </c>
      <c r="AB47" s="5">
        <f>210+663+106.7+80+106.7+20+160+130+45</f>
        <v>1521.4</v>
      </c>
      <c r="AC47" s="6">
        <f>0+25.7+6.7+0.4+6.7+1.5+0.8+2+3.75</f>
        <v>47.55</v>
      </c>
      <c r="AD47" s="6">
        <f>0+5.95+4.7+0.2+4.7+1+0.4+0+0</f>
        <v>16.95</v>
      </c>
      <c r="AE47" s="6">
        <f>2+36.87+8+1.2+8+2+2.4+18+1.5</f>
        <v>79.97</v>
      </c>
      <c r="AF47" s="6">
        <f>54+76.1+1.3+20.2+1.3+0+40.4+9+1.5</f>
        <v>203.8</v>
      </c>
      <c r="AG47" s="6">
        <f>6+13.1+0+2.8+0+0+5.6+2+0</f>
        <v>29.5</v>
      </c>
      <c r="AH47" s="6">
        <f>2+1035.8+253.3+4+253.3+100+8+320+172.5</f>
        <v>2148.8999999999996</v>
      </c>
      <c r="AI47" s="6">
        <f t="shared" si="1"/>
        <v>3.1254108058367293E-2</v>
      </c>
      <c r="AJ47" s="6">
        <f t="shared" si="2"/>
        <v>1.114105429209938E-2</v>
      </c>
      <c r="AK47" s="6">
        <f t="shared" si="3"/>
        <v>5.2563428421191001E-2</v>
      </c>
      <c r="AL47" s="6">
        <f t="shared" si="4"/>
        <v>0.13395556724069935</v>
      </c>
      <c r="AM47" s="6">
        <f t="shared" si="5"/>
        <v>1.9390035493624291E-2</v>
      </c>
      <c r="AN47" s="6">
        <f t="shared" si="6"/>
        <v>1.4124490600762452</v>
      </c>
      <c r="AO47" s="7">
        <v>4</v>
      </c>
      <c r="AP47" s="7">
        <v>1</v>
      </c>
      <c r="AQ47" s="7">
        <v>0</v>
      </c>
      <c r="AR47" s="10">
        <v>0</v>
      </c>
      <c r="AS47" s="7">
        <v>0</v>
      </c>
      <c r="AT47" s="7">
        <v>0</v>
      </c>
      <c r="AU47" s="7">
        <v>0</v>
      </c>
      <c r="AV47" s="7">
        <v>0</v>
      </c>
      <c r="AW47" s="7">
        <v>30</v>
      </c>
      <c r="AX47" s="7">
        <v>1</v>
      </c>
      <c r="AY47" s="5">
        <v>7.5</v>
      </c>
      <c r="AZ47" s="7">
        <v>1</v>
      </c>
      <c r="BA47" s="7">
        <v>1</v>
      </c>
      <c r="BB47" s="7">
        <v>1</v>
      </c>
      <c r="BC47" s="7">
        <v>1</v>
      </c>
      <c r="BD47" s="7">
        <v>1</v>
      </c>
      <c r="BE47" s="3">
        <v>1</v>
      </c>
      <c r="BF47" s="3">
        <v>0</v>
      </c>
      <c r="BG47" s="3">
        <v>0</v>
      </c>
      <c r="BH47" s="3">
        <v>0</v>
      </c>
      <c r="BI47" s="3">
        <v>0</v>
      </c>
      <c r="BJ47" s="3">
        <v>0</v>
      </c>
      <c r="BK47" s="3">
        <v>0</v>
      </c>
      <c r="BL47" s="3">
        <v>0</v>
      </c>
      <c r="BM47" s="3">
        <v>0</v>
      </c>
    </row>
    <row r="48" spans="1:65" ht="20.100000000000001" customHeight="1" x14ac:dyDescent="0.3">
      <c r="A48" s="3" t="s">
        <v>16</v>
      </c>
      <c r="B48" s="3">
        <v>11</v>
      </c>
      <c r="C48" s="8">
        <v>44257</v>
      </c>
      <c r="D48" s="9">
        <v>0.625</v>
      </c>
      <c r="E48" s="4">
        <v>76</v>
      </c>
      <c r="F48" s="3">
        <v>0</v>
      </c>
      <c r="G48" s="3">
        <v>0</v>
      </c>
      <c r="H48" s="3">
        <v>0</v>
      </c>
      <c r="I48" s="3">
        <v>0</v>
      </c>
      <c r="J48" s="9">
        <v>0.34027777777777773</v>
      </c>
      <c r="K48" s="3">
        <v>140.4</v>
      </c>
      <c r="L48" s="11">
        <f t="shared" ref="L48" si="54">K48-K47</f>
        <v>1.5999999999999943</v>
      </c>
      <c r="M48" s="5">
        <f t="shared" ref="M48" si="55">AB47</f>
        <v>1521.4</v>
      </c>
      <c r="N48" s="11">
        <v>31.5</v>
      </c>
      <c r="O48" s="11">
        <v>32.25</v>
      </c>
      <c r="P48" s="11">
        <v>10.875</v>
      </c>
      <c r="Q48" s="11">
        <v>10.75</v>
      </c>
      <c r="R48" s="11">
        <v>19.75</v>
      </c>
      <c r="S48" s="11">
        <v>20.25</v>
      </c>
      <c r="T48" s="11">
        <v>13</v>
      </c>
      <c r="U48" s="11">
        <v>11</v>
      </c>
      <c r="V48" s="11">
        <v>17</v>
      </c>
      <c r="W48" s="11">
        <v>16</v>
      </c>
      <c r="X48" s="11">
        <v>7</v>
      </c>
      <c r="Y48" s="11">
        <v>7</v>
      </c>
      <c r="Z48" s="3" t="s">
        <v>351</v>
      </c>
      <c r="AA48" s="10" t="s">
        <v>345</v>
      </c>
      <c r="AB48" s="5">
        <f>210+60+120+20+120+120+400+280+200</f>
        <v>1530</v>
      </c>
      <c r="AC48" s="6">
        <f>15+5+14+1+0+14+4+20+1</f>
        <v>74</v>
      </c>
      <c r="AD48" s="6">
        <f>4.5+3.5+2+0+0+13+0+12+0.5</f>
        <v>35.5</v>
      </c>
      <c r="AE48" s="6">
        <f>18+1+0+2+0+0+8+20+3</f>
        <v>52</v>
      </c>
      <c r="AF48" s="6">
        <f>0+2+0+6+34+0+84+0+50.5</f>
        <v>176.5</v>
      </c>
      <c r="AG48" s="6">
        <f>0+0+0+2+0+0+8+0+7</f>
        <v>17</v>
      </c>
      <c r="AH48" s="6">
        <f>210+15+0+0+0+0+80+680+10</f>
        <v>995</v>
      </c>
      <c r="AI48" s="6">
        <f t="shared" si="1"/>
        <v>4.8366013071895426E-2</v>
      </c>
      <c r="AJ48" s="6">
        <f t="shared" si="2"/>
        <v>2.3202614379084968E-2</v>
      </c>
      <c r="AK48" s="6">
        <f t="shared" si="3"/>
        <v>3.3986928104575161E-2</v>
      </c>
      <c r="AL48" s="6">
        <f t="shared" si="4"/>
        <v>0.11535947712418301</v>
      </c>
      <c r="AM48" s="6">
        <f t="shared" si="5"/>
        <v>1.1111111111111112E-2</v>
      </c>
      <c r="AN48" s="6">
        <f t="shared" si="6"/>
        <v>0.65032679738562094</v>
      </c>
      <c r="AO48" s="7">
        <v>4</v>
      </c>
      <c r="AP48" s="7">
        <v>3</v>
      </c>
      <c r="AQ48" s="7">
        <v>0</v>
      </c>
      <c r="AR48" s="10">
        <v>0</v>
      </c>
      <c r="AS48" s="7">
        <v>0</v>
      </c>
      <c r="AT48" s="7">
        <v>0</v>
      </c>
      <c r="AU48" s="7">
        <v>0</v>
      </c>
      <c r="AV48" s="7">
        <v>0</v>
      </c>
      <c r="AW48" s="7">
        <v>30</v>
      </c>
      <c r="AX48" s="7">
        <v>1</v>
      </c>
      <c r="AY48" s="5">
        <v>6</v>
      </c>
      <c r="AZ48" s="7">
        <v>1</v>
      </c>
      <c r="BA48" s="7">
        <v>1</v>
      </c>
      <c r="BB48" s="7">
        <v>1</v>
      </c>
      <c r="BC48" s="7">
        <v>1</v>
      </c>
      <c r="BD48" s="7">
        <v>1</v>
      </c>
      <c r="BE48" s="7">
        <v>0</v>
      </c>
      <c r="BF48" s="3">
        <v>0</v>
      </c>
      <c r="BG48" s="3">
        <v>0</v>
      </c>
      <c r="BH48" s="3">
        <v>2</v>
      </c>
      <c r="BI48" s="3">
        <v>1</v>
      </c>
      <c r="BJ48" s="3">
        <v>0</v>
      </c>
      <c r="BK48" s="3">
        <v>0</v>
      </c>
      <c r="BL48" s="3">
        <v>0</v>
      </c>
      <c r="BM48" s="3">
        <v>0</v>
      </c>
    </row>
    <row r="49" spans="1:65" ht="20.100000000000001" customHeight="1" x14ac:dyDescent="0.3">
      <c r="A49" s="3" t="s">
        <v>17</v>
      </c>
      <c r="B49" s="3">
        <v>12</v>
      </c>
      <c r="C49" s="8">
        <v>44258</v>
      </c>
      <c r="D49" s="9">
        <v>0.625</v>
      </c>
      <c r="E49" s="4">
        <v>52</v>
      </c>
      <c r="F49" s="3">
        <v>0</v>
      </c>
      <c r="G49" s="3">
        <v>0</v>
      </c>
      <c r="H49" s="3">
        <v>0</v>
      </c>
      <c r="I49" s="3">
        <v>0</v>
      </c>
      <c r="J49" s="9">
        <v>0.2986111111111111</v>
      </c>
      <c r="K49" s="3">
        <v>137.80000000000001</v>
      </c>
      <c r="L49" s="11">
        <f t="shared" ref="L49" si="56">K49-K48</f>
        <v>-2.5999999999999943</v>
      </c>
      <c r="M49" s="5">
        <f t="shared" ref="M49" si="57">AB48</f>
        <v>1530</v>
      </c>
      <c r="N49" s="11">
        <v>31.25</v>
      </c>
      <c r="O49" s="11">
        <v>33.25</v>
      </c>
      <c r="P49" s="11">
        <v>10.875</v>
      </c>
      <c r="Q49" s="11">
        <v>10.875</v>
      </c>
      <c r="R49" s="11">
        <v>19.75</v>
      </c>
      <c r="S49" s="11">
        <v>19.875</v>
      </c>
      <c r="T49" s="11">
        <v>13</v>
      </c>
      <c r="U49" s="11">
        <v>13</v>
      </c>
      <c r="V49" s="11">
        <v>15</v>
      </c>
      <c r="W49" s="11">
        <v>15</v>
      </c>
      <c r="X49" s="11">
        <v>7</v>
      </c>
      <c r="Y49" s="11">
        <v>7</v>
      </c>
      <c r="Z49" s="3" t="s">
        <v>355</v>
      </c>
      <c r="AA49" s="10" t="s">
        <v>354</v>
      </c>
      <c r="AB49" s="5">
        <f>783+70+20+80+570+92+81+50+81+270+130</f>
        <v>2227</v>
      </c>
      <c r="AC49" s="6">
        <f>9.17+5+1.5+5+24+0+0+2+0+24+8</f>
        <v>78.67</v>
      </c>
      <c r="AD49" s="6">
        <f>2.5+3+1+3.5+6+0+0+1.17+2+5</f>
        <v>24.17</v>
      </c>
      <c r="AE49" s="6">
        <f>45+5+2+6+37+2+2+0.33+2+9+2</f>
        <v>112.33</v>
      </c>
      <c r="AF49" s="6">
        <f>138.33+0+0+1+58+24+21+8+21+9+28</f>
        <v>308.33000000000004</v>
      </c>
      <c r="AG49" s="6">
        <f>21.67+0+0+0+5+2+4+0+4+6+3</f>
        <v>45.67</v>
      </c>
      <c r="AH49" s="6">
        <f>1600+170+100+190+480+0+2+28.33+2+180+1</f>
        <v>2753.33</v>
      </c>
      <c r="AI49" s="6">
        <f t="shared" si="1"/>
        <v>3.5325550067355188E-2</v>
      </c>
      <c r="AJ49" s="6">
        <f t="shared" si="2"/>
        <v>1.085316569375842E-2</v>
      </c>
      <c r="AK49" s="6">
        <f t="shared" si="3"/>
        <v>5.0440053884149079E-2</v>
      </c>
      <c r="AL49" s="6">
        <f t="shared" si="4"/>
        <v>0.138450830713965</v>
      </c>
      <c r="AM49" s="6">
        <f t="shared" si="5"/>
        <v>2.0507409070498431E-2</v>
      </c>
      <c r="AN49" s="6">
        <f t="shared" si="6"/>
        <v>1.236340368208352</v>
      </c>
      <c r="AO49" s="7">
        <v>4</v>
      </c>
      <c r="AP49" s="7">
        <v>1</v>
      </c>
      <c r="AQ49" s="7">
        <v>0</v>
      </c>
      <c r="AR49" s="10">
        <v>0</v>
      </c>
      <c r="AS49" s="7">
        <v>0</v>
      </c>
      <c r="AT49" s="7">
        <v>0</v>
      </c>
      <c r="AU49" s="7">
        <v>0</v>
      </c>
      <c r="AV49" s="7">
        <v>0</v>
      </c>
      <c r="AW49" s="7">
        <v>30</v>
      </c>
      <c r="AX49" s="7">
        <v>1</v>
      </c>
      <c r="AY49" s="5">
        <v>6.5</v>
      </c>
      <c r="AZ49" s="7">
        <v>1</v>
      </c>
      <c r="BA49" s="7">
        <v>1</v>
      </c>
      <c r="BB49" s="7">
        <v>0</v>
      </c>
      <c r="BC49" s="7">
        <v>1</v>
      </c>
      <c r="BD49" s="7">
        <v>1</v>
      </c>
      <c r="BE49" s="7">
        <v>1</v>
      </c>
      <c r="BF49" s="3">
        <v>0</v>
      </c>
      <c r="BG49" s="3">
        <v>0</v>
      </c>
      <c r="BH49" s="3">
        <v>0</v>
      </c>
      <c r="BI49" s="3">
        <v>0</v>
      </c>
      <c r="BJ49" s="3">
        <v>0</v>
      </c>
      <c r="BK49" s="3">
        <v>0</v>
      </c>
      <c r="BL49" s="3">
        <v>0</v>
      </c>
      <c r="BM49" s="3">
        <v>0</v>
      </c>
    </row>
    <row r="50" spans="1:65" ht="20.100000000000001" customHeight="1" x14ac:dyDescent="0.3">
      <c r="A50" s="3" t="s">
        <v>18</v>
      </c>
      <c r="B50" s="3">
        <v>13</v>
      </c>
      <c r="C50" s="8">
        <v>44259</v>
      </c>
      <c r="D50" s="9">
        <v>0.54166666666666663</v>
      </c>
      <c r="E50" s="4">
        <v>66</v>
      </c>
      <c r="F50" s="3">
        <v>0</v>
      </c>
      <c r="G50" s="3">
        <v>0</v>
      </c>
      <c r="H50" s="3">
        <v>0</v>
      </c>
      <c r="I50" s="3">
        <v>1</v>
      </c>
      <c r="J50" s="9">
        <v>0.28125</v>
      </c>
      <c r="K50" s="3">
        <v>137.80000000000001</v>
      </c>
      <c r="L50" s="11">
        <f t="shared" ref="L50" si="58">K50-K49</f>
        <v>0</v>
      </c>
      <c r="M50" s="5">
        <f t="shared" ref="M50" si="59">AB49</f>
        <v>2227</v>
      </c>
      <c r="N50" s="11">
        <v>31.25</v>
      </c>
      <c r="O50" s="11">
        <v>32.75</v>
      </c>
      <c r="P50" s="11">
        <v>10.75</v>
      </c>
      <c r="Q50" s="11">
        <v>10.875</v>
      </c>
      <c r="R50" s="11">
        <v>19.75</v>
      </c>
      <c r="S50" s="11">
        <v>19.9375</v>
      </c>
      <c r="T50" s="11">
        <v>13</v>
      </c>
      <c r="U50" s="11">
        <v>14</v>
      </c>
      <c r="V50" s="11">
        <v>16</v>
      </c>
      <c r="W50" s="11">
        <v>15</v>
      </c>
      <c r="X50" s="11">
        <v>7</v>
      </c>
      <c r="Y50" s="11">
        <v>7</v>
      </c>
      <c r="Z50" s="3" t="s">
        <v>358</v>
      </c>
      <c r="AA50" s="10" t="s">
        <v>357</v>
      </c>
      <c r="AB50" s="5">
        <f>200+160+92+140+60+120+10+120+105+130+60+10+120+92+260+391.67+140+105+150+80</f>
        <v>2545.67</v>
      </c>
      <c r="AC50" s="6">
        <f>2+10+0+10+5+14+0.5+0+0+2+4.5+0.5+0+0+16+4.58+10+0+1.5+5</f>
        <v>85.58</v>
      </c>
      <c r="AD50" s="6">
        <f>0+7+0+3+3.5+2+0+0+0+0+0+0+0+0+10+1.25+6+0+0+3.5</f>
        <v>36.25</v>
      </c>
      <c r="AE50" s="6">
        <f>4+12+2+12+1+0+1+0+1+18+1.5+1+0+2+4+22.5+10+1+3+6</f>
        <v>102</v>
      </c>
      <c r="AF50" s="6">
        <f>42+2+24+0+2+0+3+34+27+9+3+3+34+24+54+69.17+0+27+32.5+1</f>
        <v>390.67</v>
      </c>
      <c r="AG50" s="6">
        <f>4+0+2+0+0+0+1+0+3+2+1.5+1+0+2+6+10.83+0+3+3+0</f>
        <v>39.33</v>
      </c>
      <c r="AH50" s="6">
        <f>40+380+0+140+15+0+0+0+1+320+270+0+0+0+2+800+340+2+30+190</f>
        <v>2530</v>
      </c>
      <c r="AI50" s="6">
        <f t="shared" si="1"/>
        <v>3.3617868773250265E-2</v>
      </c>
      <c r="AJ50" s="6">
        <f t="shared" si="2"/>
        <v>1.4239866125617224E-2</v>
      </c>
      <c r="AK50" s="6">
        <f t="shared" si="3"/>
        <v>4.0068037098288468E-2</v>
      </c>
      <c r="AL50" s="6">
        <f t="shared" si="4"/>
        <v>0.15346451032537603</v>
      </c>
      <c r="AM50" s="6">
        <f t="shared" si="5"/>
        <v>1.5449763716428287E-2</v>
      </c>
      <c r="AN50" s="6">
        <f t="shared" si="6"/>
        <v>0.99384444959480212</v>
      </c>
      <c r="AO50" s="7">
        <v>4</v>
      </c>
      <c r="AP50" s="7">
        <v>1</v>
      </c>
      <c r="AQ50" s="7">
        <v>0</v>
      </c>
      <c r="AR50" s="10" t="s">
        <v>356</v>
      </c>
      <c r="AS50" s="7">
        <v>0</v>
      </c>
      <c r="AT50" s="7">
        <v>0</v>
      </c>
      <c r="AU50" s="7">
        <v>0</v>
      </c>
      <c r="AV50" s="7">
        <v>0</v>
      </c>
      <c r="AW50" s="7">
        <v>30</v>
      </c>
      <c r="AX50" s="7">
        <v>1</v>
      </c>
      <c r="AY50" s="5">
        <v>6</v>
      </c>
      <c r="AZ50" s="7">
        <v>1</v>
      </c>
      <c r="BA50" s="7">
        <v>1</v>
      </c>
      <c r="BB50" s="7">
        <v>0</v>
      </c>
      <c r="BC50" s="7">
        <v>1</v>
      </c>
      <c r="BD50" s="7">
        <v>1</v>
      </c>
      <c r="BE50" s="7">
        <v>1</v>
      </c>
      <c r="BF50" s="3">
        <v>1</v>
      </c>
      <c r="BG50" s="3">
        <v>20</v>
      </c>
      <c r="BH50" s="3">
        <v>4</v>
      </c>
      <c r="BI50" s="3">
        <v>0</v>
      </c>
      <c r="BJ50" s="3">
        <v>0</v>
      </c>
      <c r="BK50" s="3">
        <v>0</v>
      </c>
      <c r="BL50" s="3">
        <v>0</v>
      </c>
      <c r="BM50" s="3">
        <v>0</v>
      </c>
    </row>
    <row r="51" spans="1:65" ht="20.100000000000001" customHeight="1" x14ac:dyDescent="0.3">
      <c r="A51" s="3" t="s">
        <v>137</v>
      </c>
      <c r="B51" s="3">
        <v>14</v>
      </c>
      <c r="C51" s="8">
        <v>44260</v>
      </c>
      <c r="D51" s="9">
        <v>0.80555555555555547</v>
      </c>
      <c r="E51" s="4">
        <v>65</v>
      </c>
      <c r="F51" s="3">
        <v>0</v>
      </c>
      <c r="G51" s="3">
        <v>0</v>
      </c>
      <c r="H51" s="3">
        <v>0</v>
      </c>
      <c r="I51" s="3">
        <v>0</v>
      </c>
      <c r="J51" s="9">
        <v>0.73263888888888884</v>
      </c>
      <c r="K51" s="3">
        <v>141.4</v>
      </c>
      <c r="L51" s="11">
        <f t="shared" ref="L51" si="60">K51-K50</f>
        <v>3.5999999999999943</v>
      </c>
      <c r="M51" s="5">
        <f t="shared" ref="M51" si="61">AB50</f>
        <v>2545.67</v>
      </c>
      <c r="N51" s="11">
        <v>31</v>
      </c>
      <c r="O51" s="11">
        <v>32.5</v>
      </c>
      <c r="P51" s="11">
        <v>10.875</v>
      </c>
      <c r="Q51" s="11">
        <v>10.75</v>
      </c>
      <c r="R51" s="11">
        <v>20.25</v>
      </c>
      <c r="S51" s="11">
        <v>20.25</v>
      </c>
      <c r="T51" s="11">
        <v>12</v>
      </c>
      <c r="U51" s="11">
        <v>11</v>
      </c>
      <c r="V51" s="11">
        <v>16</v>
      </c>
      <c r="W51" s="11">
        <v>15</v>
      </c>
      <c r="X51" s="11">
        <v>7</v>
      </c>
      <c r="Y51" s="11">
        <v>7</v>
      </c>
      <c r="Z51" s="3" t="s">
        <v>363</v>
      </c>
      <c r="AA51" s="10" t="s">
        <v>362</v>
      </c>
      <c r="AB51" s="5">
        <f>1118+80+210+20+60+81+92+130+130+30+200</f>
        <v>2151</v>
      </c>
      <c r="AC51" s="6">
        <f>34.5+5+0+1+0+0+0+8+2+2.5+20</f>
        <v>73</v>
      </c>
      <c r="AD51" s="6">
        <f>9+3.5+0+0+0+0+0+5+0+0+2</f>
        <v>19.5</v>
      </c>
      <c r="AE51" s="6">
        <f>71.33+1+54+6+17+21+24+28+9+1+4</f>
        <v>236.32999999999998</v>
      </c>
      <c r="AF51" s="6">
        <f>140.33+0+6+2+0+4+2+3+2+0+2</f>
        <v>161.33000000000001</v>
      </c>
      <c r="AG51" s="6">
        <f>26.67+190+2+0+0+2+0+1+320+115+0</f>
        <v>656.67000000000007</v>
      </c>
      <c r="AH51" s="6">
        <f>1274+190+2+0+0+2+0+1+320+115+0</f>
        <v>1904</v>
      </c>
      <c r="AI51" s="6">
        <f t="shared" si="1"/>
        <v>3.3937703393770342E-2</v>
      </c>
      <c r="AJ51" s="6">
        <f t="shared" si="2"/>
        <v>9.06555090655509E-3</v>
      </c>
      <c r="AK51" s="6">
        <f t="shared" si="3"/>
        <v>0.10986982798698279</v>
      </c>
      <c r="AL51" s="6">
        <f t="shared" si="4"/>
        <v>7.5002324500232462E-2</v>
      </c>
      <c r="AM51" s="6">
        <f t="shared" si="5"/>
        <v>0.30528591352859141</v>
      </c>
      <c r="AN51" s="6">
        <f t="shared" si="6"/>
        <v>0.88516968851696887</v>
      </c>
      <c r="AO51" s="7">
        <v>4</v>
      </c>
      <c r="AP51" s="7">
        <v>1</v>
      </c>
      <c r="AQ51" s="7">
        <v>0</v>
      </c>
      <c r="AR51" s="10">
        <v>0</v>
      </c>
      <c r="AS51" s="7">
        <v>0</v>
      </c>
      <c r="AT51" s="7">
        <v>0</v>
      </c>
      <c r="AU51" s="7">
        <v>0</v>
      </c>
      <c r="AV51" s="7">
        <v>0</v>
      </c>
      <c r="AW51" s="7">
        <v>30</v>
      </c>
      <c r="AX51" s="7">
        <v>1</v>
      </c>
      <c r="AY51" s="5">
        <v>7</v>
      </c>
      <c r="AZ51" s="7">
        <v>1</v>
      </c>
      <c r="BA51" s="7">
        <v>1</v>
      </c>
      <c r="BB51" s="7">
        <v>0</v>
      </c>
      <c r="BC51" s="7">
        <v>1</v>
      </c>
      <c r="BD51" s="7">
        <v>1</v>
      </c>
      <c r="BE51" s="7">
        <v>1</v>
      </c>
      <c r="BF51" s="3">
        <v>0</v>
      </c>
      <c r="BG51" s="3">
        <v>0</v>
      </c>
      <c r="BH51" s="3">
        <v>4</v>
      </c>
      <c r="BI51" s="3">
        <v>0</v>
      </c>
      <c r="BJ51" s="3">
        <v>1</v>
      </c>
      <c r="BK51" s="3">
        <v>0</v>
      </c>
      <c r="BL51" s="3">
        <v>0</v>
      </c>
      <c r="BM51" s="3">
        <v>0</v>
      </c>
    </row>
    <row r="52" spans="1:65" ht="20.100000000000001" customHeight="1" x14ac:dyDescent="0.3">
      <c r="A52" s="3" t="s">
        <v>19</v>
      </c>
      <c r="B52" s="3">
        <v>15</v>
      </c>
      <c r="C52" s="8">
        <v>44261</v>
      </c>
      <c r="D52" s="9">
        <v>0.25</v>
      </c>
      <c r="E52" s="4">
        <v>46</v>
      </c>
      <c r="F52" s="3">
        <v>0</v>
      </c>
      <c r="G52" s="3">
        <v>0</v>
      </c>
      <c r="H52" s="3">
        <v>0</v>
      </c>
      <c r="I52" s="3">
        <v>0</v>
      </c>
      <c r="J52" s="9">
        <v>0.25694444444444448</v>
      </c>
      <c r="K52" s="3">
        <v>138</v>
      </c>
      <c r="L52" s="11">
        <f t="shared" ref="L52" si="62">K52-K51</f>
        <v>-3.4000000000000057</v>
      </c>
      <c r="M52" s="5">
        <f t="shared" ref="M52" si="63">AB51</f>
        <v>2151</v>
      </c>
      <c r="N52" s="11">
        <v>31</v>
      </c>
      <c r="O52" s="11">
        <v>32.25</v>
      </c>
      <c r="P52" s="11">
        <v>10.75</v>
      </c>
      <c r="Q52" s="11">
        <v>10.75</v>
      </c>
      <c r="R52" s="11">
        <v>19.75</v>
      </c>
      <c r="S52" s="11">
        <v>19.75</v>
      </c>
      <c r="T52" s="11">
        <v>12</v>
      </c>
      <c r="U52" s="11">
        <v>11</v>
      </c>
      <c r="V52" s="11">
        <v>17</v>
      </c>
      <c r="W52" s="11">
        <v>14</v>
      </c>
      <c r="X52" s="11">
        <v>7</v>
      </c>
      <c r="Y52" s="11">
        <v>7</v>
      </c>
      <c r="Z52" s="3" t="s">
        <v>366</v>
      </c>
      <c r="AA52" s="10" t="s">
        <v>365</v>
      </c>
      <c r="AB52" s="5">
        <f>130+105+10+200+30+559+70+81+92+559+140+260+130+200+300+322+260+615</f>
        <v>4063</v>
      </c>
      <c r="AC52" s="6">
        <f>2+0+0.5+20+2.5+17.25+5+0+0+17.25+10+9+2+20+2.5+29+9+0</f>
        <v>146</v>
      </c>
      <c r="AD52" s="6">
        <f>0+0+0+2+0+4.5+3+0+0+4.5+6+5+0+2+0+4+5+0</f>
        <v>36</v>
      </c>
      <c r="AE52" s="6">
        <f>18+1+1+5+1+35.67+5+2+2+35.67+10+2+18+5+1+4+2+0</f>
        <v>148.34</v>
      </c>
      <c r="AF52" s="6">
        <f>9+27+3+4+1+70.17+0+21+24+70.17+0+44+9+4+1+17+44+20</f>
        <v>368.34000000000003</v>
      </c>
      <c r="AG52" s="6">
        <f>2+3+1+2+0+13.33+0+4+2+13.33+0+0+2+2+0+18+0+0</f>
        <v>62.66</v>
      </c>
      <c r="AH52" s="6">
        <f>320+1+0+0+115+637+170+2+0+637+340+140+320+0+115+14+140+30</f>
        <v>2981</v>
      </c>
      <c r="AI52" s="6">
        <f t="shared" si="1"/>
        <v>3.5934038887521537E-2</v>
      </c>
      <c r="AJ52" s="6">
        <f t="shared" si="2"/>
        <v>8.8604479448683247E-3</v>
      </c>
      <c r="AK52" s="6">
        <f t="shared" si="3"/>
        <v>3.6509968003937979E-2</v>
      </c>
      <c r="AL52" s="6">
        <f t="shared" si="4"/>
        <v>9.0657149889244407E-2</v>
      </c>
      <c r="AM52" s="6">
        <f t="shared" si="5"/>
        <v>1.5422101895151365E-2</v>
      </c>
      <c r="AN52" s="6">
        <f t="shared" si="6"/>
        <v>0.73369431454590206</v>
      </c>
      <c r="AO52" s="7">
        <v>4</v>
      </c>
      <c r="AP52" s="7">
        <v>2</v>
      </c>
      <c r="AQ52" s="7">
        <v>0</v>
      </c>
      <c r="AR52" s="10">
        <v>0</v>
      </c>
      <c r="AS52" s="7">
        <v>0</v>
      </c>
      <c r="AT52" s="7">
        <v>0</v>
      </c>
      <c r="AU52" s="7">
        <v>0</v>
      </c>
      <c r="AV52" s="7">
        <v>0</v>
      </c>
      <c r="AW52" s="7">
        <v>30</v>
      </c>
      <c r="AX52" s="7">
        <v>1</v>
      </c>
      <c r="AY52" s="5">
        <v>7</v>
      </c>
      <c r="AZ52" s="7">
        <v>1</v>
      </c>
      <c r="BA52" s="7">
        <v>0</v>
      </c>
      <c r="BB52" s="7">
        <v>0</v>
      </c>
      <c r="BC52" s="7">
        <v>1</v>
      </c>
      <c r="BD52" s="7">
        <v>1</v>
      </c>
      <c r="BE52" s="7">
        <v>2</v>
      </c>
      <c r="BF52" s="3">
        <v>0</v>
      </c>
      <c r="BG52" s="3">
        <v>0</v>
      </c>
      <c r="BH52" s="3">
        <v>2</v>
      </c>
      <c r="BI52" s="3">
        <v>0</v>
      </c>
      <c r="BJ52" s="3">
        <v>0</v>
      </c>
      <c r="BK52" s="11">
        <v>3</v>
      </c>
      <c r="BL52" s="3" t="s">
        <v>966</v>
      </c>
      <c r="BM52" s="3">
        <v>0</v>
      </c>
    </row>
    <row r="53" spans="1:65" ht="20.100000000000001" customHeight="1" x14ac:dyDescent="0.3">
      <c r="A53" s="3" t="s">
        <v>23</v>
      </c>
      <c r="B53" s="3">
        <v>16</v>
      </c>
      <c r="C53" s="8">
        <v>44262</v>
      </c>
      <c r="D53" s="9">
        <v>0.65972222222222221</v>
      </c>
      <c r="E53" s="4">
        <v>63</v>
      </c>
      <c r="F53" s="3">
        <v>0</v>
      </c>
      <c r="G53" s="3">
        <v>0</v>
      </c>
      <c r="H53" s="3">
        <v>0</v>
      </c>
      <c r="I53" s="3">
        <v>0</v>
      </c>
      <c r="J53" s="9">
        <v>0.32291666666666669</v>
      </c>
      <c r="K53" s="3">
        <v>141</v>
      </c>
      <c r="L53" s="11">
        <f t="shared" ref="L53" si="64">K53-K52</f>
        <v>3</v>
      </c>
      <c r="M53" s="5">
        <f t="shared" ref="M53" si="65">AB52</f>
        <v>4063</v>
      </c>
      <c r="N53" s="11">
        <v>31.5</v>
      </c>
      <c r="O53" s="11">
        <v>32.5</v>
      </c>
      <c r="P53" s="11">
        <v>10.75</v>
      </c>
      <c r="Q53" s="11">
        <v>10.75</v>
      </c>
      <c r="R53" s="11">
        <v>19.75</v>
      </c>
      <c r="S53" s="11">
        <v>19.75</v>
      </c>
      <c r="T53" s="11">
        <v>12</v>
      </c>
      <c r="U53" s="11">
        <v>11</v>
      </c>
      <c r="V53" s="11">
        <v>16</v>
      </c>
      <c r="W53" s="11">
        <v>13</v>
      </c>
      <c r="X53" s="11">
        <v>7</v>
      </c>
      <c r="Y53" s="11">
        <v>7</v>
      </c>
      <c r="Z53" s="3" t="s">
        <v>368</v>
      </c>
      <c r="AA53" s="10" t="s">
        <v>369</v>
      </c>
      <c r="AB53" s="5">
        <f>559+106.7+162+92+65+52.5+130+20+190+559+106.7+322+140+120+106.7+200</f>
        <v>2931.6</v>
      </c>
      <c r="AC53" s="6">
        <f>17.25+6.7+0+0+2.25+0+2+1+18+17.25+6.7+29+10+14+6.7+2</f>
        <v>132.85</v>
      </c>
      <c r="AD53" s="6">
        <f>4.5+4.7+0+0+1.25+0+0+0+1.5+4.5+4.7+4+3+2+4.7+0</f>
        <v>34.85</v>
      </c>
      <c r="AE53" s="6">
        <f>35.67+8+4+2+0.5+0.5+18+2+4+35.67+8+4+12+0+8+4</f>
        <v>146.34</v>
      </c>
      <c r="AF53" s="6">
        <f>70.17+1.3+42+24+11+13.5+9+6+4+70.17+1.3+17+0+0+1.3+42</f>
        <v>312.74</v>
      </c>
      <c r="AG53" s="6">
        <f>13.33+0+8+2+0+1.5+2+2+2+13.33+0+18+0+0+0+4</f>
        <v>66.16</v>
      </c>
      <c r="AH53" s="6">
        <f>637+253.3+4+0+35+0.5+320+0+0+637+253.3+14+140+0+253.3+40</f>
        <v>2587.4</v>
      </c>
      <c r="AI53" s="6">
        <f t="shared" si="1"/>
        <v>4.5316550689043528E-2</v>
      </c>
      <c r="AJ53" s="6">
        <f t="shared" si="2"/>
        <v>1.1887706371947061E-2</v>
      </c>
      <c r="AK53" s="6">
        <f t="shared" si="3"/>
        <v>4.9918133442488744E-2</v>
      </c>
      <c r="AL53" s="6">
        <f t="shared" si="4"/>
        <v>0.10667894665029336</v>
      </c>
      <c r="AM53" s="6">
        <f t="shared" si="5"/>
        <v>2.2567881020603083E-2</v>
      </c>
      <c r="AN53" s="6">
        <f t="shared" si="6"/>
        <v>0.88258971210260617</v>
      </c>
      <c r="AO53" s="7">
        <v>3</v>
      </c>
      <c r="AP53" s="7">
        <v>1</v>
      </c>
      <c r="AQ53" s="7">
        <v>0</v>
      </c>
      <c r="AR53" s="10">
        <v>0</v>
      </c>
      <c r="AS53" s="7">
        <v>0</v>
      </c>
      <c r="AT53" s="7">
        <v>0</v>
      </c>
      <c r="AU53" s="7">
        <v>0</v>
      </c>
      <c r="AV53" s="7">
        <v>0</v>
      </c>
      <c r="AW53" s="7">
        <v>30</v>
      </c>
      <c r="AX53" s="7">
        <v>1</v>
      </c>
      <c r="AY53" s="5">
        <v>2.5</v>
      </c>
      <c r="AZ53" s="7">
        <v>1</v>
      </c>
      <c r="BA53" s="7">
        <v>1</v>
      </c>
      <c r="BB53" s="7">
        <v>0</v>
      </c>
      <c r="BC53" s="7">
        <v>1</v>
      </c>
      <c r="BD53" s="7">
        <v>1</v>
      </c>
      <c r="BE53" s="7">
        <v>1</v>
      </c>
      <c r="BF53" s="3">
        <v>0</v>
      </c>
      <c r="BG53" s="3">
        <v>0</v>
      </c>
      <c r="BH53" s="3">
        <v>2</v>
      </c>
      <c r="BI53" s="3">
        <v>0</v>
      </c>
      <c r="BJ53" s="3">
        <v>0</v>
      </c>
      <c r="BK53" s="3">
        <v>0</v>
      </c>
      <c r="BL53" s="3">
        <v>0</v>
      </c>
      <c r="BM53" s="3">
        <v>0</v>
      </c>
    </row>
    <row r="54" spans="1:65" ht="20.100000000000001" customHeight="1" x14ac:dyDescent="0.3">
      <c r="A54" s="3" t="s">
        <v>15</v>
      </c>
      <c r="B54" s="3">
        <v>17</v>
      </c>
      <c r="C54" s="8">
        <v>44263</v>
      </c>
      <c r="D54" s="9">
        <v>0.50694444444444442</v>
      </c>
      <c r="E54" s="4">
        <v>62</v>
      </c>
      <c r="F54" s="3">
        <v>0</v>
      </c>
      <c r="G54" s="3">
        <v>0</v>
      </c>
      <c r="H54" s="3">
        <v>0</v>
      </c>
      <c r="I54" s="3">
        <v>1</v>
      </c>
      <c r="J54" s="9">
        <v>0.20833333333333334</v>
      </c>
      <c r="K54" s="3">
        <v>141</v>
      </c>
      <c r="L54" s="11">
        <f t="shared" ref="L54" si="66">K54-K53</f>
        <v>0</v>
      </c>
      <c r="M54" s="5">
        <f t="shared" ref="M54" si="67">AB53</f>
        <v>2931.6</v>
      </c>
      <c r="N54" s="11">
        <v>31.75</v>
      </c>
      <c r="O54" s="11">
        <v>32.5</v>
      </c>
      <c r="P54" s="11">
        <v>10.75</v>
      </c>
      <c r="Q54" s="11">
        <v>10.875</v>
      </c>
      <c r="R54" s="11">
        <v>20.25</v>
      </c>
      <c r="S54" s="11">
        <v>20.25</v>
      </c>
      <c r="T54" s="11">
        <v>12</v>
      </c>
      <c r="U54" s="11">
        <v>12</v>
      </c>
      <c r="V54" s="11">
        <v>16</v>
      </c>
      <c r="W54" s="11">
        <v>15</v>
      </c>
      <c r="X54" s="11">
        <v>6</v>
      </c>
      <c r="Y54" s="11">
        <v>7</v>
      </c>
      <c r="Z54" s="3" t="s">
        <v>391</v>
      </c>
      <c r="AA54" s="10" t="s">
        <v>378</v>
      </c>
      <c r="AB54" s="5">
        <f>241.5+140+120+106.7+200+60+130+105+62+20+164+30+92+1562+92</f>
        <v>3125.2</v>
      </c>
      <c r="AC54" s="6">
        <f>21.75+10+14+6.7+2+5+2+0+0.1+1+13.5+2.5+0+46.5+0</f>
        <v>125.05000000000001</v>
      </c>
      <c r="AD54" s="6">
        <f>3+3+2+4.7+0+3.5+0+0+0+0+2.5+0+0+4+0</f>
        <v>22.7</v>
      </c>
      <c r="AE54" s="6">
        <f>3+12+0+8+4+1+18+1+0.3+2+4.7+1+2+91.5+2</f>
        <v>150.5</v>
      </c>
      <c r="AF54" s="6">
        <f>12.75+0+0+1.3+42+2+9+27+14.9+6+8.4+1+24+202+24</f>
        <v>374.35</v>
      </c>
      <c r="AG54" s="6">
        <f>13.5+0+0+0+4+0+2+3+2.5+2+0.9+0+2+74.5+2</f>
        <v>106.4</v>
      </c>
      <c r="AH54" s="6">
        <f>10.5+140+0+253.3+40+15+320+1+0+0+4+115+0+3955+0</f>
        <v>4853.8</v>
      </c>
      <c r="AI54" s="6">
        <f t="shared" si="1"/>
        <v>4.0013439139895052E-2</v>
      </c>
      <c r="AJ54" s="6">
        <f t="shared" si="2"/>
        <v>7.2635351337514403E-3</v>
      </c>
      <c r="AK54" s="6">
        <f t="shared" si="3"/>
        <v>4.8156917957250737E-2</v>
      </c>
      <c r="AL54" s="6">
        <f t="shared" si="4"/>
        <v>0.11978433380263664</v>
      </c>
      <c r="AM54" s="6">
        <f t="shared" si="5"/>
        <v>3.4045821067451687E-2</v>
      </c>
      <c r="AN54" s="6">
        <f t="shared" si="6"/>
        <v>1.5531166005375658</v>
      </c>
      <c r="AO54" s="7">
        <v>3</v>
      </c>
      <c r="AP54" s="7">
        <v>7</v>
      </c>
      <c r="AQ54" s="7">
        <v>0</v>
      </c>
      <c r="AR54" s="10" t="s">
        <v>380</v>
      </c>
      <c r="AS54" s="7">
        <v>0</v>
      </c>
      <c r="AT54" s="7" t="s">
        <v>379</v>
      </c>
      <c r="AU54" s="7">
        <v>0</v>
      </c>
      <c r="AV54" s="7">
        <v>10</v>
      </c>
      <c r="AW54" s="7">
        <v>30</v>
      </c>
      <c r="AX54" s="7">
        <v>1</v>
      </c>
      <c r="AY54" s="5">
        <v>8.5</v>
      </c>
      <c r="AZ54" s="7">
        <v>1</v>
      </c>
      <c r="BA54" s="7">
        <v>1</v>
      </c>
      <c r="BB54" s="7">
        <v>1</v>
      </c>
      <c r="BC54" s="7">
        <v>1</v>
      </c>
      <c r="BD54" s="7">
        <v>1</v>
      </c>
      <c r="BE54" s="7">
        <v>1</v>
      </c>
      <c r="BF54" s="3">
        <v>2</v>
      </c>
      <c r="BG54" s="3">
        <f>25+20</f>
        <v>45</v>
      </c>
      <c r="BH54" s="3">
        <v>2</v>
      </c>
      <c r="BI54" s="3">
        <v>1</v>
      </c>
      <c r="BJ54" s="3">
        <v>0</v>
      </c>
      <c r="BK54" s="3">
        <v>0</v>
      </c>
      <c r="BL54" s="3">
        <v>0</v>
      </c>
      <c r="BM54" s="3">
        <v>0</v>
      </c>
    </row>
    <row r="55" spans="1:65" ht="20.100000000000001" customHeight="1" x14ac:dyDescent="0.3">
      <c r="A55" s="3" t="s">
        <v>16</v>
      </c>
      <c r="B55" s="3">
        <v>18</v>
      </c>
      <c r="C55" s="8">
        <v>44264</v>
      </c>
      <c r="D55" s="9">
        <v>0.3125</v>
      </c>
      <c r="E55" s="4">
        <v>44</v>
      </c>
      <c r="F55" s="3">
        <v>0</v>
      </c>
      <c r="G55" s="3">
        <v>0</v>
      </c>
      <c r="H55" s="3">
        <v>0</v>
      </c>
      <c r="I55" s="3">
        <v>0</v>
      </c>
      <c r="J55" s="9">
        <v>0.3125</v>
      </c>
      <c r="K55" s="3">
        <v>139.19999999999999</v>
      </c>
      <c r="L55" s="11">
        <f t="shared" ref="L55" si="68">K55-K54</f>
        <v>-1.8000000000000114</v>
      </c>
      <c r="M55" s="5">
        <f t="shared" ref="M55" si="69">AB54</f>
        <v>3125.2</v>
      </c>
      <c r="N55" s="11">
        <v>31.25</v>
      </c>
      <c r="O55" s="11">
        <v>32.75</v>
      </c>
      <c r="P55" s="11">
        <v>10.75</v>
      </c>
      <c r="Q55" s="11">
        <v>10.75</v>
      </c>
      <c r="R55" s="11">
        <v>19.75</v>
      </c>
      <c r="S55" s="11">
        <v>19.75</v>
      </c>
      <c r="T55" s="11">
        <v>13</v>
      </c>
      <c r="U55" s="11">
        <v>14</v>
      </c>
      <c r="V55" s="11">
        <v>16</v>
      </c>
      <c r="W55" s="11">
        <v>17</v>
      </c>
      <c r="X55" s="11">
        <v>7</v>
      </c>
      <c r="Y55" s="11">
        <v>8</v>
      </c>
      <c r="Z55" s="3" t="s">
        <v>394</v>
      </c>
      <c r="AA55" s="10" t="s">
        <v>393</v>
      </c>
      <c r="AB55" s="5">
        <f>280+60+120+322+800+240+130+105+20+30+164+92</f>
        <v>2363</v>
      </c>
      <c r="AC55" s="6">
        <f>20+5+14+29+8+15+2+0+1+2.5+13.5+0</f>
        <v>110</v>
      </c>
      <c r="AD55" s="6">
        <f>6+3.5+2+4+0+10.5+0+0+0+0+2.5+0</f>
        <v>28.5</v>
      </c>
      <c r="AE55" s="6">
        <f>24+1+0+4+16+18+18+1+2+1+4.7+2</f>
        <v>91.7</v>
      </c>
      <c r="AF55" s="6">
        <f>0+2+0+17+160+3+9+27+6+1+8.4+24</f>
        <v>257.39999999999998</v>
      </c>
      <c r="AG55" s="6">
        <f>0+0+0+18+16+0+2+3+2+0+0.9+2</f>
        <v>43.9</v>
      </c>
      <c r="AH55" s="6">
        <f>280+15+0+14+160+570+320+1+0+115+4+0</f>
        <v>1479</v>
      </c>
      <c r="AI55" s="6">
        <f t="shared" si="1"/>
        <v>4.6550994498518829E-2</v>
      </c>
      <c r="AJ55" s="6">
        <f t="shared" si="2"/>
        <v>1.2060939483707152E-2</v>
      </c>
      <c r="AK55" s="6">
        <f t="shared" si="3"/>
        <v>3.8806601777401611E-2</v>
      </c>
      <c r="AL55" s="6">
        <f t="shared" si="4"/>
        <v>0.10892932712653405</v>
      </c>
      <c r="AM55" s="6">
        <f t="shared" si="5"/>
        <v>1.8578078713499788E-2</v>
      </c>
      <c r="AN55" s="6">
        <f t="shared" si="6"/>
        <v>0.62589928057553956</v>
      </c>
      <c r="AO55" s="7">
        <v>4</v>
      </c>
      <c r="AP55" s="7">
        <v>2</v>
      </c>
      <c r="AQ55" s="7">
        <v>0</v>
      </c>
      <c r="AR55" s="10">
        <v>0</v>
      </c>
      <c r="AS55" s="7">
        <v>0</v>
      </c>
      <c r="AT55" s="7">
        <v>0</v>
      </c>
      <c r="AU55" s="7">
        <v>0</v>
      </c>
      <c r="AV55" s="7">
        <v>0</v>
      </c>
      <c r="AW55" s="7">
        <v>0</v>
      </c>
      <c r="AX55" s="7">
        <v>1</v>
      </c>
      <c r="AY55" s="5">
        <v>6.5</v>
      </c>
      <c r="AZ55" s="7">
        <v>1</v>
      </c>
      <c r="BA55" s="7">
        <v>1</v>
      </c>
      <c r="BB55" s="7">
        <v>1</v>
      </c>
      <c r="BC55" s="7">
        <v>1</v>
      </c>
      <c r="BD55" s="7">
        <v>1</v>
      </c>
      <c r="BE55" s="7">
        <v>1</v>
      </c>
      <c r="BF55" s="7">
        <v>0</v>
      </c>
      <c r="BG55" s="7">
        <v>0</v>
      </c>
      <c r="BH55" s="7">
        <v>2</v>
      </c>
      <c r="BI55" s="7">
        <v>0</v>
      </c>
      <c r="BJ55" s="3">
        <v>0</v>
      </c>
      <c r="BK55" s="3">
        <v>0</v>
      </c>
      <c r="BL55" s="3">
        <v>0</v>
      </c>
      <c r="BM55" s="3">
        <v>0</v>
      </c>
    </row>
    <row r="56" spans="1:65" ht="20.100000000000001" customHeight="1" x14ac:dyDescent="0.3">
      <c r="A56" s="3" t="s">
        <v>17</v>
      </c>
      <c r="B56" s="3">
        <v>19</v>
      </c>
      <c r="C56" s="8">
        <v>44265</v>
      </c>
      <c r="D56" s="9">
        <v>0.27777777777777779</v>
      </c>
      <c r="E56" s="4">
        <v>45</v>
      </c>
      <c r="F56" s="3">
        <v>0</v>
      </c>
      <c r="G56" s="3">
        <v>0</v>
      </c>
      <c r="H56" s="3">
        <v>0</v>
      </c>
      <c r="I56" s="3">
        <v>0</v>
      </c>
      <c r="J56" s="9">
        <v>0.28125</v>
      </c>
      <c r="K56" s="3">
        <v>139.19999999999999</v>
      </c>
      <c r="L56" s="11">
        <f t="shared" ref="L56" si="70">K56-K55</f>
        <v>0</v>
      </c>
      <c r="M56" s="5">
        <f t="shared" ref="M56" si="71">AB55</f>
        <v>2363</v>
      </c>
      <c r="N56" s="11">
        <v>32</v>
      </c>
      <c r="O56" s="11">
        <v>32.75</v>
      </c>
      <c r="P56" s="11">
        <v>10.75</v>
      </c>
      <c r="Q56" s="11">
        <v>10.75</v>
      </c>
      <c r="R56" s="11">
        <v>19.5</v>
      </c>
      <c r="S56" s="11">
        <v>19.75</v>
      </c>
      <c r="T56" s="11">
        <v>12</v>
      </c>
      <c r="U56" s="11">
        <v>13</v>
      </c>
      <c r="V56" s="11">
        <v>15</v>
      </c>
      <c r="W56" s="11">
        <v>15</v>
      </c>
      <c r="X56" s="11">
        <v>7</v>
      </c>
      <c r="Y56" s="11">
        <v>7</v>
      </c>
      <c r="Z56" s="3" t="s">
        <v>395</v>
      </c>
      <c r="AA56" s="10" t="s">
        <v>396</v>
      </c>
      <c r="AB56" s="5">
        <f>130+105+20+15+164+60+92+400+300+135+290+135+300</f>
        <v>2146</v>
      </c>
      <c r="AC56" s="6">
        <f>2+0+1+1.25+13.5+0.5+0+36+14+6+12+6+14</f>
        <v>106.25</v>
      </c>
      <c r="AD56" s="6">
        <f>0+0+0+0+2.5+0+0+4+2+1.3+6+1.3+2</f>
        <v>19.100000000000001</v>
      </c>
      <c r="AE56" s="6">
        <f>18+1+2+0.5+4.7+2+2+16+4+1.5+7+1.5+4</f>
        <v>64.2</v>
      </c>
      <c r="AF56" s="6">
        <f>9+27+6+0.5+8.4+11+24+16+36+18+39+18+36</f>
        <v>248.9</v>
      </c>
      <c r="AG56" s="6">
        <f>2+3+2+0+0.9+7+2+8+2+0+3+0+2</f>
        <v>31.9</v>
      </c>
      <c r="AH56" s="6">
        <f>320+1+0+57.5+4+0+0+1840+260+155+1150+155+260</f>
        <v>4202.5</v>
      </c>
      <c r="AI56" s="6">
        <f t="shared" si="1"/>
        <v>4.9510717614165888E-2</v>
      </c>
      <c r="AJ56" s="6">
        <f t="shared" si="2"/>
        <v>8.900279589934763E-3</v>
      </c>
      <c r="AK56" s="6">
        <f t="shared" si="3"/>
        <v>2.9916123019571295E-2</v>
      </c>
      <c r="AL56" s="6">
        <f t="shared" si="4"/>
        <v>0.11598322460391426</v>
      </c>
      <c r="AM56" s="6">
        <f t="shared" si="5"/>
        <v>1.4864864864864864E-2</v>
      </c>
      <c r="AN56" s="6">
        <f t="shared" si="6"/>
        <v>1.9582945013979496</v>
      </c>
      <c r="AO56" s="7">
        <v>3</v>
      </c>
      <c r="AP56" s="7">
        <v>1</v>
      </c>
      <c r="AQ56" s="7">
        <v>0</v>
      </c>
      <c r="AR56" s="10">
        <v>0</v>
      </c>
      <c r="AS56" s="7">
        <v>0</v>
      </c>
      <c r="AT56" s="7">
        <v>0</v>
      </c>
      <c r="AU56" s="7">
        <v>0</v>
      </c>
      <c r="AV56" s="7">
        <v>0</v>
      </c>
      <c r="AW56" s="7">
        <v>31</v>
      </c>
      <c r="AX56" s="7">
        <v>1</v>
      </c>
      <c r="AY56" s="5">
        <v>8</v>
      </c>
      <c r="AZ56" s="7">
        <v>0</v>
      </c>
      <c r="BA56" s="7">
        <v>1</v>
      </c>
      <c r="BB56" s="7">
        <v>0</v>
      </c>
      <c r="BC56" s="7">
        <v>1</v>
      </c>
      <c r="BD56" s="7">
        <v>1</v>
      </c>
      <c r="BE56" s="7">
        <v>1</v>
      </c>
      <c r="BF56" s="7">
        <v>0</v>
      </c>
      <c r="BG56" s="7">
        <v>0</v>
      </c>
      <c r="BH56" s="7">
        <v>2</v>
      </c>
      <c r="BI56" s="7">
        <v>0</v>
      </c>
      <c r="BJ56" s="3">
        <v>0</v>
      </c>
      <c r="BK56" s="3">
        <v>0</v>
      </c>
      <c r="BL56" s="3">
        <v>0</v>
      </c>
      <c r="BM56" s="3">
        <v>0</v>
      </c>
    </row>
    <row r="57" spans="1:65" ht="20.100000000000001" customHeight="1" x14ac:dyDescent="0.3">
      <c r="A57" s="3" t="s">
        <v>18</v>
      </c>
      <c r="B57" s="3">
        <v>20</v>
      </c>
      <c r="C57" s="8">
        <v>44266</v>
      </c>
      <c r="D57" s="9">
        <v>0.30555555555555552</v>
      </c>
      <c r="E57" s="4">
        <v>43</v>
      </c>
      <c r="F57" s="3">
        <v>0</v>
      </c>
      <c r="G57" s="3">
        <v>0</v>
      </c>
      <c r="H57" s="3">
        <v>0</v>
      </c>
      <c r="I57" s="3">
        <v>0</v>
      </c>
      <c r="J57" s="9">
        <v>0.30694444444444441</v>
      </c>
      <c r="K57" s="3">
        <v>139.19999999999999</v>
      </c>
      <c r="L57" s="11">
        <f t="shared" ref="L57" si="72">K57-K56</f>
        <v>0</v>
      </c>
      <c r="M57" s="5">
        <f t="shared" ref="M57" si="73">AB56</f>
        <v>2146</v>
      </c>
      <c r="N57" s="11">
        <v>32</v>
      </c>
      <c r="O57" s="11">
        <v>32.75</v>
      </c>
      <c r="P57" s="11">
        <v>10.75</v>
      </c>
      <c r="Q57" s="11">
        <v>10.75</v>
      </c>
      <c r="R57" s="11">
        <v>19.75</v>
      </c>
      <c r="S57" s="11">
        <v>19.75</v>
      </c>
      <c r="T57" s="11">
        <v>12</v>
      </c>
      <c r="U57" s="11">
        <v>11</v>
      </c>
      <c r="V57" s="11">
        <v>15</v>
      </c>
      <c r="W57" s="11">
        <v>16</v>
      </c>
      <c r="X57" s="11">
        <v>7</v>
      </c>
      <c r="Y57" s="11">
        <v>7</v>
      </c>
      <c r="Z57" s="3" t="s">
        <v>405</v>
      </c>
      <c r="AA57" s="10" t="s">
        <v>404</v>
      </c>
      <c r="AB57" s="5">
        <f>210+60+240+13.3+160+267+270+150+60+80+130+105+20+60+200+7.5+266.67+80+614+100+300+30</f>
        <v>3423.47</v>
      </c>
      <c r="AC57" s="6">
        <f>15+5+28+0+10+2.67+12+7+5+5+2+0+1+0+20+0.625+2.67+5+24.8+6+14+25</f>
        <v>190.76500000000001</v>
      </c>
      <c r="AD57" s="6">
        <f>4.5+3.5+4+0+7+0+2.6+1+3.5+3.5+0+0+0+0+2+0+0+3.5+6.1+4+2+17.5</f>
        <v>64.7</v>
      </c>
      <c r="AE57" s="6">
        <f>18+1+0+0.3+12+5.33+3+2+1+6+18+1+2+0+5+0.25+5.33+6+26.1+8+4+5</f>
        <v>129.31</v>
      </c>
      <c r="AF57" s="6">
        <f>0+2+0+3.3+2+53.33+36+18+2+1+9+27+6+17+4+0.25+53.33+1+72.9+2+36+10</f>
        <v>356.11</v>
      </c>
      <c r="AG57" s="6">
        <f>0+0+0+1+0+5.33+0+1+0+0+2+3+2+0+2+0+5.33+0+5.5+0+2+0</f>
        <v>29.159999999999997</v>
      </c>
      <c r="AH57" s="6">
        <f>210+15+0+0+380+53.33+310+130+15+190+320+1+0+0+0+28.75+53.33+190+798+280+260+75</f>
        <v>3309.41</v>
      </c>
      <c r="AI57" s="6">
        <f t="shared" si="1"/>
        <v>5.5722702404285715E-2</v>
      </c>
      <c r="AJ57" s="6">
        <f t="shared" si="2"/>
        <v>1.8898953401081362E-2</v>
      </c>
      <c r="AK57" s="6">
        <f t="shared" si="3"/>
        <v>3.7771617686148853E-2</v>
      </c>
      <c r="AL57" s="6">
        <f t="shared" si="4"/>
        <v>0.10402019004109866</v>
      </c>
      <c r="AM57" s="6">
        <f t="shared" si="5"/>
        <v>8.5176735884935455E-3</v>
      </c>
      <c r="AN57" s="6">
        <f t="shared" si="6"/>
        <v>0.96668292697175673</v>
      </c>
      <c r="AO57" s="7">
        <v>4</v>
      </c>
      <c r="AP57" s="7">
        <v>1</v>
      </c>
      <c r="AQ57" s="7">
        <v>0</v>
      </c>
      <c r="AR57" s="10">
        <v>0</v>
      </c>
      <c r="AS57" s="7">
        <v>0</v>
      </c>
      <c r="AT57" s="7">
        <v>0</v>
      </c>
      <c r="AU57" s="7">
        <v>0</v>
      </c>
      <c r="AV57" s="7">
        <v>0</v>
      </c>
      <c r="AW57" s="7">
        <v>30</v>
      </c>
      <c r="AX57" s="7">
        <v>1</v>
      </c>
      <c r="AY57" s="5">
        <v>6</v>
      </c>
      <c r="AZ57" s="7">
        <v>0</v>
      </c>
      <c r="BA57" s="7">
        <v>1</v>
      </c>
      <c r="BB57" s="7">
        <v>0</v>
      </c>
      <c r="BC57" s="7">
        <v>1</v>
      </c>
      <c r="BD57" s="7">
        <v>1</v>
      </c>
      <c r="BE57" s="7">
        <v>1</v>
      </c>
      <c r="BF57" s="7">
        <v>0</v>
      </c>
      <c r="BG57" s="7">
        <v>0</v>
      </c>
      <c r="BH57" s="7">
        <v>2</v>
      </c>
      <c r="BI57" s="7">
        <v>0</v>
      </c>
      <c r="BJ57" s="3">
        <v>0</v>
      </c>
      <c r="BK57" s="3">
        <v>0</v>
      </c>
      <c r="BL57" s="3">
        <v>0</v>
      </c>
      <c r="BM57" s="3">
        <v>0</v>
      </c>
    </row>
    <row r="58" spans="1:65" ht="20.100000000000001" customHeight="1" x14ac:dyDescent="0.3">
      <c r="A58" s="3" t="s">
        <v>137</v>
      </c>
      <c r="B58" s="3">
        <v>21</v>
      </c>
      <c r="C58" s="8">
        <v>44267</v>
      </c>
      <c r="D58" s="9">
        <v>0.23958333333333334</v>
      </c>
      <c r="E58" s="4">
        <v>38</v>
      </c>
      <c r="F58" s="3">
        <v>0</v>
      </c>
      <c r="G58" s="3">
        <v>0</v>
      </c>
      <c r="H58" s="3">
        <v>0</v>
      </c>
      <c r="I58" s="3">
        <v>0</v>
      </c>
      <c r="J58" s="9">
        <v>0.28125</v>
      </c>
      <c r="K58" s="3">
        <v>141.19999999999999</v>
      </c>
      <c r="L58" s="11">
        <f t="shared" ref="L58" si="74">K58-K57</f>
        <v>2</v>
      </c>
      <c r="M58" s="5">
        <f t="shared" ref="M58" si="75">AB57</f>
        <v>3423.47</v>
      </c>
      <c r="N58" s="11">
        <v>31.125</v>
      </c>
      <c r="O58" s="11">
        <v>32.25</v>
      </c>
      <c r="P58" s="11">
        <v>10.75</v>
      </c>
      <c r="Q58" s="11">
        <v>10.75</v>
      </c>
      <c r="R58" s="11">
        <v>19.75</v>
      </c>
      <c r="S58" s="11">
        <v>19.75</v>
      </c>
      <c r="T58" s="11">
        <v>11</v>
      </c>
      <c r="U58" s="11">
        <v>10</v>
      </c>
      <c r="V58" s="11">
        <v>13</v>
      </c>
      <c r="W58" s="11">
        <v>13</v>
      </c>
      <c r="X58" s="11">
        <v>7</v>
      </c>
      <c r="Y58" s="11">
        <v>7</v>
      </c>
      <c r="Z58" s="3" t="s">
        <v>406</v>
      </c>
      <c r="AA58" s="10" t="s">
        <v>407</v>
      </c>
      <c r="AB58" s="5">
        <f>614+100+105+130+20+45+164+92+92+614+100</f>
        <v>2076</v>
      </c>
      <c r="AC58" s="6">
        <f>24.8+6+0+2+1+3.75+13.5+0+0+24.8+6</f>
        <v>81.849999999999994</v>
      </c>
      <c r="AD58" s="6">
        <f>6.1+4+0+0+0+0+2.5+0+0+6.1+4</f>
        <v>22.7</v>
      </c>
      <c r="AE58" s="6">
        <f>26.1+1+18+4.53+1.5+4.7+2+2+26.1+8</f>
        <v>93.93</v>
      </c>
      <c r="AF58" s="6">
        <f>72.9+2+27+9+2+1.5+8.4+24+24+72.9+2</f>
        <v>245.70000000000002</v>
      </c>
      <c r="AG58" s="6">
        <f>5.5+0+3+2+0+0+0.9+2+2+5.5+0</f>
        <v>20.9</v>
      </c>
      <c r="AH58" s="6">
        <f>798+280+1+320+0+178+4+0+0+798+280</f>
        <v>2659</v>
      </c>
      <c r="AI58" s="6">
        <f t="shared" si="1"/>
        <v>3.9426782273603078E-2</v>
      </c>
      <c r="AJ58" s="6">
        <f t="shared" si="2"/>
        <v>1.0934489402697496E-2</v>
      </c>
      <c r="AK58" s="6">
        <f t="shared" si="3"/>
        <v>4.5245664739884395E-2</v>
      </c>
      <c r="AL58" s="6">
        <f t="shared" si="4"/>
        <v>0.11835260115606937</v>
      </c>
      <c r="AM58" s="6">
        <f t="shared" si="5"/>
        <v>1.0067437379576107E-2</v>
      </c>
      <c r="AN58" s="6">
        <f t="shared" si="6"/>
        <v>1.2808285163776494</v>
      </c>
      <c r="AO58" s="7">
        <v>4</v>
      </c>
      <c r="AP58" s="7">
        <v>1</v>
      </c>
      <c r="AQ58" s="7">
        <v>0</v>
      </c>
      <c r="AR58" s="10">
        <v>0</v>
      </c>
      <c r="AS58" s="7">
        <v>0</v>
      </c>
      <c r="AT58" s="7">
        <v>0</v>
      </c>
      <c r="AU58" s="7">
        <v>0</v>
      </c>
      <c r="AV58" s="7">
        <v>0</v>
      </c>
      <c r="AW58" s="7">
        <v>31</v>
      </c>
      <c r="AX58" s="7">
        <v>1</v>
      </c>
      <c r="AY58" s="5">
        <v>7</v>
      </c>
      <c r="AZ58" s="7">
        <v>1</v>
      </c>
      <c r="BA58" s="7">
        <v>1</v>
      </c>
      <c r="BB58" s="7">
        <v>1</v>
      </c>
      <c r="BC58" s="7">
        <v>1</v>
      </c>
      <c r="BD58" s="7">
        <v>1</v>
      </c>
      <c r="BE58" s="7">
        <v>1</v>
      </c>
      <c r="BF58" s="7">
        <v>0</v>
      </c>
      <c r="BG58" s="7">
        <v>0</v>
      </c>
      <c r="BH58" s="7">
        <v>2</v>
      </c>
      <c r="BI58" s="7">
        <v>0</v>
      </c>
      <c r="BJ58" s="3">
        <v>0</v>
      </c>
      <c r="BK58" s="3">
        <v>0</v>
      </c>
      <c r="BL58" s="3">
        <v>0</v>
      </c>
      <c r="BM58" s="3">
        <v>0</v>
      </c>
    </row>
    <row r="59" spans="1:65" ht="20.100000000000001" customHeight="1" x14ac:dyDescent="0.3">
      <c r="A59" s="3" t="s">
        <v>19</v>
      </c>
      <c r="B59" s="3">
        <v>22</v>
      </c>
      <c r="C59" s="8">
        <v>44268</v>
      </c>
      <c r="D59" s="9">
        <v>0.26874999999999999</v>
      </c>
      <c r="E59" s="4">
        <v>43</v>
      </c>
      <c r="F59" s="3">
        <v>0</v>
      </c>
      <c r="G59" s="3">
        <v>0</v>
      </c>
      <c r="H59" s="3">
        <v>0</v>
      </c>
      <c r="I59" s="3">
        <v>0</v>
      </c>
      <c r="J59" s="9">
        <v>0.27083333333333331</v>
      </c>
      <c r="K59" s="3">
        <v>141.19999999999999</v>
      </c>
      <c r="L59" s="11">
        <f t="shared" ref="L59" si="76">K59-K58</f>
        <v>0</v>
      </c>
      <c r="M59" s="5">
        <f t="shared" ref="M59" si="77">AB58</f>
        <v>2076</v>
      </c>
      <c r="N59" s="11">
        <v>31</v>
      </c>
      <c r="O59" s="11">
        <v>32</v>
      </c>
      <c r="P59" s="11">
        <v>10.75</v>
      </c>
      <c r="Q59" s="11">
        <v>10.75</v>
      </c>
      <c r="R59" s="11">
        <v>19.75</v>
      </c>
      <c r="S59" s="11">
        <v>19.75</v>
      </c>
      <c r="T59" s="11">
        <v>12</v>
      </c>
      <c r="U59" s="11">
        <v>10</v>
      </c>
      <c r="V59" s="11">
        <v>13</v>
      </c>
      <c r="W59" s="11">
        <v>12</v>
      </c>
      <c r="X59" s="11">
        <v>7</v>
      </c>
      <c r="Y59" s="11">
        <v>7</v>
      </c>
      <c r="Z59" s="3" t="s">
        <v>409</v>
      </c>
      <c r="AA59" s="10" t="s">
        <v>408</v>
      </c>
      <c r="AB59" s="5">
        <f>614+100+105+130+20+45+164+614+100+400+200</f>
        <v>2492</v>
      </c>
      <c r="AC59" s="6">
        <f>24.8+6+0+2+1+3.75+13.5+24.8+6+4+12</f>
        <v>97.85</v>
      </c>
      <c r="AD59" s="6">
        <f>6.1+4+0+0+0+0+2.5+6.1+4+0+8</f>
        <v>30.7</v>
      </c>
      <c r="AE59" s="6">
        <f>26.1+8+1+18+4.53+1.5+4.7+26.1+8+8+4</f>
        <v>109.93</v>
      </c>
      <c r="AF59" s="6">
        <f>72.9+2+27+9+2+1.5+8.4+72.9+2+80+560</f>
        <v>837.7</v>
      </c>
      <c r="AG59" s="6">
        <f>5.5+0+3+2+0+0+0.9+5.5+0+8+4</f>
        <v>28.9</v>
      </c>
      <c r="AH59" s="6">
        <f>798+280+1+320+178+4+798+280+80+560</f>
        <v>3299</v>
      </c>
      <c r="AI59" s="6">
        <f t="shared" si="1"/>
        <v>3.9265650080256821E-2</v>
      </c>
      <c r="AJ59" s="6">
        <f t="shared" si="2"/>
        <v>1.2319422150882825E-2</v>
      </c>
      <c r="AK59" s="6">
        <f t="shared" si="3"/>
        <v>4.4113162118780101E-2</v>
      </c>
      <c r="AL59" s="6">
        <f t="shared" si="4"/>
        <v>0.33615569823434993</v>
      </c>
      <c r="AM59" s="6">
        <f t="shared" si="5"/>
        <v>1.1597110754414124E-2</v>
      </c>
      <c r="AN59" s="6">
        <f t="shared" si="6"/>
        <v>1.323836276083467</v>
      </c>
      <c r="AO59" s="7">
        <v>4</v>
      </c>
      <c r="AP59" s="7">
        <v>1</v>
      </c>
      <c r="AQ59" s="7">
        <v>0</v>
      </c>
      <c r="AR59" s="10">
        <v>0</v>
      </c>
      <c r="AS59" s="7">
        <v>0</v>
      </c>
      <c r="AT59" s="7">
        <v>0</v>
      </c>
      <c r="AU59" s="7">
        <v>0</v>
      </c>
      <c r="AV59" s="7">
        <v>0</v>
      </c>
      <c r="AW59" s="7">
        <v>31</v>
      </c>
      <c r="AX59" s="7">
        <v>1</v>
      </c>
      <c r="AY59" s="5">
        <v>7</v>
      </c>
      <c r="AZ59" s="7">
        <v>1</v>
      </c>
      <c r="BA59" s="7">
        <v>0</v>
      </c>
      <c r="BB59" s="7">
        <v>1</v>
      </c>
      <c r="BC59" s="7">
        <v>1</v>
      </c>
      <c r="BD59" s="7">
        <v>1</v>
      </c>
      <c r="BE59" s="7">
        <v>1</v>
      </c>
      <c r="BF59" s="7">
        <v>0</v>
      </c>
      <c r="BG59" s="7">
        <v>0</v>
      </c>
      <c r="BH59" s="7">
        <v>2</v>
      </c>
      <c r="BI59" s="7">
        <v>0</v>
      </c>
      <c r="BJ59" s="3">
        <v>0</v>
      </c>
      <c r="BK59" s="6">
        <v>1.5</v>
      </c>
      <c r="BL59" s="3" t="s">
        <v>967</v>
      </c>
      <c r="BM59" s="3">
        <v>0</v>
      </c>
    </row>
    <row r="60" spans="1:65" ht="20.100000000000001" customHeight="1" x14ac:dyDescent="0.3">
      <c r="A60" s="3" t="s">
        <v>23</v>
      </c>
      <c r="B60" s="3">
        <v>23</v>
      </c>
      <c r="C60" s="8">
        <v>44269</v>
      </c>
      <c r="D60" s="9">
        <v>0.30694444444444441</v>
      </c>
      <c r="E60" s="4">
        <v>48</v>
      </c>
      <c r="F60" s="3">
        <v>0</v>
      </c>
      <c r="G60" s="3">
        <v>0</v>
      </c>
      <c r="H60" s="3">
        <v>0</v>
      </c>
      <c r="I60" s="3">
        <v>0</v>
      </c>
      <c r="J60" s="9">
        <v>0.30208333333333331</v>
      </c>
      <c r="K60" s="3">
        <v>141.19999999999999</v>
      </c>
      <c r="L60" s="11">
        <f t="shared" ref="L60" si="78">K60-K59</f>
        <v>0</v>
      </c>
      <c r="M60" s="5">
        <f t="shared" ref="M60" si="79">AB59</f>
        <v>2492</v>
      </c>
      <c r="N60" s="11">
        <v>31.5</v>
      </c>
      <c r="O60" s="11">
        <v>32.5</v>
      </c>
      <c r="P60" s="11">
        <v>10.75</v>
      </c>
      <c r="Q60" s="11">
        <v>10.9375</v>
      </c>
      <c r="R60" s="11">
        <v>19.75</v>
      </c>
      <c r="S60" s="11">
        <v>19.75</v>
      </c>
      <c r="T60" s="11">
        <v>12</v>
      </c>
      <c r="U60" s="11">
        <v>14</v>
      </c>
      <c r="V60" s="11">
        <v>14</v>
      </c>
      <c r="W60" s="11">
        <v>13</v>
      </c>
      <c r="X60" s="11">
        <v>7</v>
      </c>
      <c r="Y60" s="11">
        <v>7</v>
      </c>
      <c r="Z60" s="3" t="s">
        <v>415</v>
      </c>
      <c r="AA60" s="10" t="s">
        <v>414</v>
      </c>
      <c r="AB60" s="5">
        <f>614+100+240+20+90+164+42+105+70+322+90+40+280</f>
        <v>2177</v>
      </c>
      <c r="AC60" s="6">
        <f>24.8+6+4+1+7.5+13.5+0+0+5+29+7.5+0.2+14</f>
        <v>112.5</v>
      </c>
      <c r="AD60" s="6">
        <f>6.1+4+0+0+0+2.5+0+0+3.5+4+5.25+0.1+2</f>
        <v>27.450000000000003</v>
      </c>
      <c r="AE60" s="6">
        <f>26.1+8+36+2+3+4.7+1+1+1+4+1.5+0.6+4</f>
        <v>92.899999999999991</v>
      </c>
      <c r="AF60" s="6">
        <f>72.9+2+12+6+3+8.4+13+27+17+3+10.1+36</f>
        <v>210.4</v>
      </c>
      <c r="AG60" s="6">
        <f>5.5+0+2+2+0+0.9+2+3+0+18+0+1.4+4</f>
        <v>38.799999999999997</v>
      </c>
      <c r="AH60" s="6">
        <f>798+280+720+0+345+4+1+1+15+14+22.5+2+180</f>
        <v>2382.5</v>
      </c>
      <c r="AI60" s="6">
        <f t="shared" si="1"/>
        <v>5.1676619200734956E-2</v>
      </c>
      <c r="AJ60" s="6">
        <f t="shared" si="2"/>
        <v>1.260909508497933E-2</v>
      </c>
      <c r="AK60" s="6">
        <f t="shared" si="3"/>
        <v>4.2673403766651352E-2</v>
      </c>
      <c r="AL60" s="6">
        <f t="shared" si="4"/>
        <v>9.6646761598530084E-2</v>
      </c>
      <c r="AM60" s="6">
        <f t="shared" si="5"/>
        <v>1.78226917776757E-2</v>
      </c>
      <c r="AN60" s="6">
        <f t="shared" si="6"/>
        <v>1.0943959577400091</v>
      </c>
      <c r="AO60" s="7">
        <v>5</v>
      </c>
      <c r="AP60" s="7">
        <v>1</v>
      </c>
      <c r="AQ60" s="7">
        <v>0</v>
      </c>
      <c r="AR60" s="10">
        <v>0</v>
      </c>
      <c r="AS60" s="7">
        <v>0</v>
      </c>
      <c r="AT60" s="7">
        <v>0</v>
      </c>
      <c r="AU60" s="7">
        <v>0</v>
      </c>
      <c r="AV60" s="7">
        <v>0</v>
      </c>
      <c r="AW60" s="7">
        <v>31</v>
      </c>
      <c r="AX60" s="7">
        <v>1</v>
      </c>
      <c r="AY60" s="5">
        <v>7</v>
      </c>
      <c r="AZ60" s="7">
        <v>1</v>
      </c>
      <c r="BA60" s="7">
        <v>1</v>
      </c>
      <c r="BB60" s="7">
        <v>1</v>
      </c>
      <c r="BC60" s="7">
        <v>1</v>
      </c>
      <c r="BD60" s="7">
        <v>1</v>
      </c>
      <c r="BE60" s="7">
        <v>2</v>
      </c>
      <c r="BF60" s="7">
        <v>0</v>
      </c>
      <c r="BG60" s="7">
        <v>0</v>
      </c>
      <c r="BH60" s="7">
        <v>2</v>
      </c>
      <c r="BI60" s="7">
        <v>0</v>
      </c>
      <c r="BJ60" s="3">
        <v>0</v>
      </c>
      <c r="BK60" s="7">
        <v>0</v>
      </c>
      <c r="BL60" s="7">
        <v>0</v>
      </c>
      <c r="BM60" s="3">
        <v>0</v>
      </c>
    </row>
    <row r="61" spans="1:65" ht="20.100000000000001" customHeight="1" x14ac:dyDescent="0.3">
      <c r="A61" s="3" t="s">
        <v>15</v>
      </c>
      <c r="B61" s="3">
        <v>24</v>
      </c>
      <c r="C61" s="8">
        <v>44270</v>
      </c>
      <c r="D61" s="9">
        <v>0.34861111111111115</v>
      </c>
      <c r="E61" s="4">
        <v>49</v>
      </c>
      <c r="F61" s="3">
        <v>0</v>
      </c>
      <c r="G61" s="3">
        <v>0</v>
      </c>
      <c r="H61" s="3">
        <v>0</v>
      </c>
      <c r="I61" s="3">
        <v>0</v>
      </c>
      <c r="J61" s="9">
        <v>0.34861111111111115</v>
      </c>
      <c r="K61" s="3">
        <v>141.19999999999999</v>
      </c>
      <c r="L61" s="11">
        <f t="shared" ref="L61" si="80">K61-K60</f>
        <v>0</v>
      </c>
      <c r="M61" s="5">
        <f t="shared" ref="M61" si="81">AB60</f>
        <v>2177</v>
      </c>
      <c r="N61" s="11">
        <v>31.5</v>
      </c>
      <c r="O61" s="11">
        <v>32.5</v>
      </c>
      <c r="P61" s="11">
        <v>10.75</v>
      </c>
      <c r="Q61" s="11">
        <v>10.75</v>
      </c>
      <c r="R61" s="11">
        <v>19.375</v>
      </c>
      <c r="S61" s="11">
        <v>20.25</v>
      </c>
      <c r="T61" s="11">
        <v>11</v>
      </c>
      <c r="U61" s="11">
        <v>11</v>
      </c>
      <c r="V61" s="11">
        <v>15</v>
      </c>
      <c r="W61" s="11">
        <v>13</v>
      </c>
      <c r="X61" s="11">
        <v>7</v>
      </c>
      <c r="Y61" s="11">
        <v>7</v>
      </c>
      <c r="Z61" s="3" t="s">
        <v>417</v>
      </c>
      <c r="AA61" s="10" t="s">
        <v>416</v>
      </c>
      <c r="AB61" s="5">
        <f>140+120+322+200+100+120+20+45+37.5+40+15+35+27.3+1404+120</f>
        <v>2745.8</v>
      </c>
      <c r="AC61" s="6">
        <f>10+14+29+2+6+2+1+3.75+0+0.67+1.25+0+2.25+41.85+0.6</f>
        <v>114.37</v>
      </c>
      <c r="AD61" s="6">
        <f>3+2+4+0+4+0+0+0+0+0+0+0.33+0.42+3.6+0.3</f>
        <v>17.650000000000002</v>
      </c>
      <c r="AE61" s="6">
        <f>12+0+4+4+8+18+2+1.5+0+6+0.5+9+0.78+82.35+1.8</f>
        <v>149.93</v>
      </c>
      <c r="AF61" s="6">
        <f>0+0+17+42+2+6+6+1.5+9+2+0.5+1+0.26+181.8+30.3</f>
        <v>299.36</v>
      </c>
      <c r="AG61" s="6">
        <f>0+0+18+4+0+1+2+0+1.5+0.3+0+0.33+0.15+67.05+4.2</f>
        <v>98.53</v>
      </c>
      <c r="AH61" s="6">
        <f>140+0+14+40+280+360+0+177.5+0+120+59.2+0.33+0.67+3559.5+6</f>
        <v>4757.2</v>
      </c>
      <c r="AI61" s="6">
        <f t="shared" si="1"/>
        <v>4.1652705950906838E-2</v>
      </c>
      <c r="AJ61" s="6">
        <f t="shared" si="2"/>
        <v>6.427999125937796E-3</v>
      </c>
      <c r="AK61" s="6">
        <f t="shared" si="3"/>
        <v>5.460339427489256E-2</v>
      </c>
      <c r="AL61" s="6">
        <f t="shared" si="4"/>
        <v>0.10902469225726565</v>
      </c>
      <c r="AM61" s="6">
        <f t="shared" si="5"/>
        <v>3.5883895403889574E-2</v>
      </c>
      <c r="AN61" s="6">
        <f t="shared" si="6"/>
        <v>1.7325369655473812</v>
      </c>
      <c r="AO61" s="7">
        <v>4</v>
      </c>
      <c r="AP61" s="7">
        <v>1</v>
      </c>
      <c r="AQ61" s="7">
        <v>0</v>
      </c>
      <c r="AR61" s="10">
        <v>0</v>
      </c>
      <c r="AS61" s="7">
        <v>0</v>
      </c>
      <c r="AT61" s="7">
        <v>0</v>
      </c>
      <c r="AU61" s="7">
        <v>0</v>
      </c>
      <c r="AV61" s="7">
        <v>0</v>
      </c>
      <c r="AW61" s="7">
        <v>31</v>
      </c>
      <c r="AX61" s="7">
        <v>1</v>
      </c>
      <c r="AY61" s="5">
        <v>5.5</v>
      </c>
      <c r="AZ61" s="7">
        <v>1</v>
      </c>
      <c r="BA61" s="7">
        <v>1</v>
      </c>
      <c r="BB61" s="7">
        <v>1</v>
      </c>
      <c r="BC61" s="7">
        <v>1</v>
      </c>
      <c r="BD61" s="7">
        <v>1</v>
      </c>
      <c r="BE61" s="7">
        <v>1.33</v>
      </c>
      <c r="BF61" s="7">
        <v>2</v>
      </c>
      <c r="BG61" s="7">
        <v>60</v>
      </c>
      <c r="BH61" s="7">
        <v>2</v>
      </c>
      <c r="BI61" s="7">
        <v>0</v>
      </c>
      <c r="BJ61" s="3">
        <v>1</v>
      </c>
      <c r="BK61" s="7">
        <v>0</v>
      </c>
      <c r="BL61" s="7">
        <v>0</v>
      </c>
      <c r="BM61" s="3">
        <v>0</v>
      </c>
    </row>
    <row r="62" spans="1:65" ht="20.100000000000001" customHeight="1" x14ac:dyDescent="0.3">
      <c r="A62" s="3" t="s">
        <v>16</v>
      </c>
      <c r="B62" s="3">
        <v>25</v>
      </c>
      <c r="C62" s="8">
        <v>44271</v>
      </c>
      <c r="D62" s="9">
        <v>0.2951388888888889</v>
      </c>
      <c r="E62" s="4">
        <v>39</v>
      </c>
      <c r="F62" s="3">
        <v>0</v>
      </c>
      <c r="G62" s="3">
        <v>0</v>
      </c>
      <c r="H62" s="3">
        <v>0</v>
      </c>
      <c r="I62" s="3">
        <v>0</v>
      </c>
      <c r="J62" s="9">
        <v>0.29166666666666669</v>
      </c>
      <c r="K62" s="3">
        <v>141.19999999999999</v>
      </c>
      <c r="L62" s="11">
        <f t="shared" ref="L62" si="82">K62-K61</f>
        <v>0</v>
      </c>
      <c r="M62" s="5">
        <f t="shared" ref="M62" si="83">AB61</f>
        <v>2745.8</v>
      </c>
      <c r="N62" s="11">
        <v>31.5</v>
      </c>
      <c r="O62" s="11">
        <v>32.75</v>
      </c>
      <c r="P62" s="11">
        <v>10.75</v>
      </c>
      <c r="Q62" s="11">
        <v>10.75</v>
      </c>
      <c r="R62" s="11">
        <v>19.75</v>
      </c>
      <c r="S62" s="11">
        <v>19.75</v>
      </c>
      <c r="T62" s="11">
        <v>11</v>
      </c>
      <c r="U62" s="11">
        <v>11</v>
      </c>
      <c r="V62" s="11">
        <v>17</v>
      </c>
      <c r="W62" s="11">
        <v>15</v>
      </c>
      <c r="X62" s="11">
        <v>7</v>
      </c>
      <c r="Y62" s="11">
        <v>7</v>
      </c>
      <c r="Z62" s="3" t="s">
        <v>420</v>
      </c>
      <c r="AA62" s="10" t="s">
        <v>419</v>
      </c>
      <c r="AB62" s="5">
        <f>280+120+20+45+644+300+200+400+10+60+7.5</f>
        <v>2086.5</v>
      </c>
      <c r="AC62" s="6">
        <f>14+2+1+3.75+58+3+12+10+0.5+0+0.625</f>
        <v>104.875</v>
      </c>
      <c r="AD62" s="6">
        <f>2+0+0+0+8+0+8+5+0+0+0</f>
        <v>23</v>
      </c>
      <c r="AE62" s="6">
        <f>4+18+2+1.5+8+6+16+4+1+0+0.25</f>
        <v>60.75</v>
      </c>
      <c r="AF62" s="6">
        <f>36+6+6+1.5+34+63+4+74+3+17+0.25</f>
        <v>244.75</v>
      </c>
      <c r="AG62" s="6">
        <f>4+1+2+0+36+6+0+1+0+0</f>
        <v>50</v>
      </c>
      <c r="AH62" s="6">
        <f>180+360+0+172.5+28+60+560+0+0+28.75</f>
        <v>1389.25</v>
      </c>
      <c r="AI62" s="6">
        <f t="shared" si="1"/>
        <v>5.0263599329019887E-2</v>
      </c>
      <c r="AJ62" s="6">
        <f t="shared" si="2"/>
        <v>1.1023244668104481E-2</v>
      </c>
      <c r="AK62" s="6">
        <f t="shared" si="3"/>
        <v>2.9115744069015098E-2</v>
      </c>
      <c r="AL62" s="6">
        <f t="shared" si="4"/>
        <v>0.11730170141385095</v>
      </c>
      <c r="AM62" s="6">
        <f t="shared" si="5"/>
        <v>2.3963575365444523E-2</v>
      </c>
      <c r="AN62" s="6">
        <f t="shared" si="6"/>
        <v>0.66582794152887614</v>
      </c>
      <c r="AO62" s="7">
        <v>4</v>
      </c>
      <c r="AP62" s="7">
        <v>1</v>
      </c>
      <c r="AQ62" s="7">
        <v>0</v>
      </c>
      <c r="AR62" s="10">
        <v>0</v>
      </c>
      <c r="AS62" s="7">
        <v>0</v>
      </c>
      <c r="AT62" s="7">
        <v>0</v>
      </c>
      <c r="AU62" s="7">
        <v>0</v>
      </c>
      <c r="AV62" s="7">
        <v>0</v>
      </c>
      <c r="AW62" s="7">
        <v>31</v>
      </c>
      <c r="AX62" s="7">
        <v>1</v>
      </c>
      <c r="AY62" s="5">
        <v>7</v>
      </c>
      <c r="AZ62" s="7">
        <v>1</v>
      </c>
      <c r="BA62" s="7">
        <v>1</v>
      </c>
      <c r="BB62" s="7">
        <v>0</v>
      </c>
      <c r="BC62" s="7">
        <v>1</v>
      </c>
      <c r="BD62" s="7">
        <v>1</v>
      </c>
      <c r="BE62" s="7">
        <v>1</v>
      </c>
      <c r="BF62" s="7">
        <v>0</v>
      </c>
      <c r="BG62" s="7">
        <v>0</v>
      </c>
      <c r="BH62" s="7">
        <v>3</v>
      </c>
      <c r="BI62" s="7">
        <v>0</v>
      </c>
      <c r="BJ62" s="3">
        <v>1</v>
      </c>
      <c r="BK62" s="7">
        <v>0</v>
      </c>
      <c r="BL62" s="7">
        <v>0</v>
      </c>
      <c r="BM62" s="3">
        <v>0</v>
      </c>
    </row>
    <row r="63" spans="1:65" ht="20.100000000000001" customHeight="1" x14ac:dyDescent="0.3">
      <c r="A63" s="3" t="s">
        <v>17</v>
      </c>
      <c r="B63" s="3">
        <v>26</v>
      </c>
      <c r="C63" s="8">
        <v>44272</v>
      </c>
      <c r="D63" s="9">
        <v>0.29166666666666669</v>
      </c>
      <c r="E63" s="4">
        <v>39</v>
      </c>
      <c r="F63" s="3">
        <v>0</v>
      </c>
      <c r="G63" s="3">
        <v>0</v>
      </c>
      <c r="H63" s="3">
        <v>0</v>
      </c>
      <c r="I63" s="3">
        <v>0</v>
      </c>
      <c r="J63" s="9">
        <v>0.29166666666666669</v>
      </c>
      <c r="K63" s="3">
        <v>143</v>
      </c>
      <c r="L63" s="11">
        <f t="shared" ref="L63" si="84">K63-K62</f>
        <v>1.8000000000000114</v>
      </c>
      <c r="M63" s="5">
        <f t="shared" ref="M63" si="85">AB62</f>
        <v>2086.5</v>
      </c>
      <c r="N63" s="11">
        <v>31.5</v>
      </c>
      <c r="O63" s="11">
        <v>32.75</v>
      </c>
      <c r="P63" s="11">
        <v>10.75</v>
      </c>
      <c r="Q63" s="11">
        <v>10.75</v>
      </c>
      <c r="R63" s="11">
        <v>20.25</v>
      </c>
      <c r="S63" s="11">
        <v>20.75</v>
      </c>
      <c r="T63" s="11">
        <v>13</v>
      </c>
      <c r="U63" s="11">
        <v>12</v>
      </c>
      <c r="V63" s="11">
        <v>16</v>
      </c>
      <c r="W63" s="11">
        <v>13</v>
      </c>
      <c r="X63" s="11">
        <v>7</v>
      </c>
      <c r="Y63" s="11">
        <v>7</v>
      </c>
      <c r="Z63" s="3" t="s">
        <v>423</v>
      </c>
      <c r="AA63" s="10" t="s">
        <v>422</v>
      </c>
      <c r="AB63" s="5">
        <f>164+120+20+45+105+644+140+300+200</f>
        <v>1738</v>
      </c>
      <c r="AC63" s="6">
        <f>5.4+2+1+3.75+0+58+7+3+12</f>
        <v>92.15</v>
      </c>
      <c r="AD63" s="6">
        <f>1.2+0+0+0+0+8+1+0+8</f>
        <v>18.2</v>
      </c>
      <c r="AE63" s="6">
        <f>1.7+18+2+1.5+1+8+2+6+16</f>
        <v>56.2</v>
      </c>
      <c r="AF63" s="6">
        <f>29.2+6+6+1.5+27+34+18+63+4</f>
        <v>188.7</v>
      </c>
      <c r="AG63" s="6">
        <f>0.7+1+2+0+3+36+2+6+0</f>
        <v>50.7</v>
      </c>
      <c r="AH63" s="6">
        <f>176+360+0+173+1+28+90+60+560</f>
        <v>1448</v>
      </c>
      <c r="AI63" s="6">
        <f t="shared" si="1"/>
        <v>5.3020713463751444E-2</v>
      </c>
      <c r="AJ63" s="6">
        <f t="shared" si="2"/>
        <v>1.047180667433832E-2</v>
      </c>
      <c r="AK63" s="6">
        <f t="shared" si="3"/>
        <v>3.233601841196778E-2</v>
      </c>
      <c r="AL63" s="6">
        <f t="shared" si="4"/>
        <v>0.10857307249712313</v>
      </c>
      <c r="AM63" s="6">
        <f t="shared" si="5"/>
        <v>2.9171461449942464E-2</v>
      </c>
      <c r="AN63" s="6">
        <f t="shared" si="6"/>
        <v>0.83314154200230151</v>
      </c>
      <c r="AO63" s="7">
        <v>4</v>
      </c>
      <c r="AP63" s="7">
        <v>1</v>
      </c>
      <c r="AQ63" s="7">
        <v>0</v>
      </c>
      <c r="AR63" s="10">
        <v>0</v>
      </c>
      <c r="AS63" s="7">
        <v>0</v>
      </c>
      <c r="AT63" s="7">
        <v>0</v>
      </c>
      <c r="AU63" s="7">
        <v>0</v>
      </c>
      <c r="AV63" s="7">
        <v>0</v>
      </c>
      <c r="AW63" s="7">
        <v>31</v>
      </c>
      <c r="AX63" s="7">
        <v>1</v>
      </c>
      <c r="AY63" s="5">
        <v>6</v>
      </c>
      <c r="AZ63" s="7">
        <v>0</v>
      </c>
      <c r="BA63" s="7">
        <v>1</v>
      </c>
      <c r="BB63" s="7">
        <v>0</v>
      </c>
      <c r="BC63" s="7">
        <v>1</v>
      </c>
      <c r="BD63" s="7">
        <v>1</v>
      </c>
      <c r="BE63" s="7">
        <v>1</v>
      </c>
      <c r="BF63" s="7">
        <v>0</v>
      </c>
      <c r="BG63" s="7">
        <v>0</v>
      </c>
      <c r="BH63" s="7">
        <v>2</v>
      </c>
      <c r="BI63" s="7">
        <v>0</v>
      </c>
      <c r="BJ63" s="3">
        <v>1</v>
      </c>
      <c r="BK63" s="7">
        <v>0</v>
      </c>
      <c r="BL63" s="7">
        <v>0</v>
      </c>
      <c r="BM63" s="3">
        <v>0</v>
      </c>
    </row>
    <row r="64" spans="1:65" ht="20.100000000000001" customHeight="1" x14ac:dyDescent="0.3">
      <c r="A64" s="3" t="s">
        <v>18</v>
      </c>
      <c r="B64" s="3">
        <v>0</v>
      </c>
      <c r="C64" s="8">
        <v>44273</v>
      </c>
      <c r="D64" s="9">
        <v>0.91249999999999998</v>
      </c>
      <c r="E64" s="4">
        <v>55</v>
      </c>
      <c r="F64" s="3">
        <v>0</v>
      </c>
      <c r="G64" s="3">
        <v>0</v>
      </c>
      <c r="H64" s="3">
        <v>0</v>
      </c>
      <c r="I64" s="3">
        <v>0</v>
      </c>
      <c r="J64" s="9">
        <v>0.35416666666666669</v>
      </c>
      <c r="K64" s="3">
        <v>141.4</v>
      </c>
      <c r="L64" s="11">
        <f t="shared" ref="L64" si="86">K64-K63</f>
        <v>-1.5999999999999943</v>
      </c>
      <c r="M64" s="5">
        <f t="shared" ref="M64" si="87">AB63</f>
        <v>1738</v>
      </c>
      <c r="N64" s="11">
        <v>31.25</v>
      </c>
      <c r="O64" s="11">
        <v>32.25</v>
      </c>
      <c r="P64" s="11">
        <v>10.625</v>
      </c>
      <c r="Q64" s="11">
        <v>10.625</v>
      </c>
      <c r="R64" s="11">
        <v>19.75</v>
      </c>
      <c r="S64" s="11">
        <v>19.75</v>
      </c>
      <c r="T64" s="11">
        <v>11</v>
      </c>
      <c r="U64" s="11">
        <v>12</v>
      </c>
      <c r="V64" s="11">
        <v>15</v>
      </c>
      <c r="W64" s="11">
        <v>15</v>
      </c>
      <c r="X64" s="11">
        <v>7</v>
      </c>
      <c r="Y64" s="11">
        <v>7</v>
      </c>
      <c r="Z64" s="3" t="s">
        <v>424</v>
      </c>
      <c r="AA64" s="10" t="s">
        <v>427</v>
      </c>
      <c r="AB64" s="5">
        <f>140+200+133.3+120+105+15+20+160+328+458.5+200</f>
        <v>1879.8</v>
      </c>
      <c r="AC64" s="6">
        <f>10+2+8+2+0+1.25+1+0.8+10.8+11.2+12</f>
        <v>59.05</v>
      </c>
      <c r="AD64" s="6">
        <f>3+0+5.3+0+0+0+0+0.4+2.4+2.2+8</f>
        <v>21.3</v>
      </c>
      <c r="AE64" s="6">
        <f>12+4+10.7+18+1+0.5+2+2.4+3.4+23.6+16</f>
        <v>93.6</v>
      </c>
      <c r="AF64" s="6">
        <f>0+42+2.7+6+27+0.5+6+40.4+58.4+71.7+4</f>
        <v>258.7</v>
      </c>
      <c r="AG64" s="6">
        <f>0+4+0+1+3+0+2+5.6+1.4+12.3+0</f>
        <v>29.3</v>
      </c>
      <c r="AH64" s="6">
        <f>140+40+373+360+1+57.5+0+8+352+603+560</f>
        <v>2494.5</v>
      </c>
      <c r="AI64" s="6">
        <f t="shared" si="1"/>
        <v>3.1412916267688051E-2</v>
      </c>
      <c r="AJ64" s="6">
        <f t="shared" si="2"/>
        <v>1.133099265879349E-2</v>
      </c>
      <c r="AK64" s="6">
        <f t="shared" si="3"/>
        <v>4.9792531120331947E-2</v>
      </c>
      <c r="AL64" s="6">
        <f t="shared" si="4"/>
        <v>0.13762102351313971</v>
      </c>
      <c r="AM64" s="6">
        <f t="shared" si="5"/>
        <v>1.5586764549420151E-2</v>
      </c>
      <c r="AN64" s="6">
        <f t="shared" si="6"/>
        <v>1.3270028726460261</v>
      </c>
      <c r="AO64" s="7">
        <v>3</v>
      </c>
      <c r="AP64" s="7">
        <v>1</v>
      </c>
      <c r="AQ64" s="7">
        <v>1</v>
      </c>
      <c r="AR64" s="10">
        <v>0</v>
      </c>
      <c r="AS64" s="7">
        <v>0</v>
      </c>
      <c r="AT64" s="7">
        <v>0</v>
      </c>
      <c r="AU64" s="7">
        <v>0</v>
      </c>
      <c r="AV64" s="7">
        <v>0</v>
      </c>
      <c r="AW64" s="7">
        <v>0</v>
      </c>
      <c r="AX64" s="7">
        <v>0</v>
      </c>
      <c r="AY64" s="5">
        <v>6.5</v>
      </c>
      <c r="AZ64" s="7">
        <v>0</v>
      </c>
      <c r="BA64" s="7">
        <v>1</v>
      </c>
      <c r="BB64" s="7">
        <v>0</v>
      </c>
      <c r="BC64" s="7">
        <v>1</v>
      </c>
      <c r="BD64" s="7">
        <v>1</v>
      </c>
      <c r="BE64" s="7">
        <v>1</v>
      </c>
      <c r="BF64" s="7">
        <v>0</v>
      </c>
      <c r="BG64" s="7">
        <v>0</v>
      </c>
      <c r="BH64" s="7">
        <v>2</v>
      </c>
      <c r="BI64" s="7">
        <v>0</v>
      </c>
      <c r="BJ64" s="3">
        <v>1</v>
      </c>
      <c r="BK64" s="7">
        <v>0</v>
      </c>
      <c r="BL64" s="7">
        <v>0</v>
      </c>
      <c r="BM64" s="3">
        <v>0</v>
      </c>
    </row>
    <row r="65" spans="1:65" ht="20.100000000000001" customHeight="1" x14ac:dyDescent="0.3">
      <c r="A65" s="3" t="s">
        <v>137</v>
      </c>
      <c r="B65" s="3">
        <v>1</v>
      </c>
      <c r="C65" s="8">
        <v>44274</v>
      </c>
      <c r="D65" s="9">
        <v>0.2722222222222222</v>
      </c>
      <c r="E65" s="4">
        <v>45</v>
      </c>
      <c r="F65" s="3">
        <v>0</v>
      </c>
      <c r="G65" s="3">
        <v>0</v>
      </c>
      <c r="H65" s="3">
        <v>0</v>
      </c>
      <c r="I65" s="3">
        <v>0</v>
      </c>
      <c r="J65" s="9">
        <v>0.27083333333333331</v>
      </c>
      <c r="K65" s="3">
        <v>141.4</v>
      </c>
      <c r="L65" s="11">
        <f t="shared" ref="L65" si="88">K65-K64</f>
        <v>0</v>
      </c>
      <c r="M65" s="5">
        <f t="shared" ref="M65" si="89">AB64</f>
        <v>1879.8</v>
      </c>
      <c r="N65" s="11">
        <v>31.125</v>
      </c>
      <c r="O65" s="11">
        <v>32.25</v>
      </c>
      <c r="P65" s="11">
        <v>10.625</v>
      </c>
      <c r="Q65" s="11">
        <v>10.625</v>
      </c>
      <c r="R65" s="11">
        <v>19.5</v>
      </c>
      <c r="S65" s="11">
        <v>19.75</v>
      </c>
      <c r="T65" s="11">
        <v>12</v>
      </c>
      <c r="U65" s="11">
        <v>14</v>
      </c>
      <c r="V65" s="11">
        <v>15</v>
      </c>
      <c r="W65" s="11">
        <v>13</v>
      </c>
      <c r="X65" s="11">
        <v>7</v>
      </c>
      <c r="Y65" s="11">
        <v>7</v>
      </c>
      <c r="Z65" s="3" t="s">
        <v>430</v>
      </c>
      <c r="AA65" s="10" t="s">
        <v>429</v>
      </c>
      <c r="AB65" s="5">
        <f>120+20+42+105+458.5+458.5+70+80+90</f>
        <v>1444</v>
      </c>
      <c r="AC65" s="6">
        <f>2+1+0+0+11.2+11.2+5+5+7.5</f>
        <v>42.9</v>
      </c>
      <c r="AD65" s="6">
        <f>0+0+0+0+2.2+2.2+3.5+3.5+5.25</f>
        <v>16.649999999999999</v>
      </c>
      <c r="AE65" s="6">
        <f>18+2+1+1+23.6+23.6+1+6+1.5</f>
        <v>77.7</v>
      </c>
      <c r="AF65" s="6">
        <f>6+6+13+27+71.7+71.7+4+1+3</f>
        <v>203.4</v>
      </c>
      <c r="AG65" s="6">
        <f>1+2+2+3+12.3+12.3+0+0+0</f>
        <v>32.6</v>
      </c>
      <c r="AH65" s="6">
        <f>360+0+1+1+602.8+602.8+20+190+22.5</f>
        <v>1800.1</v>
      </c>
      <c r="AI65" s="6">
        <f t="shared" si="1"/>
        <v>2.9709141274238227E-2</v>
      </c>
      <c r="AJ65" s="6">
        <f t="shared" si="2"/>
        <v>1.1530470914127422E-2</v>
      </c>
      <c r="AK65" s="6">
        <f t="shared" si="3"/>
        <v>5.3808864265927979E-2</v>
      </c>
      <c r="AL65" s="6">
        <f t="shared" si="4"/>
        <v>0.14085872576177286</v>
      </c>
      <c r="AM65" s="6">
        <f t="shared" si="5"/>
        <v>2.257617728531856E-2</v>
      </c>
      <c r="AN65" s="6">
        <f t="shared" si="6"/>
        <v>1.246606648199446</v>
      </c>
      <c r="AO65" s="7">
        <v>4</v>
      </c>
      <c r="AP65" s="7">
        <v>1</v>
      </c>
      <c r="AQ65" s="7">
        <v>1</v>
      </c>
      <c r="AR65" s="10">
        <v>0</v>
      </c>
      <c r="AS65" s="7">
        <v>0</v>
      </c>
      <c r="AT65" s="7">
        <v>0</v>
      </c>
      <c r="AU65" s="7">
        <v>0</v>
      </c>
      <c r="AV65" s="7">
        <v>0</v>
      </c>
      <c r="AW65" s="7">
        <v>31</v>
      </c>
      <c r="AX65" s="7">
        <v>1</v>
      </c>
      <c r="AY65" s="5">
        <v>6</v>
      </c>
      <c r="AZ65" s="7">
        <v>1</v>
      </c>
      <c r="BA65" s="7">
        <v>1</v>
      </c>
      <c r="BB65" s="7">
        <v>0</v>
      </c>
      <c r="BC65" s="7">
        <v>1</v>
      </c>
      <c r="BD65" s="7">
        <v>1</v>
      </c>
      <c r="BE65" s="7">
        <v>1</v>
      </c>
      <c r="BF65" s="7">
        <v>0</v>
      </c>
      <c r="BG65" s="7">
        <v>0</v>
      </c>
      <c r="BH65" s="7">
        <v>2</v>
      </c>
      <c r="BI65" s="7">
        <v>0</v>
      </c>
      <c r="BJ65" s="3">
        <v>1</v>
      </c>
      <c r="BK65" s="7">
        <v>0</v>
      </c>
      <c r="BL65" s="7">
        <v>0</v>
      </c>
      <c r="BM65" s="3">
        <v>0</v>
      </c>
    </row>
    <row r="66" spans="1:65" ht="20.100000000000001" customHeight="1" x14ac:dyDescent="0.3">
      <c r="A66" s="3" t="s">
        <v>19</v>
      </c>
      <c r="B66" s="3">
        <v>2</v>
      </c>
      <c r="C66" s="8">
        <v>44275</v>
      </c>
      <c r="D66" s="9">
        <v>0.28125</v>
      </c>
      <c r="E66" s="4">
        <v>55</v>
      </c>
      <c r="F66" s="3">
        <v>0</v>
      </c>
      <c r="G66" s="3">
        <v>0</v>
      </c>
      <c r="H66" s="3">
        <v>0</v>
      </c>
      <c r="I66" s="3">
        <v>0</v>
      </c>
      <c r="J66" s="9">
        <v>0.27777777777777779</v>
      </c>
      <c r="K66" s="3">
        <v>140.4</v>
      </c>
      <c r="L66" s="11">
        <f t="shared" ref="L66" si="90">K66-K65</f>
        <v>-1</v>
      </c>
      <c r="M66" s="5">
        <f t="shared" ref="M66" si="91">AB65</f>
        <v>1444</v>
      </c>
      <c r="N66" s="11">
        <v>31</v>
      </c>
      <c r="O66" s="11">
        <v>32</v>
      </c>
      <c r="P66" s="11">
        <v>10.625</v>
      </c>
      <c r="Q66" s="11">
        <v>10.625</v>
      </c>
      <c r="R66" s="11">
        <v>19.625</v>
      </c>
      <c r="S66" s="11">
        <v>19.625</v>
      </c>
      <c r="T66" s="11">
        <v>13</v>
      </c>
      <c r="U66" s="11">
        <v>12</v>
      </c>
      <c r="V66" s="11">
        <v>16</v>
      </c>
      <c r="W66" s="11">
        <v>17</v>
      </c>
      <c r="X66" s="11">
        <v>7</v>
      </c>
      <c r="Y66" s="11">
        <v>7</v>
      </c>
      <c r="Z66" s="3" t="s">
        <v>445</v>
      </c>
      <c r="AA66" s="10" t="s">
        <v>444</v>
      </c>
      <c r="AB66" s="5">
        <f>120+20+42+105+134+106+80+32+20.5+4+51+324+2+5+300+160+164</f>
        <v>1669.5</v>
      </c>
      <c r="AC66" s="6">
        <f>2+1+0+0+3.9+0.4+9+0.2+0.005+0.025+4.3+2.7+0.1+0.1+3+10+5.4</f>
        <v>42.13</v>
      </c>
      <c r="AD66" s="6">
        <f>0+0+0+0+0.9+0.1+2+0+0.025+0.025+0.6+0.6+0.1+0+0+7+1.2</f>
        <v>12.549999999999999</v>
      </c>
      <c r="AE66" s="6">
        <f>18+2+1+1+7.1+8+0+2.2+0.225+0.175+1.5+7.5+0.1+0.2+6+12+1.7</f>
        <v>68.7</v>
      </c>
      <c r="AF66" s="6">
        <f>6+6+13+27+16.7+16.7+0+5.6+5.4+0.95+2.3+67.2+0.4+1.2+63+2+29.2</f>
        <v>262.65000000000003</v>
      </c>
      <c r="AG66" s="6">
        <f>1+2+2+3+0.6+0.6+0.2+0.575+0.125+1.3+5.25+0.1+0.4+6+0+0.7</f>
        <v>23.849999999999998</v>
      </c>
      <c r="AH66" s="6">
        <f>360+0+1+1+193+186+80+1380+0.5+0.5+1+15+1+1+60+380+176</f>
        <v>2836</v>
      </c>
      <c r="AI66" s="6">
        <f t="shared" si="1"/>
        <v>2.5235100329439954E-2</v>
      </c>
      <c r="AJ66" s="6">
        <f t="shared" si="2"/>
        <v>7.5172207247678939E-3</v>
      </c>
      <c r="AK66" s="6">
        <f t="shared" si="3"/>
        <v>4.1150044923629829E-2</v>
      </c>
      <c r="AL66" s="6">
        <f t="shared" si="4"/>
        <v>0.15732255166217432</v>
      </c>
      <c r="AM66" s="6">
        <f t="shared" si="5"/>
        <v>1.4285714285714285E-2</v>
      </c>
      <c r="AN66" s="6">
        <f t="shared" si="6"/>
        <v>1.6987121892782271</v>
      </c>
      <c r="AO66" s="7">
        <v>5</v>
      </c>
      <c r="AP66" s="7">
        <v>1</v>
      </c>
      <c r="AQ66" s="7">
        <v>1</v>
      </c>
      <c r="AR66" s="10">
        <v>0</v>
      </c>
      <c r="AS66" s="7">
        <v>0</v>
      </c>
      <c r="AT66" s="7">
        <v>0</v>
      </c>
      <c r="AU66" s="7">
        <v>0</v>
      </c>
      <c r="AV66" s="7">
        <v>0</v>
      </c>
      <c r="AW66" s="7">
        <v>31</v>
      </c>
      <c r="AX66" s="7">
        <v>1</v>
      </c>
      <c r="AY66" s="5">
        <v>6.25</v>
      </c>
      <c r="AZ66" s="7">
        <v>0</v>
      </c>
      <c r="BA66" s="7">
        <v>1</v>
      </c>
      <c r="BB66" s="7">
        <v>0</v>
      </c>
      <c r="BC66" s="7">
        <v>1</v>
      </c>
      <c r="BD66" s="7">
        <v>0</v>
      </c>
      <c r="BE66" s="7">
        <v>1</v>
      </c>
      <c r="BF66" s="7">
        <v>0</v>
      </c>
      <c r="BG66" s="7">
        <v>0</v>
      </c>
      <c r="BH66" s="7">
        <v>2</v>
      </c>
      <c r="BI66" s="7">
        <v>0</v>
      </c>
      <c r="BJ66" s="3">
        <v>1</v>
      </c>
      <c r="BK66" s="7">
        <v>0</v>
      </c>
      <c r="BL66" s="7">
        <v>0</v>
      </c>
      <c r="BM66" s="3">
        <v>0</v>
      </c>
    </row>
    <row r="67" spans="1:65" ht="20.100000000000001" customHeight="1" x14ac:dyDescent="0.3">
      <c r="A67" s="3" t="s">
        <v>23</v>
      </c>
      <c r="B67" s="3">
        <v>3</v>
      </c>
      <c r="C67" s="8">
        <v>44276</v>
      </c>
      <c r="D67" s="9">
        <v>0.28819444444444448</v>
      </c>
      <c r="E67" s="4">
        <v>45</v>
      </c>
      <c r="F67" s="3">
        <v>0</v>
      </c>
      <c r="G67" s="3">
        <v>0</v>
      </c>
      <c r="H67" s="3">
        <v>0</v>
      </c>
      <c r="I67" s="3">
        <v>0</v>
      </c>
      <c r="J67" s="9">
        <v>0.28125</v>
      </c>
      <c r="K67" s="3">
        <v>139.4</v>
      </c>
      <c r="L67" s="11">
        <f t="shared" ref="L67" si="92">K67-K66</f>
        <v>-1</v>
      </c>
      <c r="M67" s="5">
        <f t="shared" ref="M67" si="93">AB66</f>
        <v>1669.5</v>
      </c>
      <c r="N67" s="11">
        <v>31</v>
      </c>
      <c r="O67" s="11">
        <v>32.25</v>
      </c>
      <c r="P67" s="11">
        <v>10.625</v>
      </c>
      <c r="Q67" s="11">
        <v>10.625</v>
      </c>
      <c r="R67" s="11">
        <v>19.25</v>
      </c>
      <c r="S67" s="11">
        <v>19.5</v>
      </c>
      <c r="T67" s="11">
        <v>11</v>
      </c>
      <c r="U67" s="11">
        <v>12</v>
      </c>
      <c r="V67" s="11">
        <v>17</v>
      </c>
      <c r="W67" s="11">
        <v>13</v>
      </c>
      <c r="X67" s="11">
        <v>7</v>
      </c>
      <c r="Y67" s="11">
        <v>7</v>
      </c>
      <c r="Z67" s="3" t="s">
        <v>450</v>
      </c>
      <c r="AA67" s="10" t="s">
        <v>449</v>
      </c>
      <c r="AB67" s="5">
        <f>458.5+120+105+30+120+300+160+615+130+543.8+130+80</f>
        <v>2792.3</v>
      </c>
      <c r="AC67" s="6">
        <f>11.2+2+0+0.25+0.6+3+10+0+5+22.64+5+5</f>
        <v>64.69</v>
      </c>
      <c r="AD67" s="6">
        <f>2.2+0+0+0+3+0+7+0+2.5+5.3+2.5+3.5</f>
        <v>26</v>
      </c>
      <c r="AE67" s="6">
        <f>23.6+18+1+1+1.3+6+12+0+23.4+1+6</f>
        <v>93.3</v>
      </c>
      <c r="AF67" s="6">
        <f>71.7+6+27+5.5+4.2+63+2+20+24+62.6+24+1</f>
        <v>311</v>
      </c>
      <c r="AG67" s="6">
        <f>12.3+1+3+3.5+6+6+0+0+1+4.6+1+0</f>
        <v>38.4</v>
      </c>
      <c r="AH67" s="6">
        <f>602.8+360+1+0+60+380+30+772.4+75+190</f>
        <v>2471.1999999999998</v>
      </c>
      <c r="AI67" s="6">
        <f t="shared" si="1"/>
        <v>2.3167281452565983E-2</v>
      </c>
      <c r="AJ67" s="6">
        <f t="shared" si="2"/>
        <v>9.3113204168606516E-3</v>
      </c>
      <c r="AK67" s="6">
        <f t="shared" si="3"/>
        <v>3.341331518819611E-2</v>
      </c>
      <c r="AL67" s="6">
        <f t="shared" si="4"/>
        <v>0.11137771729398703</v>
      </c>
      <c r="AM67" s="6">
        <f t="shared" si="5"/>
        <v>1.3752104000286501E-2</v>
      </c>
      <c r="AN67" s="6">
        <f t="shared" si="6"/>
        <v>0.88500519285177082</v>
      </c>
      <c r="AO67" s="7">
        <v>4</v>
      </c>
      <c r="AP67" s="7">
        <v>2</v>
      </c>
      <c r="AQ67" s="7">
        <v>1</v>
      </c>
      <c r="AR67" s="10">
        <v>0</v>
      </c>
      <c r="AS67" s="7">
        <v>0</v>
      </c>
      <c r="AT67" s="7">
        <v>0</v>
      </c>
      <c r="AU67" s="7">
        <v>0</v>
      </c>
      <c r="AV67" s="7">
        <v>0</v>
      </c>
      <c r="AW67" s="7">
        <v>31</v>
      </c>
      <c r="AX67" s="7">
        <v>1</v>
      </c>
      <c r="AY67" s="5">
        <v>6</v>
      </c>
      <c r="AZ67" s="7">
        <v>1</v>
      </c>
      <c r="BA67" s="7">
        <v>0</v>
      </c>
      <c r="BB67" s="7">
        <v>0</v>
      </c>
      <c r="BC67" s="7">
        <v>1</v>
      </c>
      <c r="BD67" s="7">
        <v>1</v>
      </c>
      <c r="BE67" s="7">
        <v>1</v>
      </c>
      <c r="BF67" s="7">
        <v>0</v>
      </c>
      <c r="BG67" s="7">
        <v>0</v>
      </c>
      <c r="BH67" s="7">
        <v>0</v>
      </c>
      <c r="BI67" s="7">
        <v>0</v>
      </c>
      <c r="BJ67" s="3">
        <v>0</v>
      </c>
      <c r="BK67" s="6">
        <v>5</v>
      </c>
      <c r="BL67" s="3" t="s">
        <v>970</v>
      </c>
      <c r="BM67" s="3">
        <v>0</v>
      </c>
    </row>
    <row r="68" spans="1:65" ht="20.100000000000001" customHeight="1" x14ac:dyDescent="0.3">
      <c r="A68" s="3" t="s">
        <v>15</v>
      </c>
      <c r="B68" s="3">
        <v>4</v>
      </c>
      <c r="C68" s="8">
        <v>44277</v>
      </c>
      <c r="D68" s="9">
        <v>0.35416666666666669</v>
      </c>
      <c r="E68" s="4">
        <v>47</v>
      </c>
      <c r="F68" s="3">
        <v>0</v>
      </c>
      <c r="G68" s="3">
        <v>0</v>
      </c>
      <c r="H68" s="3">
        <v>0</v>
      </c>
      <c r="I68" s="3">
        <v>0</v>
      </c>
      <c r="J68" s="9">
        <v>0.35416666666666669</v>
      </c>
      <c r="K68" s="3">
        <v>138.80000000000001</v>
      </c>
      <c r="L68" s="11">
        <f t="shared" ref="L68" si="94">K68-K67</f>
        <v>-0.59999999999999432</v>
      </c>
      <c r="M68" s="5">
        <f t="shared" ref="M68" si="95">AB67</f>
        <v>2792.3</v>
      </c>
      <c r="N68" s="11">
        <v>31</v>
      </c>
      <c r="O68" s="11">
        <v>32</v>
      </c>
      <c r="P68" s="11">
        <v>10.625</v>
      </c>
      <c r="Q68" s="11">
        <v>10.625</v>
      </c>
      <c r="R68" s="11">
        <v>19.5</v>
      </c>
      <c r="S68" s="11">
        <v>19.5</v>
      </c>
      <c r="T68" s="11">
        <v>11</v>
      </c>
      <c r="U68" s="11">
        <v>11</v>
      </c>
      <c r="V68" s="11">
        <v>15</v>
      </c>
      <c r="W68" s="11">
        <v>15</v>
      </c>
      <c r="X68" s="11">
        <v>7</v>
      </c>
      <c r="Y68" s="11">
        <v>8</v>
      </c>
      <c r="Z68" s="3" t="s">
        <v>454</v>
      </c>
      <c r="AA68" s="10" t="s">
        <v>453</v>
      </c>
      <c r="AB68" s="5">
        <f>1087.6+260+120+105+10.5+14+23.33+554.5+105</f>
        <v>2279.9299999999998</v>
      </c>
      <c r="AC68" s="6">
        <f>45.27+10+2+0+0+0+0.33+11.18+0</f>
        <v>68.78</v>
      </c>
      <c r="AD68" s="6">
        <f>10.6+5+0+0+0+0+0+2.15+0</f>
        <v>17.75</v>
      </c>
      <c r="AE68" s="6">
        <f>46.8+2+18+1+0.25+0.33+0.67+17.8+1</f>
        <v>87.85</v>
      </c>
      <c r="AF68" s="6">
        <f>125.2+48+6+27+3.25+4.33+5.67+96.55+27</f>
        <v>343</v>
      </c>
      <c r="AG68" s="6">
        <f>9.2+2+1+3+0.5+0.67+3+8.35+3</f>
        <v>30.72</v>
      </c>
      <c r="AH68" s="6">
        <f>1544.8+150+360+1+0.25+0.33+0+901+1</f>
        <v>2958.38</v>
      </c>
      <c r="AI68" s="6">
        <f t="shared" si="1"/>
        <v>3.0167592864693216E-2</v>
      </c>
      <c r="AJ68" s="6">
        <f t="shared" si="2"/>
        <v>7.7853267424877089E-3</v>
      </c>
      <c r="AK68" s="6">
        <f t="shared" si="3"/>
        <v>3.8531884750847616E-2</v>
      </c>
      <c r="AL68" s="6">
        <f t="shared" si="4"/>
        <v>0.15044321536187516</v>
      </c>
      <c r="AM68" s="6">
        <f t="shared" si="5"/>
        <v>1.3474097888970277E-2</v>
      </c>
      <c r="AN68" s="6">
        <f t="shared" si="6"/>
        <v>1.2975749255459599</v>
      </c>
      <c r="AO68" s="7">
        <v>4</v>
      </c>
      <c r="AP68" s="7">
        <v>1</v>
      </c>
      <c r="AQ68" s="7">
        <v>1</v>
      </c>
      <c r="AR68" s="10">
        <v>0</v>
      </c>
      <c r="AS68" s="7">
        <v>0</v>
      </c>
      <c r="AT68" s="7">
        <v>0</v>
      </c>
      <c r="AU68" s="7">
        <v>0</v>
      </c>
      <c r="AV68" s="7">
        <v>0</v>
      </c>
      <c r="AW68" s="7">
        <v>31</v>
      </c>
      <c r="AX68" s="7">
        <v>1</v>
      </c>
      <c r="AY68" s="5">
        <v>7.5</v>
      </c>
      <c r="AZ68" s="7">
        <v>1</v>
      </c>
      <c r="BA68" s="7">
        <v>1</v>
      </c>
      <c r="BB68" s="7">
        <v>1</v>
      </c>
      <c r="BC68" s="7">
        <v>1</v>
      </c>
      <c r="BD68" s="7">
        <v>0</v>
      </c>
      <c r="BE68" s="7">
        <v>1</v>
      </c>
      <c r="BF68" s="7">
        <v>1</v>
      </c>
      <c r="BG68" s="7">
        <v>30</v>
      </c>
      <c r="BH68" s="7">
        <v>0</v>
      </c>
      <c r="BI68" s="7">
        <v>0</v>
      </c>
      <c r="BJ68" s="3">
        <v>0</v>
      </c>
      <c r="BK68" s="7">
        <v>0</v>
      </c>
      <c r="BL68" s="7">
        <v>0</v>
      </c>
      <c r="BM68" s="3">
        <v>0</v>
      </c>
    </row>
    <row r="69" spans="1:65" ht="20.100000000000001" customHeight="1" x14ac:dyDescent="0.3">
      <c r="A69" s="3" t="s">
        <v>16</v>
      </c>
      <c r="B69" s="3">
        <v>5</v>
      </c>
      <c r="C69" s="8">
        <v>44278</v>
      </c>
      <c r="D69" s="9">
        <v>0.90625</v>
      </c>
      <c r="E69" s="4">
        <v>57</v>
      </c>
      <c r="F69" s="3">
        <v>0</v>
      </c>
      <c r="G69" s="3">
        <v>0</v>
      </c>
      <c r="H69" s="3">
        <v>0</v>
      </c>
      <c r="I69" s="3">
        <v>0</v>
      </c>
      <c r="J69" s="9">
        <v>0.35902777777777778</v>
      </c>
      <c r="K69" s="3">
        <v>139.4</v>
      </c>
      <c r="L69" s="11">
        <f t="shared" ref="L69" si="96">K69-K68</f>
        <v>0.59999999999999432</v>
      </c>
      <c r="M69" s="5">
        <f t="shared" ref="M69" si="97">AB68</f>
        <v>2279.9299999999998</v>
      </c>
      <c r="N69" s="11">
        <v>31</v>
      </c>
      <c r="O69" s="11">
        <v>32</v>
      </c>
      <c r="P69" s="11">
        <v>10.5</v>
      </c>
      <c r="Q69" s="11">
        <v>10.5</v>
      </c>
      <c r="R69" s="11">
        <v>19.5</v>
      </c>
      <c r="S69" s="11">
        <v>19.75</v>
      </c>
      <c r="T69" s="11">
        <v>13</v>
      </c>
      <c r="U69" s="11">
        <v>11</v>
      </c>
      <c r="V69" s="11">
        <v>14</v>
      </c>
      <c r="W69" s="11">
        <v>14</v>
      </c>
      <c r="X69" s="11">
        <v>7</v>
      </c>
      <c r="Y69" s="11">
        <v>7</v>
      </c>
      <c r="Z69" s="3" t="s">
        <v>457</v>
      </c>
      <c r="AA69" s="10" t="s">
        <v>456</v>
      </c>
      <c r="AB69" s="5">
        <f>543.8+105+130+543.8+40+300+160+300+160+105+400+115</f>
        <v>2902.6</v>
      </c>
      <c r="AC69" s="6">
        <f>22.6+0+5+22.6+0.2+3+10+3+10+0+10+0</f>
        <v>86.4</v>
      </c>
      <c r="AD69" s="6">
        <f>5.3+0+2.5+5.3+0.1+0+7+0+7+0+5+0</f>
        <v>32.200000000000003</v>
      </c>
      <c r="AE69" s="6">
        <f>23.4+1+1+23.4+0.6+6+12+6+12+1+4+0.5</f>
        <v>90.9</v>
      </c>
      <c r="AF69" s="6">
        <f>62.6+27+24+62.6+10.1+63+2+63+2+27+74+3.7</f>
        <v>420.99999999999994</v>
      </c>
      <c r="AG69" s="6">
        <f>4.6+3+1+4.6+1.4+6+0+6+0+3+1+0</f>
        <v>30.6</v>
      </c>
      <c r="AH69" s="6">
        <f>772.4+1+75+772.4+2+60+380+60+380+1+240+12</f>
        <v>2755.8</v>
      </c>
      <c r="AI69" s="6">
        <f t="shared" si="1"/>
        <v>2.9766416316405985E-2</v>
      </c>
      <c r="AJ69" s="6">
        <f t="shared" si="2"/>
        <v>1.1093502377179083E-2</v>
      </c>
      <c r="AK69" s="6">
        <f t="shared" si="3"/>
        <v>3.1316750499552126E-2</v>
      </c>
      <c r="AL69" s="6">
        <f t="shared" si="4"/>
        <v>0.14504237580100598</v>
      </c>
      <c r="AM69" s="6">
        <f t="shared" si="5"/>
        <v>1.0542272445393786E-2</v>
      </c>
      <c r="AN69" s="6">
        <f t="shared" si="6"/>
        <v>0.94942465375869922</v>
      </c>
      <c r="AO69" s="7">
        <v>3</v>
      </c>
      <c r="AP69" s="7">
        <v>1</v>
      </c>
      <c r="AQ69" s="7">
        <v>1</v>
      </c>
      <c r="AR69" s="10">
        <v>0</v>
      </c>
      <c r="AS69" s="7">
        <v>0</v>
      </c>
      <c r="AT69" s="7">
        <v>0</v>
      </c>
      <c r="AU69" s="7">
        <v>0</v>
      </c>
      <c r="AV69" s="7">
        <v>0</v>
      </c>
      <c r="AW69" s="7">
        <v>0</v>
      </c>
      <c r="AX69" s="7">
        <v>1</v>
      </c>
      <c r="AY69" s="5">
        <v>6</v>
      </c>
      <c r="AZ69" s="7">
        <v>1</v>
      </c>
      <c r="BA69" s="7">
        <v>0</v>
      </c>
      <c r="BB69" s="7">
        <v>0</v>
      </c>
      <c r="BC69" s="7">
        <v>1</v>
      </c>
      <c r="BD69" s="7">
        <v>1</v>
      </c>
      <c r="BE69" s="7">
        <v>0</v>
      </c>
      <c r="BF69" s="7">
        <v>0</v>
      </c>
      <c r="BG69" s="7">
        <v>0</v>
      </c>
      <c r="BH69" s="7">
        <v>0</v>
      </c>
      <c r="BI69" s="7">
        <v>0</v>
      </c>
      <c r="BJ69" s="3">
        <v>0</v>
      </c>
      <c r="BK69" s="6">
        <v>1</v>
      </c>
      <c r="BL69" s="3" t="s">
        <v>968</v>
      </c>
      <c r="BM69" s="3">
        <v>0</v>
      </c>
    </row>
    <row r="70" spans="1:65" ht="20.100000000000001" customHeight="1" x14ac:dyDescent="0.3">
      <c r="A70" s="3" t="s">
        <v>17</v>
      </c>
      <c r="B70" s="3">
        <v>6</v>
      </c>
      <c r="C70" s="8">
        <v>44279</v>
      </c>
      <c r="D70" s="9">
        <v>0.29652777777777778</v>
      </c>
      <c r="E70" s="4">
        <v>56</v>
      </c>
      <c r="F70" s="3">
        <v>0</v>
      </c>
      <c r="G70" s="3">
        <v>0</v>
      </c>
      <c r="H70" s="3">
        <v>0</v>
      </c>
      <c r="I70" s="3">
        <v>0</v>
      </c>
      <c r="J70" s="9">
        <v>0.29722222222222222</v>
      </c>
      <c r="K70" s="3">
        <v>139.4</v>
      </c>
      <c r="L70" s="11">
        <f t="shared" ref="L70" si="98">K70-K69</f>
        <v>0</v>
      </c>
      <c r="M70" s="5">
        <f t="shared" ref="M70" si="99">AB69</f>
        <v>2902.6</v>
      </c>
      <c r="N70" s="11">
        <v>30.75</v>
      </c>
      <c r="O70" s="11">
        <v>31.75</v>
      </c>
      <c r="P70" s="11">
        <v>10.625</v>
      </c>
      <c r="Q70" s="11">
        <v>10.5</v>
      </c>
      <c r="R70" s="11">
        <v>19</v>
      </c>
      <c r="S70" s="11">
        <v>19.25</v>
      </c>
      <c r="T70" s="11">
        <v>13</v>
      </c>
      <c r="U70" s="11">
        <v>11</v>
      </c>
      <c r="V70" s="11">
        <v>17</v>
      </c>
      <c r="W70" s="11">
        <v>15</v>
      </c>
      <c r="X70" s="11">
        <v>7</v>
      </c>
      <c r="Y70" s="11">
        <v>7</v>
      </c>
      <c r="Z70" s="3" t="s">
        <v>464</v>
      </c>
      <c r="AA70" s="10" t="s">
        <v>463</v>
      </c>
      <c r="AB70" s="5">
        <f>768+60+160+480+165+740+768+160+60+195.2</f>
        <v>3556.2</v>
      </c>
      <c r="AC70" s="6">
        <f>26.19+5+10+26+7+30+26.2+10+5+0</f>
        <v>145.38999999999999</v>
      </c>
      <c r="AD70" s="6">
        <f>6.7+3.5+7+5+5.5+30+6.7+7+3.5+0</f>
        <v>74.900000000000006</v>
      </c>
      <c r="AE70" s="6">
        <f>48.9+1+12+6+2.5+0+48.9+12+1+0</f>
        <v>132.30000000000001</v>
      </c>
      <c r="AF70" s="6">
        <f>91.6+2+2+59+22+120+91.6+2+2+6.4</f>
        <v>398.6</v>
      </c>
      <c r="AG70" s="6">
        <f>16.9+0+0+0+0+0+16.9+0+0+0</f>
        <v>33.799999999999997</v>
      </c>
      <c r="AH70" s="6">
        <f>951.25+15+38+590+30+50+951.25+38+15+0</f>
        <v>2678.5</v>
      </c>
      <c r="AI70" s="6">
        <f t="shared" si="1"/>
        <v>4.0883527360665875E-2</v>
      </c>
      <c r="AJ70" s="6">
        <f t="shared" si="2"/>
        <v>2.1061807547382041E-2</v>
      </c>
      <c r="AK70" s="6">
        <f t="shared" si="3"/>
        <v>3.7202632022945846E-2</v>
      </c>
      <c r="AL70" s="6">
        <f t="shared" si="4"/>
        <v>0.11208593442438559</v>
      </c>
      <c r="AM70" s="6">
        <f t="shared" si="5"/>
        <v>9.5045273044260716E-3</v>
      </c>
      <c r="AN70" s="6">
        <f t="shared" si="6"/>
        <v>0.75319160902086502</v>
      </c>
      <c r="AO70" s="7">
        <v>3</v>
      </c>
      <c r="AP70" s="7">
        <v>1</v>
      </c>
      <c r="AQ70" s="7">
        <v>1</v>
      </c>
      <c r="AR70" s="10">
        <v>0</v>
      </c>
      <c r="AS70" s="7">
        <v>0</v>
      </c>
      <c r="AT70" s="7">
        <v>0</v>
      </c>
      <c r="AU70" s="7">
        <v>0</v>
      </c>
      <c r="AV70" s="7">
        <v>0</v>
      </c>
      <c r="AW70" s="7">
        <v>31</v>
      </c>
      <c r="AX70" s="7">
        <v>1</v>
      </c>
      <c r="AY70" s="5">
        <v>5.75</v>
      </c>
      <c r="AZ70" s="7">
        <v>0</v>
      </c>
      <c r="BA70" s="7">
        <v>0</v>
      </c>
      <c r="BB70" s="7">
        <v>0</v>
      </c>
      <c r="BC70" s="7">
        <v>1</v>
      </c>
      <c r="BD70" s="7">
        <v>1</v>
      </c>
      <c r="BE70" s="7">
        <v>0</v>
      </c>
      <c r="BF70" s="7">
        <v>0</v>
      </c>
      <c r="BG70" s="7">
        <v>0</v>
      </c>
      <c r="BH70" s="7">
        <v>0</v>
      </c>
      <c r="BI70" s="7">
        <v>0</v>
      </c>
      <c r="BJ70" s="3">
        <v>0</v>
      </c>
      <c r="BK70" s="6">
        <v>2</v>
      </c>
      <c r="BL70" s="3" t="s">
        <v>968</v>
      </c>
      <c r="BM70" s="3">
        <v>0</v>
      </c>
    </row>
    <row r="71" spans="1:65" ht="20.100000000000001" customHeight="1" x14ac:dyDescent="0.3">
      <c r="A71" s="3" t="s">
        <v>18</v>
      </c>
      <c r="B71" s="3">
        <v>7</v>
      </c>
      <c r="C71" s="8">
        <v>44280</v>
      </c>
      <c r="D71" s="9">
        <v>0.37152777777777773</v>
      </c>
      <c r="E71" s="4">
        <v>52</v>
      </c>
      <c r="F71" s="3">
        <v>0</v>
      </c>
      <c r="G71" s="3">
        <v>0</v>
      </c>
      <c r="H71" s="3">
        <v>0</v>
      </c>
      <c r="I71" s="3">
        <v>0</v>
      </c>
      <c r="J71" s="9">
        <v>0.54166666666666663</v>
      </c>
      <c r="K71" s="3">
        <v>136.6</v>
      </c>
      <c r="L71" s="11">
        <f t="shared" ref="L71" si="100">K71-K70</f>
        <v>-2.8000000000000114</v>
      </c>
      <c r="M71" s="5">
        <f t="shared" ref="M71" si="101">AB70</f>
        <v>3556.2</v>
      </c>
      <c r="N71" s="11">
        <v>31</v>
      </c>
      <c r="O71" s="11">
        <v>32</v>
      </c>
      <c r="P71" s="11">
        <v>10.625</v>
      </c>
      <c r="Q71" s="11">
        <v>10.5</v>
      </c>
      <c r="R71" s="11">
        <v>19.25</v>
      </c>
      <c r="S71" s="11">
        <v>19.25</v>
      </c>
      <c r="T71" s="11">
        <v>13</v>
      </c>
      <c r="U71" s="11">
        <v>11</v>
      </c>
      <c r="V71" s="11">
        <v>17</v>
      </c>
      <c r="W71" s="11">
        <v>15</v>
      </c>
      <c r="X71" s="11">
        <v>7</v>
      </c>
      <c r="Y71" s="11">
        <v>7</v>
      </c>
      <c r="Z71" s="3" t="s">
        <v>468</v>
      </c>
      <c r="AA71" s="12" t="s">
        <v>469</v>
      </c>
      <c r="AB71" s="12">
        <f>1152+120+200+106.7+330+45+30+639.3+80+20+45+400</f>
        <v>3168</v>
      </c>
      <c r="AC71" s="6">
        <f>39.3+10+2+6.7+14+0+2.5+25.3+5+1.5+0+10</f>
        <v>116.3</v>
      </c>
      <c r="AD71" s="6">
        <f>10+7+0+4.7+11+0+1.8+6.1+3.5+1+0+5</f>
        <v>50.1</v>
      </c>
      <c r="AE71" s="6">
        <f>73.3+2+4+8+5+0+0.5+29+6+2+0+4</f>
        <v>133.80000000000001</v>
      </c>
      <c r="AF71" s="6">
        <f>137.44+4+42+1.3+44+12+1+75.6+1+0+12+74</f>
        <v>404.34000000000003</v>
      </c>
      <c r="AG71" s="6">
        <f>25.3+0+4+0+0+0+0+4.8+0+0+0+1</f>
        <v>35.1</v>
      </c>
      <c r="AH71" s="6">
        <f>1426.9+30+40+253.3+60+0+7.5+394.3+190+100+0+240</f>
        <v>2742</v>
      </c>
      <c r="AI71" s="6">
        <f t="shared" si="1"/>
        <v>3.6710858585858583E-2</v>
      </c>
      <c r="AJ71" s="6">
        <f t="shared" si="2"/>
        <v>1.5814393939393941E-2</v>
      </c>
      <c r="AK71" s="6">
        <f t="shared" si="3"/>
        <v>4.2234848484848486E-2</v>
      </c>
      <c r="AL71" s="6">
        <f t="shared" si="4"/>
        <v>0.12763257575757578</v>
      </c>
      <c r="AM71" s="6">
        <f t="shared" si="5"/>
        <v>1.1079545454545455E-2</v>
      </c>
      <c r="AN71" s="6">
        <f t="shared" si="6"/>
        <v>0.86553030303030298</v>
      </c>
      <c r="AO71" s="7">
        <v>4</v>
      </c>
      <c r="AP71" s="7">
        <v>1</v>
      </c>
      <c r="AQ71" s="7">
        <v>1</v>
      </c>
      <c r="AR71" s="10">
        <v>0</v>
      </c>
      <c r="AS71" s="7">
        <v>0</v>
      </c>
      <c r="AT71" s="7">
        <v>0</v>
      </c>
      <c r="AU71" s="7">
        <v>0</v>
      </c>
      <c r="AV71" s="7">
        <v>0</v>
      </c>
      <c r="AW71" s="7">
        <v>0</v>
      </c>
      <c r="AX71" s="7">
        <v>0</v>
      </c>
      <c r="AY71" s="5">
        <v>5</v>
      </c>
      <c r="AZ71" s="7">
        <v>0</v>
      </c>
      <c r="BA71" s="7">
        <v>1</v>
      </c>
      <c r="BB71" s="7">
        <v>0</v>
      </c>
      <c r="BC71" s="7">
        <v>1</v>
      </c>
      <c r="BD71" s="7">
        <v>1</v>
      </c>
      <c r="BE71" s="7">
        <v>0</v>
      </c>
      <c r="BF71" s="7">
        <v>1</v>
      </c>
      <c r="BG71" s="7">
        <v>15</v>
      </c>
      <c r="BH71" s="7">
        <v>0</v>
      </c>
      <c r="BI71" s="7">
        <v>0</v>
      </c>
      <c r="BJ71" s="3">
        <v>0</v>
      </c>
      <c r="BK71" s="6">
        <v>0</v>
      </c>
      <c r="BL71" s="7">
        <v>0</v>
      </c>
      <c r="BM71" s="3">
        <v>0</v>
      </c>
    </row>
    <row r="72" spans="1:65" ht="20.100000000000001" customHeight="1" x14ac:dyDescent="0.3">
      <c r="A72" s="3" t="s">
        <v>137</v>
      </c>
      <c r="B72" s="3">
        <v>8</v>
      </c>
      <c r="C72" s="8">
        <v>44281</v>
      </c>
      <c r="D72" s="9">
        <v>0.2951388888888889</v>
      </c>
      <c r="E72" s="4">
        <v>46</v>
      </c>
      <c r="F72" s="3">
        <v>0</v>
      </c>
      <c r="G72" s="3">
        <v>0</v>
      </c>
      <c r="H72" s="3">
        <v>0</v>
      </c>
      <c r="I72" s="3">
        <v>0</v>
      </c>
      <c r="J72" s="9">
        <v>0.2951388888888889</v>
      </c>
      <c r="K72" s="3">
        <v>137.19999999999999</v>
      </c>
      <c r="L72" s="11">
        <f t="shared" ref="L72" si="102">K72-K71</f>
        <v>0.59999999999999432</v>
      </c>
      <c r="M72" s="5">
        <f t="shared" ref="M72" si="103">AB71</f>
        <v>3168</v>
      </c>
      <c r="N72" s="11">
        <v>30.75</v>
      </c>
      <c r="O72" s="11">
        <v>32</v>
      </c>
      <c r="P72" s="11">
        <v>10.5</v>
      </c>
      <c r="Q72" s="11">
        <v>10.5</v>
      </c>
      <c r="R72" s="11">
        <v>19</v>
      </c>
      <c r="S72" s="11">
        <v>19.25</v>
      </c>
      <c r="T72" s="11">
        <v>12</v>
      </c>
      <c r="U72" s="11">
        <v>10</v>
      </c>
      <c r="V72" s="11">
        <v>17</v>
      </c>
      <c r="W72" s="11">
        <v>15</v>
      </c>
      <c r="X72" s="11">
        <v>7</v>
      </c>
      <c r="Y72" s="11">
        <v>7</v>
      </c>
      <c r="Z72" s="3" t="s">
        <v>474</v>
      </c>
      <c r="AA72" s="10" t="s">
        <v>473</v>
      </c>
      <c r="AB72" s="5">
        <f>639.3+80+220+350+230+225+160+639.3</f>
        <v>2543.6</v>
      </c>
      <c r="AC72" s="6">
        <f>25.3+5+14+20.5+18+2.25+10+25.3</f>
        <v>120.35</v>
      </c>
      <c r="AD72" s="6">
        <f>6.13+3.5+9+4+10+0+7+6.13</f>
        <v>45.76</v>
      </c>
      <c r="AE72" s="6">
        <f>29+6+1+4+5+4.5+12+29</f>
        <v>90.5</v>
      </c>
      <c r="AF72" s="6">
        <f>75.6+1+22+39+20+47.3+2+75.6</f>
        <v>282.5</v>
      </c>
      <c r="AG72" s="6">
        <f>4.75+0+0+0+0+4.5+0+4.75</f>
        <v>14</v>
      </c>
      <c r="AH72" s="6">
        <f>394.3+190+200+315+140+45+380+394.3</f>
        <v>2058.6</v>
      </c>
      <c r="AI72" s="6">
        <f t="shared" si="1"/>
        <v>4.7314829375687997E-2</v>
      </c>
      <c r="AJ72" s="6">
        <f t="shared" si="2"/>
        <v>1.7990250039314357E-2</v>
      </c>
      <c r="AK72" s="6">
        <f t="shared" si="3"/>
        <v>3.5579493631074072E-2</v>
      </c>
      <c r="AL72" s="6">
        <f t="shared" si="4"/>
        <v>0.11106306022959585</v>
      </c>
      <c r="AM72" s="6">
        <f t="shared" si="5"/>
        <v>5.5040100644755466E-3</v>
      </c>
      <c r="AN72" s="6">
        <f t="shared" si="6"/>
        <v>0.80932536562352575</v>
      </c>
      <c r="AO72" s="7">
        <v>5</v>
      </c>
      <c r="AP72" s="7">
        <v>1</v>
      </c>
      <c r="AQ72" s="7">
        <v>1</v>
      </c>
      <c r="AR72" s="10">
        <v>0</v>
      </c>
      <c r="AS72" s="7">
        <v>0</v>
      </c>
      <c r="AT72" s="7">
        <v>0</v>
      </c>
      <c r="AU72" s="7">
        <v>0</v>
      </c>
      <c r="AV72" s="7">
        <v>0</v>
      </c>
      <c r="AW72" s="7">
        <v>31</v>
      </c>
      <c r="AX72" s="7">
        <v>1</v>
      </c>
      <c r="AY72" s="5">
        <v>7</v>
      </c>
      <c r="AZ72" s="7">
        <v>0</v>
      </c>
      <c r="BA72" s="7">
        <v>1</v>
      </c>
      <c r="BB72" s="7">
        <v>0</v>
      </c>
      <c r="BC72" s="7">
        <v>1</v>
      </c>
      <c r="BD72" s="7">
        <v>1</v>
      </c>
      <c r="BE72" s="7">
        <v>0</v>
      </c>
      <c r="BF72" s="7">
        <v>0</v>
      </c>
      <c r="BG72" s="7">
        <v>0</v>
      </c>
      <c r="BH72" s="7">
        <v>0</v>
      </c>
      <c r="BI72" s="7">
        <v>0</v>
      </c>
      <c r="BJ72" s="3">
        <v>0</v>
      </c>
      <c r="BK72" s="6">
        <v>0</v>
      </c>
      <c r="BL72" s="7">
        <v>0</v>
      </c>
      <c r="BM72" s="3">
        <v>0</v>
      </c>
    </row>
    <row r="73" spans="1:65" ht="20.100000000000001" customHeight="1" x14ac:dyDescent="0.3">
      <c r="A73" s="3" t="s">
        <v>19</v>
      </c>
      <c r="B73" s="3">
        <v>9</v>
      </c>
      <c r="C73" s="8">
        <v>44282</v>
      </c>
      <c r="D73" s="9">
        <v>0.5</v>
      </c>
      <c r="E73" s="4">
        <v>76</v>
      </c>
      <c r="F73" s="3">
        <v>0</v>
      </c>
      <c r="G73" s="3">
        <v>0</v>
      </c>
      <c r="H73" s="3">
        <v>0</v>
      </c>
      <c r="I73" s="3">
        <v>0</v>
      </c>
      <c r="J73" s="9">
        <v>0.28541666666666665</v>
      </c>
      <c r="K73" s="3">
        <v>137.19999999999999</v>
      </c>
      <c r="L73" s="11">
        <f t="shared" ref="L73" si="104">K73-K72</f>
        <v>0</v>
      </c>
      <c r="M73" s="5">
        <f t="shared" ref="M73" si="105">AB72</f>
        <v>2543.6</v>
      </c>
      <c r="N73" s="11">
        <v>30.5</v>
      </c>
      <c r="O73" s="11">
        <v>31.625</v>
      </c>
      <c r="P73" s="11">
        <v>10.5</v>
      </c>
      <c r="Q73" s="11">
        <v>10.375</v>
      </c>
      <c r="R73" s="11">
        <v>19.25</v>
      </c>
      <c r="S73" s="11">
        <v>19.375</v>
      </c>
      <c r="T73" s="11">
        <v>12</v>
      </c>
      <c r="U73" s="11">
        <v>14</v>
      </c>
      <c r="V73" s="11">
        <v>14</v>
      </c>
      <c r="W73" s="11">
        <v>14</v>
      </c>
      <c r="X73" s="11">
        <v>7</v>
      </c>
      <c r="Y73" s="11">
        <v>7</v>
      </c>
      <c r="Z73" s="3" t="s">
        <v>478</v>
      </c>
      <c r="AA73" s="10" t="s">
        <v>477</v>
      </c>
      <c r="AB73" s="5">
        <f>811.25+811.25+811.25+240+160+80+400</f>
        <v>3313.75</v>
      </c>
      <c r="AC73" s="6">
        <f>31.9+31.9+31.9+20+10+6+10</f>
        <v>141.69999999999999</v>
      </c>
      <c r="AD73" s="6">
        <f>7.8+7.8+7.8+14+7+3+5</f>
        <v>52.4</v>
      </c>
      <c r="AE73" s="6">
        <f>50.9+50.9+50.9+4+12+6+4</f>
        <v>178.7</v>
      </c>
      <c r="AF73" s="6">
        <f>88+88+88+8+2+2+74</f>
        <v>350</v>
      </c>
      <c r="AG73" s="6">
        <f>15.9+15.9+15.9+0+0+0+1</f>
        <v>48.7</v>
      </c>
      <c r="AH73" s="6">
        <f>993.8+993.8+993.8+60+380+180+240</f>
        <v>3841.3999999999996</v>
      </c>
      <c r="AI73" s="6">
        <f t="shared" si="1"/>
        <v>4.2761222180309311E-2</v>
      </c>
      <c r="AJ73" s="6">
        <f t="shared" si="2"/>
        <v>1.5812900792153903E-2</v>
      </c>
      <c r="AK73" s="6">
        <f t="shared" si="3"/>
        <v>5.3926820067898902E-2</v>
      </c>
      <c r="AL73" s="6">
        <f t="shared" si="4"/>
        <v>0.10562052055827989</v>
      </c>
      <c r="AM73" s="6">
        <f t="shared" si="5"/>
        <v>1.4696341003394946E-2</v>
      </c>
      <c r="AN73" s="6">
        <f t="shared" si="6"/>
        <v>1.1592304790645038</v>
      </c>
      <c r="AO73" s="7">
        <v>4</v>
      </c>
      <c r="AP73" s="7">
        <v>1</v>
      </c>
      <c r="AQ73" s="7">
        <v>1</v>
      </c>
      <c r="AR73" s="10">
        <v>0</v>
      </c>
      <c r="AS73" s="7">
        <v>0</v>
      </c>
      <c r="AT73" s="7">
        <v>0</v>
      </c>
      <c r="AU73" s="7">
        <v>0</v>
      </c>
      <c r="AV73" s="7">
        <v>0</v>
      </c>
      <c r="AW73" s="7">
        <v>31</v>
      </c>
      <c r="AX73" s="7">
        <v>1</v>
      </c>
      <c r="AY73" s="5">
        <v>8</v>
      </c>
      <c r="AZ73" s="7">
        <v>1</v>
      </c>
      <c r="BA73" s="7">
        <v>1</v>
      </c>
      <c r="BB73" s="7">
        <v>1</v>
      </c>
      <c r="BC73" s="7">
        <v>1</v>
      </c>
      <c r="BD73" s="7">
        <v>1</v>
      </c>
      <c r="BE73" s="7">
        <v>0</v>
      </c>
      <c r="BF73" s="7">
        <v>0</v>
      </c>
      <c r="BG73" s="7">
        <v>0</v>
      </c>
      <c r="BH73" s="7">
        <v>0</v>
      </c>
      <c r="BI73" s="7">
        <v>0</v>
      </c>
      <c r="BJ73" s="3">
        <v>0</v>
      </c>
      <c r="BK73" s="6">
        <v>0</v>
      </c>
      <c r="BL73" s="7">
        <v>0</v>
      </c>
      <c r="BM73" s="3">
        <v>0</v>
      </c>
    </row>
    <row r="74" spans="1:65" ht="20.100000000000001" customHeight="1" x14ac:dyDescent="0.3">
      <c r="A74" s="3" t="s">
        <v>23</v>
      </c>
      <c r="B74" s="3">
        <v>10</v>
      </c>
      <c r="C74" s="8">
        <v>44283</v>
      </c>
      <c r="D74" s="9">
        <v>0.27083333333333331</v>
      </c>
      <c r="E74" s="4">
        <v>45</v>
      </c>
      <c r="F74" s="3">
        <v>0</v>
      </c>
      <c r="G74" s="3">
        <v>0</v>
      </c>
      <c r="H74" s="3">
        <v>0</v>
      </c>
      <c r="I74" s="3">
        <v>0</v>
      </c>
      <c r="J74" s="9">
        <v>0.32083333333333336</v>
      </c>
      <c r="K74" s="3">
        <v>135.80000000000001</v>
      </c>
      <c r="L74" s="11">
        <f t="shared" ref="L74" si="106">K74-K73</f>
        <v>-1.3999999999999773</v>
      </c>
      <c r="M74" s="5">
        <f t="shared" ref="M74" si="107">AB73</f>
        <v>3313.75</v>
      </c>
      <c r="N74" s="11">
        <v>30</v>
      </c>
      <c r="O74" s="11">
        <v>31.625</v>
      </c>
      <c r="P74" s="11">
        <v>10.5</v>
      </c>
      <c r="Q74" s="11">
        <v>10.5</v>
      </c>
      <c r="R74" s="11">
        <v>19.5</v>
      </c>
      <c r="S74" s="11">
        <v>19.5</v>
      </c>
      <c r="T74" s="11">
        <v>10.5</v>
      </c>
      <c r="U74" s="11">
        <v>9.75</v>
      </c>
      <c r="V74" s="11">
        <v>15</v>
      </c>
      <c r="W74" s="11">
        <v>15</v>
      </c>
      <c r="X74" s="11">
        <v>7</v>
      </c>
      <c r="Y74" s="11">
        <v>7</v>
      </c>
      <c r="Z74" s="3" t="s">
        <v>484</v>
      </c>
      <c r="AA74" s="10" t="s">
        <v>487</v>
      </c>
      <c r="AB74" s="5">
        <f>811.25+50+80+1140.5+615+200+460+200+639.3</f>
        <v>4196.05</v>
      </c>
      <c r="AC74" s="6">
        <f>31.9+5+5+417.2+0+20+33+20+25.3</f>
        <v>557.39999999999986</v>
      </c>
      <c r="AD74" s="6">
        <f>7.8+3.5+3.5+404+0+16+20+16+6.1</f>
        <v>476.90000000000003</v>
      </c>
      <c r="AE74" s="6">
        <f>50.9+1+6+413.8+0+10+6+10+29</f>
        <v>526.70000000000005</v>
      </c>
      <c r="AF74" s="6">
        <f>88+2+1+482.6+20+0+39+0+75.6</f>
        <v>708.2</v>
      </c>
      <c r="AG74" s="6">
        <f>15.9+0+0+394.4+0+0+2+0+4.75</f>
        <v>417.04999999999995</v>
      </c>
      <c r="AH74" s="6">
        <f>993.8+15+190+1707+30+420+210+420+394.3</f>
        <v>4380.1000000000004</v>
      </c>
      <c r="AI74" s="6">
        <f t="shared" si="1"/>
        <v>0.13283921783582175</v>
      </c>
      <c r="AJ74" s="6">
        <f t="shared" si="2"/>
        <v>0.11365450840671584</v>
      </c>
      <c r="AK74" s="6">
        <f t="shared" si="3"/>
        <v>0.12552281312186461</v>
      </c>
      <c r="AL74" s="6">
        <f t="shared" si="4"/>
        <v>0.1687777791017743</v>
      </c>
      <c r="AM74" s="6">
        <f t="shared" si="5"/>
        <v>9.9391094005076189E-2</v>
      </c>
      <c r="AN74" s="6">
        <f t="shared" si="6"/>
        <v>1.0438626803779745</v>
      </c>
      <c r="AO74" s="7">
        <v>3</v>
      </c>
      <c r="AP74" s="7">
        <v>1</v>
      </c>
      <c r="AQ74" s="7">
        <v>1</v>
      </c>
      <c r="AR74" s="10">
        <v>0</v>
      </c>
      <c r="AS74" s="7">
        <v>0</v>
      </c>
      <c r="AT74" s="7">
        <v>0</v>
      </c>
      <c r="AU74" s="7">
        <v>0</v>
      </c>
      <c r="AV74" s="7">
        <v>0</v>
      </c>
      <c r="AW74" s="7">
        <v>31</v>
      </c>
      <c r="AX74" s="7">
        <v>1</v>
      </c>
      <c r="AY74" s="5">
        <v>8.5</v>
      </c>
      <c r="AZ74" s="7">
        <v>0</v>
      </c>
      <c r="BA74" s="7">
        <v>0</v>
      </c>
      <c r="BB74" s="7">
        <v>0</v>
      </c>
      <c r="BC74" s="7">
        <v>1</v>
      </c>
      <c r="BD74" s="7">
        <v>0</v>
      </c>
      <c r="BE74" s="7">
        <v>0</v>
      </c>
      <c r="BF74" s="7">
        <v>0</v>
      </c>
      <c r="BG74" s="7">
        <v>0</v>
      </c>
      <c r="BH74" s="7">
        <v>0</v>
      </c>
      <c r="BI74" s="7">
        <v>0</v>
      </c>
      <c r="BJ74" s="3">
        <v>0</v>
      </c>
      <c r="BK74" s="6">
        <v>3</v>
      </c>
      <c r="BL74" s="3" t="s">
        <v>965</v>
      </c>
      <c r="BM74" s="3">
        <v>0</v>
      </c>
    </row>
    <row r="75" spans="1:65" ht="20.100000000000001" customHeight="1" x14ac:dyDescent="0.3">
      <c r="A75" s="3" t="s">
        <v>15</v>
      </c>
      <c r="B75" s="3">
        <v>11</v>
      </c>
      <c r="C75" s="8">
        <v>44284</v>
      </c>
      <c r="D75" s="9">
        <v>0.31736111111111115</v>
      </c>
      <c r="E75" s="4">
        <v>50</v>
      </c>
      <c r="F75" s="3">
        <v>0</v>
      </c>
      <c r="G75" s="3">
        <v>0</v>
      </c>
      <c r="H75" s="3">
        <v>0</v>
      </c>
      <c r="I75" s="3">
        <v>0</v>
      </c>
      <c r="J75" s="9">
        <v>0.31944444444444448</v>
      </c>
      <c r="K75" s="3">
        <v>137.80000000000001</v>
      </c>
      <c r="L75" s="11">
        <f t="shared" ref="L75" si="108">K75-K74</f>
        <v>2</v>
      </c>
      <c r="M75" s="5">
        <f t="shared" ref="M75" si="109">AB74</f>
        <v>4196.05</v>
      </c>
      <c r="N75" s="11">
        <v>30.5</v>
      </c>
      <c r="O75" s="11">
        <v>32</v>
      </c>
      <c r="P75" s="11">
        <v>10.5</v>
      </c>
      <c r="Q75" s="11">
        <v>10.75</v>
      </c>
      <c r="R75" s="11">
        <v>19.25</v>
      </c>
      <c r="S75" s="11">
        <v>19.75</v>
      </c>
      <c r="T75" s="11">
        <v>12.5</v>
      </c>
      <c r="U75" s="11">
        <v>12</v>
      </c>
      <c r="V75" s="11">
        <v>16</v>
      </c>
      <c r="W75" s="11">
        <v>16</v>
      </c>
      <c r="X75" s="11">
        <v>7</v>
      </c>
      <c r="Y75" s="11">
        <v>7</v>
      </c>
      <c r="Z75" s="3" t="s">
        <v>490</v>
      </c>
      <c r="AA75" s="10" t="s">
        <v>489</v>
      </c>
      <c r="AB75" s="5">
        <f>639.25*3+105+230*2</f>
        <v>2482.75</v>
      </c>
      <c r="AC75" s="6">
        <f>25.25*3+4.5+16.5*2</f>
        <v>113.25</v>
      </c>
      <c r="AD75" s="6">
        <f>6.1*3+0+10*2</f>
        <v>38.299999999999997</v>
      </c>
      <c r="AE75" s="6">
        <f>29*3+0+3*2</f>
        <v>93</v>
      </c>
      <c r="AF75" s="6">
        <f>75.6*3+15+19.5*2</f>
        <v>280.79999999999995</v>
      </c>
      <c r="AG75" s="6">
        <f>4.75*3+1*2+0</f>
        <v>16.25</v>
      </c>
      <c r="AH75" s="6">
        <f>394.3*3+45+105*2</f>
        <v>1437.9</v>
      </c>
      <c r="AI75" s="6">
        <f t="shared" si="1"/>
        <v>4.5614741717853187E-2</v>
      </c>
      <c r="AJ75" s="6">
        <f t="shared" si="2"/>
        <v>1.5426442452925182E-2</v>
      </c>
      <c r="AK75" s="6">
        <f t="shared" si="3"/>
        <v>3.7458463397442354E-2</v>
      </c>
      <c r="AL75" s="6">
        <f t="shared" si="4"/>
        <v>0.11310039270969689</v>
      </c>
      <c r="AM75" s="6">
        <f t="shared" si="5"/>
        <v>6.5451616151444968E-3</v>
      </c>
      <c r="AN75" s="6">
        <f t="shared" si="6"/>
        <v>0.57915617762561677</v>
      </c>
      <c r="AO75" s="7">
        <v>5</v>
      </c>
      <c r="AP75" s="7">
        <v>2</v>
      </c>
      <c r="AQ75" s="7">
        <v>1</v>
      </c>
      <c r="AR75" s="10">
        <v>0</v>
      </c>
      <c r="AS75" s="7">
        <v>0</v>
      </c>
      <c r="AT75" s="7">
        <v>0</v>
      </c>
      <c r="AU75" s="7">
        <v>0</v>
      </c>
      <c r="AV75" s="7">
        <v>0</v>
      </c>
      <c r="AW75" s="7">
        <v>0</v>
      </c>
      <c r="AX75" s="7">
        <v>1</v>
      </c>
      <c r="AY75" s="5">
        <v>8</v>
      </c>
      <c r="AZ75" s="7">
        <v>0</v>
      </c>
      <c r="BA75" s="7">
        <v>1</v>
      </c>
      <c r="BB75" s="7">
        <v>0</v>
      </c>
      <c r="BC75" s="7">
        <v>1</v>
      </c>
      <c r="BD75" s="7">
        <v>1</v>
      </c>
      <c r="BE75" s="7">
        <v>0</v>
      </c>
      <c r="BF75" s="7">
        <v>0</v>
      </c>
      <c r="BG75" s="7">
        <v>0</v>
      </c>
      <c r="BH75" s="7">
        <v>0</v>
      </c>
      <c r="BI75" s="7">
        <v>0</v>
      </c>
      <c r="BJ75" s="3">
        <v>0</v>
      </c>
      <c r="BK75" s="6">
        <v>0</v>
      </c>
      <c r="BL75" s="7">
        <v>0</v>
      </c>
      <c r="BM75" s="3">
        <v>0</v>
      </c>
    </row>
    <row r="76" spans="1:65" ht="20.100000000000001" customHeight="1" x14ac:dyDescent="0.3">
      <c r="A76" s="3" t="s">
        <v>16</v>
      </c>
      <c r="B76" s="3">
        <v>12</v>
      </c>
      <c r="C76" s="8">
        <v>44285</v>
      </c>
      <c r="D76" s="9">
        <v>0.30277777777777776</v>
      </c>
      <c r="E76" s="4">
        <v>55</v>
      </c>
      <c r="F76" s="3">
        <v>0</v>
      </c>
      <c r="G76" s="3">
        <v>0</v>
      </c>
      <c r="H76" s="3">
        <v>0</v>
      </c>
      <c r="I76" s="3">
        <v>0</v>
      </c>
      <c r="J76" s="9">
        <v>0.31805555555555554</v>
      </c>
      <c r="K76" s="3">
        <v>136.80000000000001</v>
      </c>
      <c r="L76" s="11">
        <f t="shared" ref="L76" si="110">K76-K75</f>
        <v>-1</v>
      </c>
      <c r="M76" s="5">
        <f t="shared" ref="M76" si="111">AB75</f>
        <v>2482.75</v>
      </c>
      <c r="N76" s="11">
        <v>31</v>
      </c>
      <c r="O76" s="11">
        <v>32</v>
      </c>
      <c r="P76" s="11">
        <v>10.5</v>
      </c>
      <c r="Q76" s="11">
        <v>10.5</v>
      </c>
      <c r="R76" s="11">
        <v>19</v>
      </c>
      <c r="S76" s="11">
        <v>19.25</v>
      </c>
      <c r="T76" s="11">
        <v>11</v>
      </c>
      <c r="U76" s="11">
        <v>11</v>
      </c>
      <c r="V76" s="11">
        <v>15</v>
      </c>
      <c r="W76" s="11">
        <v>13</v>
      </c>
      <c r="X76" s="11">
        <v>7</v>
      </c>
      <c r="Y76" s="11">
        <v>7</v>
      </c>
      <c r="Z76" s="3" t="s">
        <v>499</v>
      </c>
      <c r="AA76" s="10" t="s">
        <v>498</v>
      </c>
      <c r="AB76" s="5">
        <f>190+200+190+661.8+45+8+661.8+200+123</f>
        <v>2279.6</v>
      </c>
      <c r="AC76" s="6">
        <f>7+20+7+22.1+0+0.8+22.13+12+0</f>
        <v>91.03</v>
      </c>
      <c r="AD76" s="6">
        <f>1.5+16+1.5+8.25+0+0+8.25+8+0</f>
        <v>43.5</v>
      </c>
      <c r="AE76" s="6">
        <f>4+10+4+22.75+0+0.25+22.75+16+0</f>
        <v>79.75</v>
      </c>
      <c r="AF76" s="6">
        <f>29+0+29+57.25+12+0.25+57.25+4+4</f>
        <v>192.75</v>
      </c>
      <c r="AG76" s="6">
        <f>2+0+2+7.25+0+0+7.25+0+0</f>
        <v>18.5</v>
      </c>
      <c r="AH76" s="6">
        <f>340+420+340+831.3+0+28.8+831.25+560+6</f>
        <v>3357.35</v>
      </c>
      <c r="AI76" s="6">
        <f t="shared" si="1"/>
        <v>3.9932444288471661E-2</v>
      </c>
      <c r="AJ76" s="6">
        <f t="shared" si="2"/>
        <v>1.9082295139498159E-2</v>
      </c>
      <c r="AK76" s="6">
        <f t="shared" si="3"/>
        <v>3.4984207755746621E-2</v>
      </c>
      <c r="AL76" s="6">
        <f t="shared" si="4"/>
        <v>8.4554307773293563E-2</v>
      </c>
      <c r="AM76" s="6">
        <f t="shared" si="5"/>
        <v>8.1154588524302504E-3</v>
      </c>
      <c r="AN76" s="6">
        <f t="shared" si="6"/>
        <v>1.4727803123354974</v>
      </c>
      <c r="AO76" s="7">
        <v>4</v>
      </c>
      <c r="AP76" s="7">
        <v>1</v>
      </c>
      <c r="AQ76" s="7">
        <v>1</v>
      </c>
      <c r="AR76" s="10">
        <v>0</v>
      </c>
      <c r="AS76" s="7">
        <v>0</v>
      </c>
      <c r="AT76" s="7">
        <v>0</v>
      </c>
      <c r="AU76" s="7">
        <v>0</v>
      </c>
      <c r="AV76" s="7">
        <v>0</v>
      </c>
      <c r="AW76" s="7">
        <v>0</v>
      </c>
      <c r="AX76" s="7">
        <v>1</v>
      </c>
      <c r="AY76" s="5">
        <v>6</v>
      </c>
      <c r="AZ76" s="7">
        <v>0</v>
      </c>
      <c r="BA76" s="7">
        <v>0</v>
      </c>
      <c r="BB76" s="7">
        <v>1</v>
      </c>
      <c r="BC76" s="7">
        <v>1</v>
      </c>
      <c r="BD76" s="7">
        <v>1</v>
      </c>
      <c r="BE76" s="7">
        <v>0</v>
      </c>
      <c r="BF76" s="7">
        <v>1</v>
      </c>
      <c r="BG76" s="7">
        <v>15</v>
      </c>
      <c r="BH76" s="7">
        <v>0</v>
      </c>
      <c r="BI76" s="7">
        <v>0</v>
      </c>
      <c r="BJ76" s="3">
        <v>0</v>
      </c>
      <c r="BK76" s="6">
        <v>1</v>
      </c>
      <c r="BL76" s="3" t="s">
        <v>969</v>
      </c>
      <c r="BM76" s="3">
        <v>0</v>
      </c>
    </row>
    <row r="77" spans="1:65" ht="20.100000000000001" customHeight="1" x14ac:dyDescent="0.3">
      <c r="A77" s="3" t="s">
        <v>17</v>
      </c>
      <c r="B77" s="3">
        <v>13</v>
      </c>
      <c r="C77" s="8">
        <v>44286</v>
      </c>
      <c r="D77" s="9">
        <v>0.3125</v>
      </c>
      <c r="E77" s="4">
        <v>64</v>
      </c>
      <c r="F77" s="3">
        <v>0</v>
      </c>
      <c r="G77" s="3">
        <v>0</v>
      </c>
      <c r="H77" s="3">
        <v>0</v>
      </c>
      <c r="I77" s="3">
        <v>0</v>
      </c>
      <c r="J77" s="9">
        <v>0.31597222222222221</v>
      </c>
      <c r="K77" s="3">
        <v>136.80000000000001</v>
      </c>
      <c r="L77" s="11">
        <f t="shared" ref="L77" si="112">K77-K76</f>
        <v>0</v>
      </c>
      <c r="M77" s="5">
        <f t="shared" ref="M77" si="113">AB76</f>
        <v>2279.6</v>
      </c>
      <c r="N77" s="11">
        <v>31</v>
      </c>
      <c r="O77" s="11">
        <v>32</v>
      </c>
      <c r="P77" s="11">
        <v>10.375</v>
      </c>
      <c r="Q77" s="11">
        <v>10.375</v>
      </c>
      <c r="R77" s="11">
        <v>19.25</v>
      </c>
      <c r="S77" s="11">
        <v>19.5</v>
      </c>
      <c r="T77" s="11">
        <v>11</v>
      </c>
      <c r="U77" s="11">
        <v>10</v>
      </c>
      <c r="V77" s="11">
        <v>16</v>
      </c>
      <c r="W77" s="11">
        <v>15</v>
      </c>
      <c r="X77" s="11">
        <v>7</v>
      </c>
      <c r="Y77" s="11">
        <v>7</v>
      </c>
      <c r="Z77" s="3" t="s">
        <v>501</v>
      </c>
      <c r="AA77" s="10" t="s">
        <v>500</v>
      </c>
      <c r="AB77" s="5">
        <f>1323.5+130+210+67.5+45+35+300+200</f>
        <v>2311</v>
      </c>
      <c r="AC77" s="6">
        <f>44.25+2+0+5.6+0+1.5+3+12</f>
        <v>68.349999999999994</v>
      </c>
      <c r="AD77" s="6">
        <f>16.5+0+0+0+0+0+0+8</f>
        <v>24.5</v>
      </c>
      <c r="AE77" s="6">
        <f>45.5+18+2+2.25+0+0+3+16</f>
        <v>86.75</v>
      </c>
      <c r="AF77" s="6">
        <f>114.5+9+54+2.25+12+5+63+4</f>
        <v>263.75</v>
      </c>
      <c r="AG77" s="6">
        <f>14.5+2+6+0+0+0+6+0</f>
        <v>28.5</v>
      </c>
      <c r="AH77" s="6">
        <f>1662.5+320+2+258.8+0+15+60+560</f>
        <v>2878.3</v>
      </c>
      <c r="AI77" s="6">
        <f t="shared" si="1"/>
        <v>2.9575941151016874E-2</v>
      </c>
      <c r="AJ77" s="6">
        <f t="shared" si="2"/>
        <v>1.0601471224578106E-2</v>
      </c>
      <c r="AK77" s="6">
        <f t="shared" si="3"/>
        <v>3.7537862397230636E-2</v>
      </c>
      <c r="AL77" s="6">
        <f t="shared" si="4"/>
        <v>0.11412808308091735</v>
      </c>
      <c r="AM77" s="6">
        <f t="shared" si="5"/>
        <v>1.2332323669407183E-2</v>
      </c>
      <c r="AN77" s="6">
        <f t="shared" si="6"/>
        <v>1.245478147987884</v>
      </c>
      <c r="AO77" s="7">
        <v>4</v>
      </c>
      <c r="AP77" s="7">
        <v>1</v>
      </c>
      <c r="AQ77" s="7">
        <v>1</v>
      </c>
      <c r="AR77" s="10">
        <v>0</v>
      </c>
      <c r="AS77" s="7">
        <v>0</v>
      </c>
      <c r="AT77" s="7">
        <v>0</v>
      </c>
      <c r="AU77" s="7">
        <v>0</v>
      </c>
      <c r="AV77" s="7">
        <v>0</v>
      </c>
      <c r="AW77" s="7">
        <v>31</v>
      </c>
      <c r="AX77" s="7">
        <v>1</v>
      </c>
      <c r="AY77" s="5">
        <v>7</v>
      </c>
      <c r="AZ77" s="7">
        <v>1</v>
      </c>
      <c r="BA77" s="7">
        <v>1</v>
      </c>
      <c r="BB77" s="7">
        <v>1</v>
      </c>
      <c r="BC77" s="7">
        <v>1</v>
      </c>
      <c r="BD77" s="7">
        <v>1</v>
      </c>
      <c r="BE77" s="7">
        <v>1</v>
      </c>
      <c r="BF77" s="7">
        <v>0</v>
      </c>
      <c r="BG77" s="7">
        <v>0</v>
      </c>
      <c r="BH77" s="7">
        <v>0</v>
      </c>
      <c r="BI77" s="7">
        <v>0</v>
      </c>
      <c r="BJ77" s="3">
        <v>0</v>
      </c>
      <c r="BK77" s="6">
        <v>0</v>
      </c>
      <c r="BL77" s="7">
        <v>0</v>
      </c>
      <c r="BM77" s="3">
        <v>0</v>
      </c>
    </row>
    <row r="78" spans="1:65" ht="20.100000000000001" customHeight="1" x14ac:dyDescent="0.3">
      <c r="A78" s="3" t="s">
        <v>18</v>
      </c>
      <c r="B78" s="3">
        <v>14</v>
      </c>
      <c r="C78" s="8">
        <v>44287</v>
      </c>
      <c r="D78" s="9">
        <v>0.35416666666666669</v>
      </c>
      <c r="E78" s="4">
        <v>72</v>
      </c>
      <c r="F78" s="3">
        <v>0</v>
      </c>
      <c r="G78" s="3">
        <v>0</v>
      </c>
      <c r="H78" s="3">
        <v>0</v>
      </c>
      <c r="I78" s="3">
        <v>0</v>
      </c>
      <c r="J78" s="9">
        <v>0.35416666666666669</v>
      </c>
      <c r="K78" s="3">
        <v>138.80000000000001</v>
      </c>
      <c r="L78" s="11">
        <f t="shared" ref="L78" si="114">K78-K77</f>
        <v>2</v>
      </c>
      <c r="M78" s="5">
        <f t="shared" ref="M78" si="115">AB77</f>
        <v>2311</v>
      </c>
      <c r="N78" s="11">
        <v>31.5</v>
      </c>
      <c r="O78" s="11">
        <v>32.75</v>
      </c>
      <c r="P78" s="11">
        <v>10.5</v>
      </c>
      <c r="Q78" s="11">
        <v>10.375</v>
      </c>
      <c r="R78" s="11">
        <v>19.75</v>
      </c>
      <c r="S78" s="11">
        <v>19.75</v>
      </c>
      <c r="T78" s="11">
        <v>13</v>
      </c>
      <c r="U78" s="11">
        <v>13</v>
      </c>
      <c r="V78" s="11">
        <v>17</v>
      </c>
      <c r="W78" s="11">
        <v>15</v>
      </c>
      <c r="X78" s="11">
        <v>7</v>
      </c>
      <c r="Y78" s="11">
        <v>7</v>
      </c>
      <c r="Z78" s="3" t="s">
        <v>507</v>
      </c>
      <c r="AA78" s="10" t="s">
        <v>506</v>
      </c>
      <c r="AB78" s="5">
        <f>1494+80+100+300+200+70</f>
        <v>2244</v>
      </c>
      <c r="AC78" s="6">
        <f>57.6+6+6+3+12+5</f>
        <v>89.6</v>
      </c>
      <c r="AD78" s="6">
        <f>16.4+3+4+0+8+3.5</f>
        <v>34.9</v>
      </c>
      <c r="AE78" s="6">
        <f>90.2+6+8+6+16+1</f>
        <v>127.2</v>
      </c>
      <c r="AF78" s="6">
        <f>162.2+2+2+63+4+4</f>
        <v>237.2</v>
      </c>
      <c r="AG78" s="6">
        <f>34.4+0+0+6+0+0</f>
        <v>40.4</v>
      </c>
      <c r="AH78" s="6">
        <f>1850+180+280+60+560+20</f>
        <v>2950</v>
      </c>
      <c r="AI78" s="6">
        <f t="shared" si="1"/>
        <v>3.992869875222816E-2</v>
      </c>
      <c r="AJ78" s="6">
        <f t="shared" si="2"/>
        <v>1.5552584670231729E-2</v>
      </c>
      <c r="AK78" s="6">
        <f t="shared" si="3"/>
        <v>5.6684491978609627E-2</v>
      </c>
      <c r="AL78" s="6">
        <f t="shared" si="4"/>
        <v>0.10570409982174687</v>
      </c>
      <c r="AM78" s="6">
        <f t="shared" si="5"/>
        <v>1.800356506238859E-2</v>
      </c>
      <c r="AN78" s="6">
        <f t="shared" si="6"/>
        <v>1.3146167557932265</v>
      </c>
      <c r="AO78" s="7">
        <v>4</v>
      </c>
      <c r="AP78" s="7">
        <v>1</v>
      </c>
      <c r="AQ78" s="7">
        <v>1</v>
      </c>
      <c r="AR78" s="10">
        <v>0</v>
      </c>
      <c r="AS78" s="7">
        <v>0</v>
      </c>
      <c r="AT78" s="7">
        <v>0</v>
      </c>
      <c r="AU78" s="7">
        <v>0</v>
      </c>
      <c r="AV78" s="7">
        <v>0</v>
      </c>
      <c r="AW78" s="7">
        <v>0</v>
      </c>
      <c r="AX78" s="7">
        <v>0</v>
      </c>
      <c r="AY78" s="5">
        <v>6.5</v>
      </c>
      <c r="AZ78" s="7">
        <v>1</v>
      </c>
      <c r="BA78" s="7">
        <v>1</v>
      </c>
      <c r="BB78" s="7">
        <v>0</v>
      </c>
      <c r="BC78" s="7">
        <v>1</v>
      </c>
      <c r="BD78" s="7">
        <v>1</v>
      </c>
      <c r="BE78" s="7">
        <v>0</v>
      </c>
      <c r="BF78" s="7">
        <v>0</v>
      </c>
      <c r="BG78" s="7">
        <v>0</v>
      </c>
      <c r="BH78" s="7">
        <v>0</v>
      </c>
      <c r="BI78" s="7">
        <v>0</v>
      </c>
      <c r="BJ78" s="3">
        <v>0</v>
      </c>
      <c r="BK78" s="6">
        <v>0</v>
      </c>
      <c r="BL78" s="7">
        <v>0</v>
      </c>
      <c r="BM78" s="3">
        <v>0</v>
      </c>
    </row>
    <row r="79" spans="1:65" ht="20.100000000000001" customHeight="1" x14ac:dyDescent="0.3">
      <c r="A79" s="3" t="s">
        <v>137</v>
      </c>
      <c r="B79" s="3">
        <v>15</v>
      </c>
      <c r="C79" s="8">
        <v>44288</v>
      </c>
      <c r="D79" s="9">
        <v>0.3125</v>
      </c>
      <c r="E79" s="4">
        <v>54</v>
      </c>
      <c r="F79" s="3">
        <v>0</v>
      </c>
      <c r="G79" s="3">
        <v>0</v>
      </c>
      <c r="H79" s="3">
        <v>0</v>
      </c>
      <c r="I79" s="3">
        <v>0</v>
      </c>
      <c r="J79" s="9">
        <v>0.30763888888888891</v>
      </c>
      <c r="K79" s="3">
        <v>137.19999999999999</v>
      </c>
      <c r="L79" s="11">
        <f t="shared" ref="L79" si="116">K79-K78</f>
        <v>-1.6000000000000227</v>
      </c>
      <c r="M79" s="5">
        <f t="shared" ref="M79" si="117">AB78</f>
        <v>2244</v>
      </c>
      <c r="N79" s="11">
        <v>30.75</v>
      </c>
      <c r="O79" s="11">
        <v>31.75</v>
      </c>
      <c r="P79" s="11">
        <v>10.375</v>
      </c>
      <c r="Q79" s="11">
        <v>10.375</v>
      </c>
      <c r="R79" s="11">
        <v>19</v>
      </c>
      <c r="S79" s="11">
        <v>19</v>
      </c>
      <c r="T79" s="11">
        <v>13</v>
      </c>
      <c r="U79" s="11">
        <v>11</v>
      </c>
      <c r="V79" s="11">
        <v>16</v>
      </c>
      <c r="W79" s="11">
        <v>16</v>
      </c>
      <c r="X79" s="11">
        <v>7</v>
      </c>
      <c r="Y79" s="11">
        <v>7</v>
      </c>
      <c r="Z79" s="3" t="s">
        <v>509</v>
      </c>
      <c r="AA79" s="10" t="s">
        <v>508</v>
      </c>
      <c r="AB79" s="5">
        <f>1494+320+130+45+105+105+246+200+160</f>
        <v>2805</v>
      </c>
      <c r="AC79" s="6">
        <f>57.6+24+2+3.75+0+4.5+0+2+12</f>
        <v>105.85</v>
      </c>
      <c r="AD79" s="6">
        <f>16.4+12+0+0+0+0+0+0+6</f>
        <v>34.4</v>
      </c>
      <c r="AE79" s="6">
        <f>90.2+24+18+1.5+1+0+0+4+12</f>
        <v>150.69999999999999</v>
      </c>
      <c r="AF79" s="6">
        <f>162.2+8+9+1.5+27+15+8+42+4</f>
        <v>276.7</v>
      </c>
      <c r="AG79" s="6">
        <f>34.4+0+2+0+3+0+0+4+0</f>
        <v>43.4</v>
      </c>
      <c r="AH79" s="6">
        <f>1850+720+320+172.5+1+45+12+40+360</f>
        <v>3520.5</v>
      </c>
      <c r="AI79" s="6">
        <f t="shared" si="1"/>
        <v>3.7736185383244206E-2</v>
      </c>
      <c r="AJ79" s="6">
        <f t="shared" si="2"/>
        <v>1.2263814616755792E-2</v>
      </c>
      <c r="AK79" s="6">
        <f t="shared" si="3"/>
        <v>5.3725490196078425E-2</v>
      </c>
      <c r="AL79" s="6">
        <f t="shared" si="4"/>
        <v>9.8645276292335118E-2</v>
      </c>
      <c r="AM79" s="6">
        <f t="shared" si="5"/>
        <v>1.5472370766488414E-2</v>
      </c>
      <c r="AN79" s="6">
        <f t="shared" si="6"/>
        <v>1.2550802139037434</v>
      </c>
      <c r="AO79" s="7">
        <v>3</v>
      </c>
      <c r="AP79" s="7">
        <v>2</v>
      </c>
      <c r="AQ79" s="7">
        <v>1</v>
      </c>
      <c r="AR79" s="10">
        <v>0</v>
      </c>
      <c r="AS79" s="7">
        <v>0</v>
      </c>
      <c r="AT79" s="7">
        <v>0</v>
      </c>
      <c r="AU79" s="7">
        <v>0</v>
      </c>
      <c r="AV79" s="7">
        <v>0</v>
      </c>
      <c r="AW79" s="7">
        <v>31</v>
      </c>
      <c r="AX79" s="7">
        <v>1</v>
      </c>
      <c r="AY79" s="5">
        <v>6.25</v>
      </c>
      <c r="AZ79" s="7">
        <v>1</v>
      </c>
      <c r="BA79" s="7">
        <v>0</v>
      </c>
      <c r="BB79" s="7">
        <v>0</v>
      </c>
      <c r="BC79" s="7">
        <v>1</v>
      </c>
      <c r="BD79" s="7">
        <v>1</v>
      </c>
      <c r="BE79" s="7">
        <v>1</v>
      </c>
      <c r="BF79" s="7">
        <v>0</v>
      </c>
      <c r="BG79" s="7">
        <v>0</v>
      </c>
      <c r="BH79" s="7">
        <v>0</v>
      </c>
      <c r="BI79" s="7">
        <v>0</v>
      </c>
      <c r="BJ79" s="3">
        <v>0</v>
      </c>
      <c r="BK79" s="6">
        <v>2</v>
      </c>
      <c r="BL79" s="3" t="s">
        <v>969</v>
      </c>
      <c r="BM79" s="3">
        <v>0</v>
      </c>
    </row>
    <row r="80" spans="1:65" ht="20.100000000000001" customHeight="1" x14ac:dyDescent="0.3">
      <c r="A80" s="3" t="s">
        <v>19</v>
      </c>
      <c r="B80" s="3">
        <v>16</v>
      </c>
      <c r="C80" s="8">
        <v>44289</v>
      </c>
      <c r="D80" s="9">
        <v>0.27777777777777779</v>
      </c>
      <c r="E80" s="4">
        <v>51</v>
      </c>
      <c r="F80" s="3">
        <v>0</v>
      </c>
      <c r="G80" s="3">
        <v>0</v>
      </c>
      <c r="H80" s="3">
        <v>0</v>
      </c>
      <c r="I80" s="3">
        <v>0</v>
      </c>
      <c r="J80" s="9">
        <v>0.27777777777777779</v>
      </c>
      <c r="K80" s="3">
        <v>138</v>
      </c>
      <c r="L80" s="11">
        <f t="shared" ref="L80" si="118">K80-K79</f>
        <v>0.80000000000001137</v>
      </c>
      <c r="M80" s="5">
        <f t="shared" ref="M80" si="119">AB79</f>
        <v>2805</v>
      </c>
      <c r="N80" s="11">
        <v>31</v>
      </c>
      <c r="O80" s="11">
        <v>31.5</v>
      </c>
      <c r="P80" s="11">
        <v>10.5</v>
      </c>
      <c r="Q80" s="11">
        <v>10.5</v>
      </c>
      <c r="R80" s="11">
        <v>19.25</v>
      </c>
      <c r="S80" s="11">
        <v>19.125</v>
      </c>
      <c r="T80" s="11">
        <v>12</v>
      </c>
      <c r="U80" s="11">
        <v>11</v>
      </c>
      <c r="V80" s="11">
        <v>13</v>
      </c>
      <c r="W80" s="11">
        <v>15</v>
      </c>
      <c r="X80" s="11">
        <v>7</v>
      </c>
      <c r="Y80" s="11">
        <v>7</v>
      </c>
      <c r="Z80" t="s">
        <v>512</v>
      </c>
      <c r="AA80" s="10" t="s">
        <v>511</v>
      </c>
      <c r="AB80" s="5">
        <f>373.5+160+105+260+75+200+80</f>
        <v>1253.5</v>
      </c>
      <c r="AC80" s="6">
        <f>14.4+12+4.5+4+7.5+2+6</f>
        <v>50.4</v>
      </c>
      <c r="AD80" s="6">
        <f>4.1+6+0+0+0+0+3</f>
        <v>13.1</v>
      </c>
      <c r="AE80" s="6">
        <f>22.55+12+0+36+2.5+4+6</f>
        <v>83.05</v>
      </c>
      <c r="AF80" s="6">
        <f>40.55+4+15+18+2.5+42+2</f>
        <v>124.05</v>
      </c>
      <c r="AG80" s="6">
        <f>8.6+0+0+4+0+4+0</f>
        <v>16.600000000000001</v>
      </c>
      <c r="AH80" s="6">
        <f>462.5+360+45+640+287.5+40+180</f>
        <v>2015</v>
      </c>
      <c r="AI80" s="6">
        <f t="shared" si="1"/>
        <v>4.0207419226166732E-2</v>
      </c>
      <c r="AJ80" s="6">
        <f t="shared" si="2"/>
        <v>1.0450737933785401E-2</v>
      </c>
      <c r="AK80" s="6">
        <f t="shared" si="3"/>
        <v>6.6254487435181489E-2</v>
      </c>
      <c r="AL80" s="6">
        <f t="shared" si="4"/>
        <v>9.8962903869166327E-2</v>
      </c>
      <c r="AM80" s="6">
        <f t="shared" si="5"/>
        <v>1.3242919824491425E-2</v>
      </c>
      <c r="AN80" s="6">
        <f t="shared" si="6"/>
        <v>1.6074990027921818</v>
      </c>
      <c r="AO80" s="7">
        <v>4</v>
      </c>
      <c r="AP80" s="7">
        <v>1</v>
      </c>
      <c r="AQ80" s="7">
        <v>1</v>
      </c>
      <c r="AR80" s="10">
        <v>0</v>
      </c>
      <c r="AS80" s="7">
        <v>0</v>
      </c>
      <c r="AT80" s="7">
        <v>0</v>
      </c>
      <c r="AU80" s="7">
        <v>0</v>
      </c>
      <c r="AV80" s="7">
        <v>0</v>
      </c>
      <c r="AW80" s="7">
        <v>31</v>
      </c>
      <c r="AX80" s="7">
        <v>1</v>
      </c>
      <c r="AY80" s="5">
        <v>7.5</v>
      </c>
      <c r="AZ80" s="7">
        <v>1</v>
      </c>
      <c r="BA80" s="7">
        <v>1</v>
      </c>
      <c r="BB80" s="7">
        <v>0</v>
      </c>
      <c r="BC80" s="7">
        <v>1</v>
      </c>
      <c r="BD80" s="7">
        <v>1</v>
      </c>
      <c r="BE80" s="7">
        <v>2</v>
      </c>
      <c r="BF80" s="7">
        <v>0</v>
      </c>
      <c r="BG80" s="7">
        <v>0</v>
      </c>
      <c r="BH80" s="7">
        <v>0</v>
      </c>
      <c r="BI80" s="7">
        <v>0</v>
      </c>
      <c r="BJ80" s="3">
        <v>0</v>
      </c>
      <c r="BK80" s="6">
        <v>0</v>
      </c>
      <c r="BL80" s="7">
        <v>0</v>
      </c>
      <c r="BM80" s="3">
        <v>0</v>
      </c>
    </row>
    <row r="81" spans="1:65" ht="20.100000000000001" customHeight="1" x14ac:dyDescent="0.3">
      <c r="A81" s="3" t="s">
        <v>23</v>
      </c>
      <c r="B81" s="3">
        <v>17</v>
      </c>
      <c r="C81" s="8">
        <v>44290</v>
      </c>
      <c r="D81" s="9">
        <v>0.42291666666666666</v>
      </c>
      <c r="E81" s="4">
        <v>66</v>
      </c>
      <c r="F81" s="3">
        <v>0</v>
      </c>
      <c r="G81" s="3">
        <v>0</v>
      </c>
      <c r="H81" s="3">
        <v>0</v>
      </c>
      <c r="I81" s="3">
        <v>0</v>
      </c>
      <c r="J81" s="9">
        <v>0.4236111111111111</v>
      </c>
      <c r="K81" s="3">
        <v>138</v>
      </c>
      <c r="L81" s="11">
        <f t="shared" ref="L81" si="120">K81-K80</f>
        <v>0</v>
      </c>
      <c r="M81" s="5">
        <f t="shared" ref="M81" si="121">AB80</f>
        <v>1253.5</v>
      </c>
      <c r="N81" s="11">
        <v>30.5</v>
      </c>
      <c r="O81" s="11">
        <v>31.375</v>
      </c>
      <c r="P81" s="11">
        <v>10.25</v>
      </c>
      <c r="Q81" s="11">
        <v>10.5</v>
      </c>
      <c r="R81" s="11">
        <v>19.25</v>
      </c>
      <c r="S81" s="11">
        <v>19.25</v>
      </c>
      <c r="T81" s="11">
        <v>11</v>
      </c>
      <c r="U81" s="11">
        <v>11</v>
      </c>
      <c r="V81" s="11">
        <v>16</v>
      </c>
      <c r="W81" s="11">
        <v>14</v>
      </c>
      <c r="X81" s="11">
        <v>7</v>
      </c>
      <c r="Y81" s="11">
        <v>7</v>
      </c>
      <c r="Z81" s="3" t="s">
        <v>518</v>
      </c>
      <c r="AA81" s="10" t="s">
        <v>517</v>
      </c>
      <c r="AB81" s="5">
        <f>400+1173+200+130+133.3+60+1173+200</f>
        <v>3469.3</v>
      </c>
      <c r="AC81" s="6">
        <f>10+57.8+12+2+8+5+57.75+12</f>
        <v>164.55</v>
      </c>
      <c r="AD81" s="6">
        <f>5+29.5+8+0+1.7+0+29.5+8</f>
        <v>81.7</v>
      </c>
      <c r="AE81" s="6">
        <f>4+46.5+16+18+1.7+2+46.5+16</f>
        <v>150.69999999999999</v>
      </c>
      <c r="AF81" s="6">
        <f>74+25.5+4+9+33.3+2+25.5+4</f>
        <v>177.3</v>
      </c>
      <c r="AG81" s="6">
        <f>1+7.3+0+2+15+0+7.25+0</f>
        <v>32.549999999999997</v>
      </c>
      <c r="AH81" s="6">
        <f>240+961.3+560+320+0+230+961.3+560</f>
        <v>3832.6000000000004</v>
      </c>
      <c r="AI81" s="6">
        <f t="shared" si="1"/>
        <v>4.7430317355086044E-2</v>
      </c>
      <c r="AJ81" s="6">
        <f t="shared" si="2"/>
        <v>2.3549419191191308E-2</v>
      </c>
      <c r="AK81" s="6">
        <f t="shared" si="3"/>
        <v>4.3438157553396931E-2</v>
      </c>
      <c r="AL81" s="6">
        <f t="shared" si="4"/>
        <v>5.1105410313319694E-2</v>
      </c>
      <c r="AM81" s="6">
        <f t="shared" si="5"/>
        <v>9.382296140431786E-3</v>
      </c>
      <c r="AN81" s="6">
        <f t="shared" si="6"/>
        <v>1.104718531115787</v>
      </c>
      <c r="AO81" s="7">
        <v>4</v>
      </c>
      <c r="AP81" s="7">
        <v>0</v>
      </c>
      <c r="AQ81" s="7">
        <v>1</v>
      </c>
      <c r="AR81" s="10">
        <v>0</v>
      </c>
      <c r="AS81" s="7">
        <v>0</v>
      </c>
      <c r="AT81" s="7">
        <v>0</v>
      </c>
      <c r="AU81" s="7">
        <v>0</v>
      </c>
      <c r="AV81" s="7">
        <v>0</v>
      </c>
      <c r="AW81" s="7">
        <v>0</v>
      </c>
      <c r="AX81" s="7">
        <v>1</v>
      </c>
      <c r="AY81" s="5">
        <v>6</v>
      </c>
      <c r="AZ81" s="7">
        <v>0</v>
      </c>
      <c r="BA81" s="7">
        <v>1</v>
      </c>
      <c r="BB81" s="7">
        <v>0</v>
      </c>
      <c r="BC81" s="7">
        <v>1</v>
      </c>
      <c r="BD81" s="7">
        <v>1</v>
      </c>
      <c r="BE81" s="7">
        <v>1</v>
      </c>
      <c r="BF81" s="7">
        <v>1</v>
      </c>
      <c r="BG81" s="7">
        <v>15</v>
      </c>
      <c r="BH81" s="7">
        <v>0</v>
      </c>
      <c r="BI81" s="7">
        <v>0</v>
      </c>
      <c r="BJ81" s="3">
        <v>0</v>
      </c>
      <c r="BK81" s="6">
        <v>0</v>
      </c>
      <c r="BL81" s="7">
        <v>0</v>
      </c>
      <c r="BM81" s="3">
        <v>0</v>
      </c>
    </row>
    <row r="82" spans="1:65" ht="20.100000000000001" customHeight="1" x14ac:dyDescent="0.3">
      <c r="A82" s="3" t="s">
        <v>15</v>
      </c>
      <c r="B82" s="3">
        <v>18</v>
      </c>
      <c r="C82" s="8">
        <v>44291</v>
      </c>
      <c r="D82" s="9">
        <v>0.59375</v>
      </c>
      <c r="E82" s="4">
        <v>74</v>
      </c>
      <c r="F82" s="3">
        <v>0</v>
      </c>
      <c r="G82" s="3">
        <v>0</v>
      </c>
      <c r="H82" s="3">
        <v>0</v>
      </c>
      <c r="I82" s="3">
        <v>0</v>
      </c>
      <c r="J82" s="9">
        <v>0.3666666666666667</v>
      </c>
      <c r="K82" s="3">
        <v>136.19999999999999</v>
      </c>
      <c r="L82" s="11">
        <f t="shared" ref="L82" si="122">K82-K81</f>
        <v>-1.8000000000000114</v>
      </c>
      <c r="M82" s="5">
        <f t="shared" ref="M82" si="123">AB81</f>
        <v>3469.3</v>
      </c>
      <c r="N82" s="11">
        <v>30.25</v>
      </c>
      <c r="O82" s="11">
        <v>31.375</v>
      </c>
      <c r="P82" s="11">
        <v>10.5</v>
      </c>
      <c r="Q82" s="11">
        <v>10.5</v>
      </c>
      <c r="R82" s="11">
        <v>19.375</v>
      </c>
      <c r="S82" s="11">
        <v>19.375</v>
      </c>
      <c r="T82" s="11">
        <v>12</v>
      </c>
      <c r="U82" s="11">
        <v>11</v>
      </c>
      <c r="V82" s="11">
        <v>15</v>
      </c>
      <c r="W82" s="11">
        <v>15</v>
      </c>
      <c r="X82" s="11">
        <v>7</v>
      </c>
      <c r="Y82" s="11">
        <v>7</v>
      </c>
      <c r="Z82" s="3" t="s">
        <v>520</v>
      </c>
      <c r="AA82" s="10" t="s">
        <v>521</v>
      </c>
      <c r="AB82" s="5">
        <f>1173+100+40+240+1173+100+40+130+133.3+45+105</f>
        <v>3279.3</v>
      </c>
      <c r="AC82" s="6">
        <f>57.8+6+3+10+58+6+3+2+8.3+1.8+4.5</f>
        <v>160.40000000000003</v>
      </c>
      <c r="AD82" s="6">
        <f>29.5+4+2+6+29.5+4+2+0+1.7+0+0</f>
        <v>78.7</v>
      </c>
      <c r="AE82" s="6">
        <f>46.5+8+4+2+46.5+8+4+18+1.7+0.6+0</f>
        <v>139.29999999999998</v>
      </c>
      <c r="AF82" s="6">
        <f>25.5+2+0+34+25.5+2+0+9+33.3+0.6+7.5</f>
        <v>139.4</v>
      </c>
      <c r="AG82" s="6">
        <f>7.25+0+0+2+7.25+0+0+2+15+0+0</f>
        <v>33.5</v>
      </c>
      <c r="AH82" s="6">
        <f>961.3+280+200+200+961.3+280+200+320+0+70+45</f>
        <v>3517.6</v>
      </c>
      <c r="AI82" s="6">
        <f t="shared" si="1"/>
        <v>4.891287774829995E-2</v>
      </c>
      <c r="AJ82" s="6">
        <f t="shared" si="2"/>
        <v>2.3999024181990059E-2</v>
      </c>
      <c r="AK82" s="6">
        <f t="shared" si="3"/>
        <v>4.2478577745250504E-2</v>
      </c>
      <c r="AL82" s="6">
        <f t="shared" si="4"/>
        <v>4.2509072058061169E-2</v>
      </c>
      <c r="AM82" s="6">
        <f t="shared" si="5"/>
        <v>1.0215594791571371E-2</v>
      </c>
      <c r="AN82" s="6">
        <f t="shared" si="6"/>
        <v>1.0726679474278047</v>
      </c>
      <c r="AO82" s="7">
        <v>4</v>
      </c>
      <c r="AP82" s="7">
        <v>1</v>
      </c>
      <c r="AQ82" s="7">
        <v>1</v>
      </c>
      <c r="AR82" s="10">
        <v>0</v>
      </c>
      <c r="AS82" s="7">
        <v>0</v>
      </c>
      <c r="AT82" s="7">
        <v>0</v>
      </c>
      <c r="AU82" s="7">
        <v>0</v>
      </c>
      <c r="AV82" s="7">
        <v>0</v>
      </c>
      <c r="AW82" s="7">
        <v>31</v>
      </c>
      <c r="AX82" s="7">
        <v>1</v>
      </c>
      <c r="AY82" s="5">
        <v>7.25</v>
      </c>
      <c r="AZ82" s="7">
        <v>0</v>
      </c>
      <c r="BA82" s="7">
        <v>1</v>
      </c>
      <c r="BB82" s="7">
        <v>0</v>
      </c>
      <c r="BC82" s="7">
        <v>1</v>
      </c>
      <c r="BD82" s="7">
        <v>1</v>
      </c>
      <c r="BE82" s="7">
        <v>1</v>
      </c>
      <c r="BF82" s="7">
        <v>0</v>
      </c>
      <c r="BG82" s="7">
        <v>0</v>
      </c>
      <c r="BH82" s="7">
        <v>0</v>
      </c>
      <c r="BI82" s="7">
        <v>0</v>
      </c>
      <c r="BJ82" s="3">
        <v>0</v>
      </c>
      <c r="BK82" s="6">
        <v>0</v>
      </c>
      <c r="BL82" s="7">
        <v>0</v>
      </c>
      <c r="BM82" s="3">
        <v>0</v>
      </c>
    </row>
    <row r="83" spans="1:65" ht="20.100000000000001" customHeight="1" x14ac:dyDescent="0.3">
      <c r="A83" s="3" t="s">
        <v>16</v>
      </c>
      <c r="B83" s="3">
        <v>19</v>
      </c>
      <c r="C83" s="8">
        <v>44292</v>
      </c>
      <c r="D83" s="9">
        <v>0.19791666666666666</v>
      </c>
      <c r="E83" s="4">
        <v>52</v>
      </c>
      <c r="F83" s="3">
        <v>0</v>
      </c>
      <c r="G83" s="3">
        <v>0</v>
      </c>
      <c r="H83" s="3">
        <v>0</v>
      </c>
      <c r="I83" s="3">
        <v>0</v>
      </c>
      <c r="J83" s="9">
        <v>0.50902777777777775</v>
      </c>
      <c r="K83" s="3">
        <v>135</v>
      </c>
      <c r="L83" s="11">
        <f t="shared" ref="L83" si="124">K83-K82</f>
        <v>-1.1999999999999886</v>
      </c>
      <c r="M83" s="5">
        <f t="shared" ref="M83" si="125">AB82</f>
        <v>3279.3</v>
      </c>
      <c r="N83" s="11">
        <v>30.75</v>
      </c>
      <c r="O83" s="11">
        <v>32.25</v>
      </c>
      <c r="P83" s="11">
        <v>10.5</v>
      </c>
      <c r="Q83" s="11">
        <v>10.5</v>
      </c>
      <c r="R83" s="11">
        <v>19.25</v>
      </c>
      <c r="S83" s="11">
        <v>19.25</v>
      </c>
      <c r="T83" s="11">
        <v>12</v>
      </c>
      <c r="U83" s="11">
        <v>11</v>
      </c>
      <c r="V83" s="11">
        <v>16</v>
      </c>
      <c r="W83" s="11">
        <v>15</v>
      </c>
      <c r="X83" s="11">
        <v>7</v>
      </c>
      <c r="Y83" s="11">
        <v>7</v>
      </c>
      <c r="Z83" s="3" t="s">
        <v>526</v>
      </c>
      <c r="AA83" s="10" t="s">
        <v>525</v>
      </c>
      <c r="AB83" s="5">
        <f>448+160+180+140+448+160+180+140+300+160</f>
        <v>2316</v>
      </c>
      <c r="AC83" s="6">
        <f>33.3+10+15+7+33.3+10+15+7+3+10</f>
        <v>143.6</v>
      </c>
      <c r="AD83" s="6">
        <f>8+7+10.5+1+8+7+10.5+1+0+7</f>
        <v>60</v>
      </c>
      <c r="AE83" s="6">
        <f>27.3+12+3+2+27.3+12+3+2+6+12</f>
        <v>106.6</v>
      </c>
      <c r="AF83" s="6">
        <f>11+2+6+18+11+2+6+18+63+2</f>
        <v>139</v>
      </c>
      <c r="AG83" s="6">
        <f>3.7+0+0+2+3.7+0+0+2+6+0</f>
        <v>17.399999999999999</v>
      </c>
      <c r="AH83" s="6">
        <f>469+380+45+90+469+380+45+90+60+380</f>
        <v>2408</v>
      </c>
      <c r="AI83" s="6">
        <f t="shared" si="1"/>
        <v>6.2003454231433504E-2</v>
      </c>
      <c r="AJ83" s="6">
        <f t="shared" si="2"/>
        <v>2.5906735751295335E-2</v>
      </c>
      <c r="AK83" s="6">
        <f t="shared" si="3"/>
        <v>4.6027633851468047E-2</v>
      </c>
      <c r="AL83" s="6">
        <f t="shared" si="4"/>
        <v>6.0017271157167533E-2</v>
      </c>
      <c r="AM83" s="6">
        <f t="shared" si="5"/>
        <v>7.5129533678756468E-3</v>
      </c>
      <c r="AN83" s="6">
        <f t="shared" si="6"/>
        <v>1.0397236614853196</v>
      </c>
      <c r="AO83" s="7">
        <v>4</v>
      </c>
      <c r="AP83" s="7">
        <v>1</v>
      </c>
      <c r="AQ83" s="7">
        <v>1</v>
      </c>
      <c r="AR83" s="10">
        <v>0</v>
      </c>
      <c r="AS83" s="7">
        <v>0</v>
      </c>
      <c r="AT83" s="7">
        <v>0</v>
      </c>
      <c r="AU83" s="7">
        <v>0</v>
      </c>
      <c r="AV83" s="7">
        <v>0</v>
      </c>
      <c r="AW83" s="7">
        <v>31</v>
      </c>
      <c r="AX83" s="7">
        <v>1</v>
      </c>
      <c r="AY83" s="5">
        <v>4.75</v>
      </c>
      <c r="AZ83" s="7">
        <v>1</v>
      </c>
      <c r="BA83" s="7">
        <v>1</v>
      </c>
      <c r="BB83" s="7">
        <v>1</v>
      </c>
      <c r="BC83" s="7">
        <v>1</v>
      </c>
      <c r="BD83" s="7">
        <v>1</v>
      </c>
      <c r="BE83" s="7">
        <v>0</v>
      </c>
      <c r="BF83" s="7">
        <v>1</v>
      </c>
      <c r="BG83" s="7">
        <v>15</v>
      </c>
      <c r="BH83" s="7">
        <v>0</v>
      </c>
      <c r="BI83" s="7">
        <v>0</v>
      </c>
      <c r="BJ83" s="3">
        <v>0</v>
      </c>
      <c r="BK83" s="6">
        <v>0</v>
      </c>
      <c r="BL83" s="7">
        <v>0</v>
      </c>
      <c r="BM83" s="3">
        <v>0</v>
      </c>
    </row>
    <row r="84" spans="1:65" ht="20.100000000000001" customHeight="1" x14ac:dyDescent="0.3">
      <c r="A84" s="3" t="s">
        <v>17</v>
      </c>
      <c r="B84" s="3">
        <v>20</v>
      </c>
      <c r="C84" s="8">
        <v>44293</v>
      </c>
      <c r="D84" s="9">
        <v>0.57847222222222217</v>
      </c>
      <c r="E84" s="4">
        <v>82</v>
      </c>
      <c r="F84" s="3">
        <v>0</v>
      </c>
      <c r="G84" s="3">
        <v>0</v>
      </c>
      <c r="H84" s="3">
        <v>0</v>
      </c>
      <c r="I84" s="3">
        <v>0</v>
      </c>
      <c r="J84" s="9">
        <v>0.33680555555555558</v>
      </c>
      <c r="K84" s="3">
        <v>134</v>
      </c>
      <c r="L84" s="11">
        <f t="shared" ref="L84" si="126">K84-K83</f>
        <v>-1</v>
      </c>
      <c r="M84" s="5">
        <f t="shared" ref="M84" si="127">AB83</f>
        <v>2316</v>
      </c>
      <c r="N84" s="11">
        <v>29.5</v>
      </c>
      <c r="O84" s="11">
        <v>30.25</v>
      </c>
      <c r="P84" s="11">
        <v>10.5</v>
      </c>
      <c r="Q84" s="11">
        <v>10.25</v>
      </c>
      <c r="R84" s="11">
        <v>19.125</v>
      </c>
      <c r="S84" s="11">
        <v>19.25</v>
      </c>
      <c r="T84" s="11">
        <v>12</v>
      </c>
      <c r="U84" s="11">
        <v>8</v>
      </c>
      <c r="V84" s="11">
        <v>16</v>
      </c>
      <c r="W84" s="11">
        <v>16</v>
      </c>
      <c r="X84" s="11">
        <v>7</v>
      </c>
      <c r="Y84" s="11">
        <v>7</v>
      </c>
      <c r="Z84" s="3" t="s">
        <v>532</v>
      </c>
      <c r="AA84" s="10" t="s">
        <v>531</v>
      </c>
      <c r="AB84" s="5">
        <f>448+90+160+60+180+266+179+280+179+35+300+160</f>
        <v>2337</v>
      </c>
      <c r="AC84" s="6">
        <f>33.33+7.5+10+5+0+0.1+14.5+14+14.5+0.75+3+10</f>
        <v>112.68</v>
      </c>
      <c r="AD84" s="6">
        <f>8+5.25+7+0+0+0+10.2+2+10.2+0.25+0+7</f>
        <v>49.900000000000006</v>
      </c>
      <c r="AE84" s="6">
        <f>27.33+1.5+12+2+0+1.7+9.7+4+9.7+1+6+12</f>
        <v>86.93</v>
      </c>
      <c r="AF84" s="6">
        <f>11+3+2+2+48+72+2.8+36+2.8+5.5+63+2</f>
        <v>250.10000000000002</v>
      </c>
      <c r="AG84" s="6">
        <f>3.67+0+0+2+4+6.4+0+4+0+0.5+6+0</f>
        <v>26.57</v>
      </c>
      <c r="AH84" s="6">
        <f>469+22.5+380+340+20+0+759+180+759+240+60+380</f>
        <v>3609.5</v>
      </c>
      <c r="AI84" s="6">
        <f t="shared" si="1"/>
        <v>4.8215661103979464E-2</v>
      </c>
      <c r="AJ84" s="6">
        <f t="shared" si="2"/>
        <v>2.1352160890029954E-2</v>
      </c>
      <c r="AK84" s="6">
        <f t="shared" si="3"/>
        <v>3.7197261446298674E-2</v>
      </c>
      <c r="AL84" s="6">
        <f t="shared" si="4"/>
        <v>0.10701754385964914</v>
      </c>
      <c r="AM84" s="6">
        <f t="shared" si="5"/>
        <v>1.1369276850663244E-2</v>
      </c>
      <c r="AN84" s="6">
        <f t="shared" si="6"/>
        <v>1.5445014976465554</v>
      </c>
      <c r="AO84" s="7">
        <v>4</v>
      </c>
      <c r="AP84" s="7">
        <v>1</v>
      </c>
      <c r="AQ84" s="7">
        <v>1</v>
      </c>
      <c r="AR84" s="10">
        <v>0</v>
      </c>
      <c r="AS84" s="7">
        <v>0</v>
      </c>
      <c r="AT84" s="7">
        <v>0</v>
      </c>
      <c r="AU84" s="7">
        <v>0</v>
      </c>
      <c r="AV84" s="7">
        <v>0</v>
      </c>
      <c r="AW84" s="7">
        <v>31</v>
      </c>
      <c r="AX84" s="7">
        <v>1</v>
      </c>
      <c r="AY84" s="5">
        <v>7</v>
      </c>
      <c r="AZ84" s="7">
        <v>1</v>
      </c>
      <c r="BA84" s="7">
        <v>1</v>
      </c>
      <c r="BB84" s="7">
        <v>0</v>
      </c>
      <c r="BC84" s="7">
        <v>1</v>
      </c>
      <c r="BD84" s="7">
        <v>1</v>
      </c>
      <c r="BE84" s="7">
        <v>0</v>
      </c>
      <c r="BF84" s="7">
        <v>0</v>
      </c>
      <c r="BG84" s="7">
        <v>0</v>
      </c>
      <c r="BH84" s="7">
        <v>0</v>
      </c>
      <c r="BI84" s="7">
        <v>0</v>
      </c>
      <c r="BJ84" s="3">
        <v>0</v>
      </c>
      <c r="BK84" s="6">
        <v>0</v>
      </c>
      <c r="BL84" s="7">
        <v>0</v>
      </c>
      <c r="BM84" s="3">
        <v>0</v>
      </c>
    </row>
    <row r="85" spans="1:65" ht="20.100000000000001" customHeight="1" x14ac:dyDescent="0.3">
      <c r="A85" s="3" t="s">
        <v>18</v>
      </c>
      <c r="B85" s="3">
        <v>21</v>
      </c>
      <c r="C85" s="8">
        <v>44294</v>
      </c>
      <c r="D85" s="9">
        <v>0.22013888888888888</v>
      </c>
      <c r="E85" s="4">
        <v>54</v>
      </c>
      <c r="F85" s="3">
        <v>0</v>
      </c>
      <c r="G85" s="3">
        <v>0</v>
      </c>
      <c r="H85" s="3">
        <v>0</v>
      </c>
      <c r="I85" s="3">
        <v>0</v>
      </c>
      <c r="J85" s="9">
        <v>0.35138888888888892</v>
      </c>
      <c r="K85" s="3">
        <v>135.80000000000001</v>
      </c>
      <c r="L85" s="11">
        <f t="shared" ref="L85" si="128">K85-K84</f>
        <v>1.8000000000000114</v>
      </c>
      <c r="M85" s="5">
        <f t="shared" ref="M85" si="129">AB84</f>
        <v>2337</v>
      </c>
      <c r="N85" s="11">
        <v>30.25</v>
      </c>
      <c r="O85" s="11">
        <v>31.75</v>
      </c>
      <c r="P85" s="11">
        <v>10.375</v>
      </c>
      <c r="Q85" s="11">
        <v>10.375</v>
      </c>
      <c r="R85" s="11">
        <v>19.25</v>
      </c>
      <c r="S85" s="11">
        <v>19.25</v>
      </c>
      <c r="T85" s="11">
        <v>12</v>
      </c>
      <c r="U85" s="11">
        <v>11</v>
      </c>
      <c r="V85" s="11">
        <v>15</v>
      </c>
      <c r="W85" s="11">
        <v>15</v>
      </c>
      <c r="X85" s="11">
        <v>7</v>
      </c>
      <c r="Y85" s="11">
        <v>7</v>
      </c>
      <c r="Z85" s="3" t="s">
        <v>535</v>
      </c>
      <c r="AA85" s="10" t="s">
        <v>536</v>
      </c>
      <c r="AB85" s="5">
        <f>300+160+70+40+400+500+300+140+90+80+448+400+240</f>
        <v>3168</v>
      </c>
      <c r="AC85" s="6">
        <f>3+10+1.5+3+10+24+10+7+7.5+5+33.3+4+15</f>
        <v>133.30000000000001</v>
      </c>
      <c r="AD85" s="6">
        <f>0+7+0.5+2+5+9+6+1+5.25+3.5+8+0+10.5</f>
        <v>57.75</v>
      </c>
      <c r="AE85" s="6">
        <f>6+12+2+4+4+8+4+2+1.5+1+27.3+8+18</f>
        <v>97.8</v>
      </c>
      <c r="AF85" s="6">
        <f>63+2+11+0+74+66+38+18+3+0+11+84+3</f>
        <v>373</v>
      </c>
      <c r="AG85" s="6">
        <f>6+0+1+0+1+2+2+2+0+190+3.7+8+0</f>
        <v>215.7</v>
      </c>
      <c r="AH85" s="6">
        <f>60+380+480+200+240+240+240+90+22.5+190+469+80+570</f>
        <v>3261.5</v>
      </c>
      <c r="AI85" s="6">
        <f t="shared" si="1"/>
        <v>4.2077020202020206E-2</v>
      </c>
      <c r="AJ85" s="6">
        <f t="shared" si="2"/>
        <v>1.8229166666666668E-2</v>
      </c>
      <c r="AK85" s="6">
        <f t="shared" si="3"/>
        <v>3.0871212121212119E-2</v>
      </c>
      <c r="AL85" s="6">
        <f t="shared" si="4"/>
        <v>0.11773989898989899</v>
      </c>
      <c r="AM85" s="6">
        <f t="shared" si="5"/>
        <v>6.808712121212121E-2</v>
      </c>
      <c r="AN85" s="6">
        <f t="shared" si="6"/>
        <v>1.0295138888888888</v>
      </c>
      <c r="AO85" s="7">
        <v>5</v>
      </c>
      <c r="AP85" s="7">
        <v>1</v>
      </c>
      <c r="AQ85" s="7">
        <v>1</v>
      </c>
      <c r="AR85" s="10">
        <v>0</v>
      </c>
      <c r="AS85" s="7">
        <v>0</v>
      </c>
      <c r="AT85" s="7">
        <v>0</v>
      </c>
      <c r="AU85" s="7">
        <v>0</v>
      </c>
      <c r="AV85" s="7">
        <v>0</v>
      </c>
      <c r="AW85" s="7">
        <v>0</v>
      </c>
      <c r="AX85" s="7">
        <v>1</v>
      </c>
      <c r="AY85" s="5">
        <v>6.5</v>
      </c>
      <c r="AZ85" s="7">
        <v>0</v>
      </c>
      <c r="BA85" s="7">
        <v>1</v>
      </c>
      <c r="BB85" s="7">
        <v>0</v>
      </c>
      <c r="BC85" s="7">
        <v>1</v>
      </c>
      <c r="BD85" s="7">
        <v>1</v>
      </c>
      <c r="BE85" s="7">
        <v>0</v>
      </c>
      <c r="BF85" s="7">
        <v>0</v>
      </c>
      <c r="BG85" s="7">
        <v>0</v>
      </c>
      <c r="BH85" s="7">
        <v>0</v>
      </c>
      <c r="BI85" s="7">
        <v>0</v>
      </c>
      <c r="BJ85" s="3">
        <v>0</v>
      </c>
      <c r="BK85" s="6">
        <v>0</v>
      </c>
      <c r="BL85" s="7">
        <v>0</v>
      </c>
      <c r="BM85" s="3">
        <v>0</v>
      </c>
    </row>
    <row r="86" spans="1:65" ht="20.100000000000001" customHeight="1" x14ac:dyDescent="0.3">
      <c r="A86" s="3" t="s">
        <v>137</v>
      </c>
      <c r="B86" s="3">
        <v>22</v>
      </c>
      <c r="C86" s="8">
        <v>44295</v>
      </c>
      <c r="D86" s="9">
        <v>0.84722222222222221</v>
      </c>
      <c r="E86" s="4">
        <v>67</v>
      </c>
      <c r="F86" s="3">
        <v>0</v>
      </c>
      <c r="G86" s="3">
        <v>0</v>
      </c>
      <c r="H86" s="3">
        <v>0</v>
      </c>
      <c r="I86" s="3">
        <v>0</v>
      </c>
      <c r="J86" s="9">
        <v>0.30833333333333335</v>
      </c>
      <c r="K86" s="3">
        <v>135.80000000000001</v>
      </c>
      <c r="L86" s="11">
        <f t="shared" ref="L86" si="130">K86-K85</f>
        <v>0</v>
      </c>
      <c r="M86" s="5">
        <f t="shared" ref="M86" si="131">AB85</f>
        <v>3168</v>
      </c>
      <c r="N86" s="11">
        <v>30.25</v>
      </c>
      <c r="O86" s="11">
        <v>31.75</v>
      </c>
      <c r="P86" s="11">
        <v>10.5</v>
      </c>
      <c r="Q86" s="11">
        <v>10.5</v>
      </c>
      <c r="R86" s="11">
        <v>19.25</v>
      </c>
      <c r="S86" s="11">
        <v>19.5</v>
      </c>
      <c r="T86" s="11">
        <v>12</v>
      </c>
      <c r="U86" s="11">
        <v>11</v>
      </c>
      <c r="V86" s="11">
        <v>15</v>
      </c>
      <c r="W86" s="11">
        <v>15</v>
      </c>
      <c r="X86" s="11">
        <v>7</v>
      </c>
      <c r="Y86" s="11">
        <v>7</v>
      </c>
      <c r="Z86" s="3" t="s">
        <v>539</v>
      </c>
      <c r="AA86" s="10" t="s">
        <v>538</v>
      </c>
      <c r="AB86" s="5">
        <f>896+140+300+160+120+110+105+982.5+81+245</f>
        <v>3139.5</v>
      </c>
      <c r="AC86" s="6">
        <f>66.67+7+3+10+10+9+0+13.78+0+10.5</f>
        <v>129.94999999999999</v>
      </c>
      <c r="AD86" s="6">
        <f>16+1+0+7+7+5+0+2.75+0+0</f>
        <v>38.75</v>
      </c>
      <c r="AE86" s="6">
        <f>54.67+2+6+12+2+6+1+38.8+2+0</f>
        <v>124.47</v>
      </c>
      <c r="AF86" s="6">
        <f>22+18+63+2+4+1+27+174.75+21+35</f>
        <v>367.75</v>
      </c>
      <c r="AG86" s="6">
        <f>7.33+2+6+0+0+0+3+13.05+4+0</f>
        <v>35.379999999999995</v>
      </c>
      <c r="AH86" s="6">
        <f>938+90+60+380+30+260+1+1283+2+105</f>
        <v>3149</v>
      </c>
      <c r="AI86" s="6">
        <f t="shared" si="1"/>
        <v>4.1391941391941391E-2</v>
      </c>
      <c r="AJ86" s="6">
        <f t="shared" si="2"/>
        <v>1.2342729734034082E-2</v>
      </c>
      <c r="AK86" s="6">
        <f t="shared" si="3"/>
        <v>3.9646440516005736E-2</v>
      </c>
      <c r="AL86" s="6">
        <f t="shared" si="4"/>
        <v>0.1171364867017041</v>
      </c>
      <c r="AM86" s="6">
        <f t="shared" si="5"/>
        <v>1.1269310399745181E-2</v>
      </c>
      <c r="AN86" s="6">
        <f t="shared" si="6"/>
        <v>1.0030259595476987</v>
      </c>
      <c r="AO86" s="7">
        <v>4</v>
      </c>
      <c r="AP86" s="7">
        <v>1</v>
      </c>
      <c r="AQ86" s="7">
        <v>1</v>
      </c>
      <c r="AR86" s="10">
        <v>0</v>
      </c>
      <c r="AS86" s="7">
        <v>0</v>
      </c>
      <c r="AT86" s="7">
        <v>0</v>
      </c>
      <c r="AU86" s="7">
        <v>0</v>
      </c>
      <c r="AV86" s="7">
        <v>0</v>
      </c>
      <c r="AW86" s="7">
        <v>31</v>
      </c>
      <c r="AX86" s="7">
        <v>1</v>
      </c>
      <c r="AY86" s="5">
        <v>7</v>
      </c>
      <c r="AZ86" s="7">
        <v>0</v>
      </c>
      <c r="BA86" s="7">
        <v>1</v>
      </c>
      <c r="BB86" s="7">
        <v>0</v>
      </c>
      <c r="BC86" s="7">
        <v>1</v>
      </c>
      <c r="BD86" s="7">
        <v>1</v>
      </c>
      <c r="BE86" s="7">
        <v>0</v>
      </c>
      <c r="BF86" s="7">
        <v>0</v>
      </c>
      <c r="BG86" s="7">
        <v>0</v>
      </c>
      <c r="BH86" s="7">
        <v>0</v>
      </c>
      <c r="BI86" s="7">
        <v>0</v>
      </c>
      <c r="BJ86" s="3">
        <v>0</v>
      </c>
      <c r="BK86" s="6">
        <v>0</v>
      </c>
      <c r="BL86" s="7">
        <v>0</v>
      </c>
      <c r="BM86" s="3">
        <v>0</v>
      </c>
    </row>
    <row r="87" spans="1:65" ht="20.100000000000001" customHeight="1" x14ac:dyDescent="0.3">
      <c r="A87" s="3" t="s">
        <v>19</v>
      </c>
      <c r="B87" s="3">
        <v>23</v>
      </c>
      <c r="C87" s="8">
        <v>44296</v>
      </c>
      <c r="D87" s="9">
        <v>0.33333333333333331</v>
      </c>
      <c r="E87" s="4">
        <v>55</v>
      </c>
      <c r="F87" s="3">
        <v>0</v>
      </c>
      <c r="G87" s="3">
        <v>0</v>
      </c>
      <c r="H87" s="3">
        <v>0</v>
      </c>
      <c r="I87" s="3">
        <v>0</v>
      </c>
      <c r="J87" s="9">
        <v>0.30624999999999997</v>
      </c>
      <c r="K87" s="3">
        <v>138.19999999999999</v>
      </c>
      <c r="L87" s="11">
        <f t="shared" ref="L87" si="132">K87-K86</f>
        <v>2.3999999999999773</v>
      </c>
      <c r="M87" s="5">
        <f t="shared" ref="M87" si="133">AB86</f>
        <v>3139.5</v>
      </c>
      <c r="N87" s="11">
        <v>30.5</v>
      </c>
      <c r="O87" s="11">
        <v>31.5</v>
      </c>
      <c r="P87" s="11">
        <v>10.5</v>
      </c>
      <c r="Q87" s="11">
        <v>10.5</v>
      </c>
      <c r="R87" s="11">
        <v>19.75</v>
      </c>
      <c r="S87" s="11">
        <v>19.25</v>
      </c>
      <c r="T87" s="11">
        <v>11</v>
      </c>
      <c r="U87" s="11">
        <v>11</v>
      </c>
      <c r="V87" s="11">
        <v>14</v>
      </c>
      <c r="W87" s="11">
        <v>13</v>
      </c>
      <c r="X87" s="11">
        <v>7</v>
      </c>
      <c r="Y87" s="11">
        <v>7</v>
      </c>
      <c r="Z87" s="3" t="s">
        <v>541</v>
      </c>
      <c r="AA87" s="10" t="s">
        <v>540</v>
      </c>
      <c r="AB87" s="5">
        <f>400+90+322+315+81+130+60+300+105</f>
        <v>1803</v>
      </c>
      <c r="AC87" s="6">
        <f>4+6+29+0+0+2+5+10+4.5</f>
        <v>60.5</v>
      </c>
      <c r="AD87" s="6">
        <f>0+3.5+4+0+0+0+0+6+0</f>
        <v>13.5</v>
      </c>
      <c r="AE87" s="6">
        <f>8+7+4+3+2+18+2+4+0</f>
        <v>48</v>
      </c>
      <c r="AF87" s="6">
        <f>84+2+17+81+21+9+2+38+7.5</f>
        <v>261.5</v>
      </c>
      <c r="AG87" s="6">
        <f>8+0+18+9+4+2+0+2+0</f>
        <v>43</v>
      </c>
      <c r="AH87" s="6">
        <f>80+200+14+3+2+320+230+240+22.5</f>
        <v>1111.5</v>
      </c>
      <c r="AI87" s="6">
        <f t="shared" si="1"/>
        <v>3.3555185801442039E-2</v>
      </c>
      <c r="AJ87" s="6">
        <f t="shared" si="2"/>
        <v>7.4875207986688855E-3</v>
      </c>
      <c r="AK87" s="6">
        <f t="shared" si="3"/>
        <v>2.6622296173044926E-2</v>
      </c>
      <c r="AL87" s="6">
        <f t="shared" si="4"/>
        <v>0.14503605102606767</v>
      </c>
      <c r="AM87" s="6">
        <f t="shared" si="5"/>
        <v>2.3849140321686078E-2</v>
      </c>
      <c r="AN87" s="6">
        <f t="shared" si="6"/>
        <v>0.61647254575707155</v>
      </c>
      <c r="AO87" s="7">
        <v>4</v>
      </c>
      <c r="AP87" s="7">
        <v>1</v>
      </c>
      <c r="AQ87" s="7">
        <v>1</v>
      </c>
      <c r="AR87" s="10">
        <v>0</v>
      </c>
      <c r="AS87" s="7">
        <v>0</v>
      </c>
      <c r="AT87" s="7">
        <v>0</v>
      </c>
      <c r="AU87" s="7">
        <v>0</v>
      </c>
      <c r="AV87" s="7">
        <v>0</v>
      </c>
      <c r="AW87" s="7">
        <v>31</v>
      </c>
      <c r="AX87" s="7">
        <v>1</v>
      </c>
      <c r="AY87" s="5">
        <v>5.5</v>
      </c>
      <c r="AZ87" s="7">
        <v>0</v>
      </c>
      <c r="BA87" s="7">
        <v>1</v>
      </c>
      <c r="BB87" s="7">
        <v>0</v>
      </c>
      <c r="BC87" s="7">
        <v>1</v>
      </c>
      <c r="BD87" s="7">
        <v>1</v>
      </c>
      <c r="BE87" s="7">
        <v>1</v>
      </c>
      <c r="BF87" s="7">
        <v>0</v>
      </c>
      <c r="BG87" s="7">
        <v>0</v>
      </c>
      <c r="BH87" s="7">
        <v>0</v>
      </c>
      <c r="BI87" s="7">
        <v>0</v>
      </c>
      <c r="BJ87" s="3">
        <v>0</v>
      </c>
      <c r="BK87" s="6">
        <v>0</v>
      </c>
      <c r="BL87" s="7">
        <v>0</v>
      </c>
      <c r="BM87" s="3">
        <v>0</v>
      </c>
    </row>
    <row r="88" spans="1:65" ht="20.100000000000001" customHeight="1" x14ac:dyDescent="0.3">
      <c r="A88" s="3" t="s">
        <v>23</v>
      </c>
      <c r="B88" s="3">
        <v>24</v>
      </c>
      <c r="C88" s="8">
        <v>44297</v>
      </c>
      <c r="D88" s="9">
        <v>0.3298611111111111</v>
      </c>
      <c r="E88" s="4">
        <v>55</v>
      </c>
      <c r="F88" s="3">
        <v>0</v>
      </c>
      <c r="G88" s="3">
        <v>0</v>
      </c>
      <c r="H88" s="3">
        <v>0</v>
      </c>
      <c r="I88" s="3">
        <v>0</v>
      </c>
      <c r="J88" s="9">
        <v>0.32500000000000001</v>
      </c>
      <c r="K88" s="3">
        <v>136.6</v>
      </c>
      <c r="L88" s="11">
        <f t="shared" ref="L88" si="134">K88-K87</f>
        <v>-1.5999999999999943</v>
      </c>
      <c r="M88" s="5">
        <f t="shared" ref="M88" si="135">AB87</f>
        <v>1803</v>
      </c>
      <c r="N88" s="11">
        <v>30.375</v>
      </c>
      <c r="O88" s="11">
        <v>31.5</v>
      </c>
      <c r="P88" s="11">
        <v>10.5</v>
      </c>
      <c r="Q88" s="11">
        <v>10.375</v>
      </c>
      <c r="R88" s="11">
        <v>19.25</v>
      </c>
      <c r="S88" s="11">
        <v>19.25</v>
      </c>
      <c r="T88" s="11">
        <v>11</v>
      </c>
      <c r="U88" s="11">
        <v>11</v>
      </c>
      <c r="V88" s="11">
        <v>15</v>
      </c>
      <c r="W88" s="11">
        <v>15</v>
      </c>
      <c r="X88" s="11">
        <v>7</v>
      </c>
      <c r="Y88" s="11">
        <v>7</v>
      </c>
      <c r="Z88" s="3" t="s">
        <v>547</v>
      </c>
      <c r="AA88" s="10" t="s">
        <v>546</v>
      </c>
      <c r="AB88" s="5">
        <f>210+130+60+350+270+110+686.2+20+195.2+195.2+105+686.2+195.2+322</f>
        <v>3535</v>
      </c>
      <c r="AC88" s="6">
        <f>0+2+5+3.5+18+9+21.4+1.5+0+0+4.5+21.4+0+29</f>
        <v>115.30000000000001</v>
      </c>
      <c r="AD88" s="6">
        <f>0+0+0+0+10.5+5+4.8+1+0+0+0+4.8+0+4</f>
        <v>30.1</v>
      </c>
      <c r="AE88" s="6">
        <f>2+18+2+7+21+6+25+2+0+0+0+25+0+0+4</f>
        <v>112</v>
      </c>
      <c r="AF88" s="6">
        <f>54+9+2+73.5+6+1+103.75+0+6.4+6.4+15+103.8+6.4+17</f>
        <v>404.25</v>
      </c>
      <c r="AG88" s="6">
        <f>6+2+0+7+0+0+7.17+0+0+0+0+7.2+0+18</f>
        <v>47.370000000000005</v>
      </c>
      <c r="AH88" s="6">
        <f>2+320+230+70+600+260+663.3+100+0+0+45+663.3+0+14</f>
        <v>2967.6000000000004</v>
      </c>
      <c r="AI88" s="6">
        <f t="shared" si="1"/>
        <v>3.261669024045262E-2</v>
      </c>
      <c r="AJ88" s="6">
        <f t="shared" si="2"/>
        <v>8.5148514851485155E-3</v>
      </c>
      <c r="AK88" s="6">
        <f t="shared" si="3"/>
        <v>3.1683168316831684E-2</v>
      </c>
      <c r="AL88" s="6">
        <f t="shared" si="4"/>
        <v>0.11435643564356436</v>
      </c>
      <c r="AM88" s="6">
        <f t="shared" si="5"/>
        <v>1.3400282885431401E-2</v>
      </c>
      <c r="AN88" s="6">
        <f t="shared" si="6"/>
        <v>0.8394908062234796</v>
      </c>
      <c r="AO88" s="7">
        <v>4</v>
      </c>
      <c r="AP88" s="7">
        <v>1</v>
      </c>
      <c r="AQ88" s="7">
        <v>1</v>
      </c>
      <c r="AR88" s="10">
        <v>0</v>
      </c>
      <c r="AS88" s="7">
        <v>0</v>
      </c>
      <c r="AT88" s="7">
        <v>0</v>
      </c>
      <c r="AU88" s="7">
        <v>0</v>
      </c>
      <c r="AV88" s="7">
        <v>0</v>
      </c>
      <c r="AW88" s="7">
        <v>31</v>
      </c>
      <c r="AX88" s="7">
        <v>1</v>
      </c>
      <c r="AY88" s="5">
        <v>7</v>
      </c>
      <c r="AZ88" s="7">
        <v>1</v>
      </c>
      <c r="BA88" s="7">
        <v>0</v>
      </c>
      <c r="BB88" s="7">
        <v>1</v>
      </c>
      <c r="BC88" s="7">
        <v>1</v>
      </c>
      <c r="BD88" s="7">
        <v>1</v>
      </c>
      <c r="BE88" s="7">
        <v>1</v>
      </c>
      <c r="BF88" s="7">
        <v>0</v>
      </c>
      <c r="BG88" s="7">
        <v>0</v>
      </c>
      <c r="BH88" s="7">
        <v>0</v>
      </c>
      <c r="BI88" s="7">
        <v>0</v>
      </c>
      <c r="BJ88" s="3">
        <v>0</v>
      </c>
      <c r="BK88" s="6">
        <v>3</v>
      </c>
      <c r="BL88" s="3" t="s">
        <v>973</v>
      </c>
      <c r="BM88" s="3">
        <v>0</v>
      </c>
    </row>
    <row r="89" spans="1:65" ht="20.100000000000001" customHeight="1" x14ac:dyDescent="0.3">
      <c r="A89" s="3" t="s">
        <v>15</v>
      </c>
      <c r="B89" s="3">
        <v>25</v>
      </c>
      <c r="C89" s="8">
        <v>44298</v>
      </c>
      <c r="D89" s="9">
        <v>0.57847222222222217</v>
      </c>
      <c r="E89" s="4">
        <v>70</v>
      </c>
      <c r="F89" s="3">
        <v>0</v>
      </c>
      <c r="G89" s="3">
        <v>0</v>
      </c>
      <c r="H89" s="3">
        <v>0</v>
      </c>
      <c r="I89" s="3">
        <v>0</v>
      </c>
      <c r="J89" s="9">
        <v>0.57291666666666663</v>
      </c>
      <c r="K89" s="3">
        <v>136.6</v>
      </c>
      <c r="L89" s="11">
        <f t="shared" ref="L89" si="136">K89-K88</f>
        <v>0</v>
      </c>
      <c r="M89" s="5">
        <f t="shared" ref="M89" si="137">AB88</f>
        <v>3535</v>
      </c>
      <c r="N89" s="11">
        <v>28.75</v>
      </c>
      <c r="O89" s="11">
        <v>30.25</v>
      </c>
      <c r="P89" s="11">
        <v>10.375</v>
      </c>
      <c r="Q89" s="11">
        <v>10.25</v>
      </c>
      <c r="R89" s="11">
        <v>19.25</v>
      </c>
      <c r="S89" s="11">
        <v>19.375</v>
      </c>
      <c r="T89" s="11">
        <v>11</v>
      </c>
      <c r="U89" s="11">
        <v>11</v>
      </c>
      <c r="V89" s="11">
        <v>15</v>
      </c>
      <c r="W89" s="11">
        <v>12</v>
      </c>
      <c r="X89" s="11">
        <v>7</v>
      </c>
      <c r="Y89" s="11">
        <v>7</v>
      </c>
      <c r="Z89" s="3" t="s">
        <v>553</v>
      </c>
      <c r="AA89" s="10" t="s">
        <v>552</v>
      </c>
      <c r="AB89" s="5">
        <f>686.2+241.5+110+686.2+110+480+76+330+60+35</f>
        <v>2814.9</v>
      </c>
      <c r="AC89" s="6">
        <f>21.4+21.8+7+21.4+7+23+5.8+14+5+1.5</f>
        <v>127.89999999999999</v>
      </c>
      <c r="AD89" s="6">
        <f>4.83+3+4+4.83+4+4+2.6+11+3.5+0</f>
        <v>41.760000000000005</v>
      </c>
      <c r="AE89" s="6">
        <f>25+3+10+25+10+7+2.9+5+1+0</f>
        <v>88.9</v>
      </c>
      <c r="AF89" s="6">
        <f>103.8+12.8+2+103.8+2+63+3+44+2+5</f>
        <v>341.4</v>
      </c>
      <c r="AG89" s="6">
        <f>7.17+13.5+0+7.17+0+6+0.2+0+0+0</f>
        <v>34.040000000000006</v>
      </c>
      <c r="AH89" s="6">
        <f>663.3+10.5+330+663.3+330+370+361+60+15+15</f>
        <v>2818.1</v>
      </c>
      <c r="AI89" s="6">
        <f t="shared" si="1"/>
        <v>4.5436782834203694E-2</v>
      </c>
      <c r="AJ89" s="6">
        <f t="shared" si="2"/>
        <v>1.4835340509431952E-2</v>
      </c>
      <c r="AK89" s="6">
        <f t="shared" si="3"/>
        <v>3.1581938967636509E-2</v>
      </c>
      <c r="AL89" s="6">
        <f t="shared" si="4"/>
        <v>0.12128317169348821</v>
      </c>
      <c r="AM89" s="6">
        <f t="shared" si="5"/>
        <v>1.2092791928665319E-2</v>
      </c>
      <c r="AN89" s="6">
        <f t="shared" si="6"/>
        <v>1.0011368077018721</v>
      </c>
      <c r="AO89" s="7">
        <v>5</v>
      </c>
      <c r="AP89" s="7">
        <v>1</v>
      </c>
      <c r="AQ89" s="7">
        <v>1</v>
      </c>
      <c r="AR89" s="10">
        <v>0</v>
      </c>
      <c r="AS89" s="7">
        <v>0</v>
      </c>
      <c r="AT89" s="7">
        <v>0</v>
      </c>
      <c r="AU89" s="7">
        <v>0</v>
      </c>
      <c r="AV89" s="7">
        <v>0</v>
      </c>
      <c r="AW89" s="7">
        <v>31</v>
      </c>
      <c r="AX89" s="7">
        <v>1</v>
      </c>
      <c r="AY89" s="5">
        <v>7.5</v>
      </c>
      <c r="AZ89" s="7">
        <v>1</v>
      </c>
      <c r="BA89" s="7">
        <v>1</v>
      </c>
      <c r="BB89" s="7">
        <v>1</v>
      </c>
      <c r="BC89" s="7">
        <v>1</v>
      </c>
      <c r="BD89" s="7">
        <v>1</v>
      </c>
      <c r="BE89" s="7">
        <v>0</v>
      </c>
      <c r="BF89" s="7">
        <v>0</v>
      </c>
      <c r="BG89" s="7">
        <v>0</v>
      </c>
      <c r="BH89" s="7">
        <v>0</v>
      </c>
      <c r="BI89" s="7">
        <v>0</v>
      </c>
      <c r="BJ89" s="3">
        <v>0</v>
      </c>
      <c r="BK89" s="6">
        <v>0</v>
      </c>
      <c r="BL89" s="7">
        <v>0</v>
      </c>
      <c r="BM89" s="3">
        <v>0</v>
      </c>
    </row>
    <row r="90" spans="1:65" ht="20.100000000000001" customHeight="1" x14ac:dyDescent="0.3">
      <c r="A90" s="3" t="s">
        <v>16</v>
      </c>
      <c r="B90" s="3">
        <v>26</v>
      </c>
      <c r="C90" s="8">
        <v>44299</v>
      </c>
      <c r="D90" s="9">
        <v>0.2951388888888889</v>
      </c>
      <c r="E90" s="4">
        <v>57</v>
      </c>
      <c r="F90" s="3">
        <v>0</v>
      </c>
      <c r="G90" s="3">
        <v>0</v>
      </c>
      <c r="H90" s="3">
        <v>0</v>
      </c>
      <c r="I90" s="3">
        <v>0</v>
      </c>
      <c r="J90" s="9">
        <v>0.65972222222222221</v>
      </c>
      <c r="K90" s="3">
        <v>136.6</v>
      </c>
      <c r="L90" s="11">
        <f t="shared" ref="L90" si="138">K90-K89</f>
        <v>0</v>
      </c>
      <c r="M90" s="5">
        <f t="shared" ref="M90" si="139">AB89</f>
        <v>2814.9</v>
      </c>
      <c r="N90" s="11">
        <v>29.5</v>
      </c>
      <c r="O90" s="11">
        <v>31</v>
      </c>
      <c r="P90" s="11">
        <v>10.25</v>
      </c>
      <c r="Q90" s="11">
        <v>10.25</v>
      </c>
      <c r="R90" s="11">
        <v>19.25</v>
      </c>
      <c r="S90" s="11">
        <v>19.25</v>
      </c>
      <c r="T90" s="11">
        <v>10</v>
      </c>
      <c r="U90" s="11">
        <v>10</v>
      </c>
      <c r="V90" s="11">
        <v>15</v>
      </c>
      <c r="W90" s="11">
        <v>13</v>
      </c>
      <c r="X90" s="11">
        <v>7</v>
      </c>
      <c r="Y90" s="11">
        <v>7</v>
      </c>
      <c r="Z90" s="3" t="s">
        <v>557</v>
      </c>
      <c r="AA90" s="10" t="s">
        <v>556</v>
      </c>
      <c r="AB90" s="5">
        <f>1372.3+220+220+130+60+210+400+220+519</f>
        <v>3351.3</v>
      </c>
      <c r="AC90" s="6">
        <f>42.8+18+14+2+5+0+10+17+0</f>
        <v>108.8</v>
      </c>
      <c r="AD90" s="6">
        <f>9.67+10+8+0+0+0+5+12+0</f>
        <v>44.67</v>
      </c>
      <c r="AE90" s="6">
        <f>50+12+20+18+2+2+4+2+4</f>
        <v>114</v>
      </c>
      <c r="AF90" s="6">
        <f>207.5+2+4+9+2+54+74+16+124</f>
        <v>492.5</v>
      </c>
      <c r="AG90" s="6">
        <f>14.3+0+0+2+2+6+1+1+0</f>
        <v>26.3</v>
      </c>
      <c r="AH90" s="6">
        <f>1326.67+520+660+320+340+2+240+35+60</f>
        <v>3503.67</v>
      </c>
      <c r="AI90" s="6">
        <f t="shared" si="1"/>
        <v>3.2465013576820932E-2</v>
      </c>
      <c r="AJ90" s="6">
        <f t="shared" si="2"/>
        <v>1.3329155849968669E-2</v>
      </c>
      <c r="AK90" s="6">
        <f t="shared" si="3"/>
        <v>3.4016650255124875E-2</v>
      </c>
      <c r="AL90" s="6">
        <f t="shared" si="4"/>
        <v>0.14695789693551756</v>
      </c>
      <c r="AM90" s="6">
        <f t="shared" si="5"/>
        <v>7.8477008921910892E-3</v>
      </c>
      <c r="AN90" s="6">
        <f t="shared" si="6"/>
        <v>1.0454659385909946</v>
      </c>
      <c r="AO90" s="7">
        <v>4</v>
      </c>
      <c r="AP90" s="7">
        <v>1</v>
      </c>
      <c r="AQ90" s="7">
        <v>1</v>
      </c>
      <c r="AR90" s="10">
        <v>0</v>
      </c>
      <c r="AS90" s="7">
        <v>0</v>
      </c>
      <c r="AT90" s="7">
        <v>0</v>
      </c>
      <c r="AU90" s="7">
        <v>0</v>
      </c>
      <c r="AV90" s="7">
        <v>0</v>
      </c>
      <c r="AW90" s="7">
        <v>0</v>
      </c>
      <c r="AX90" s="7">
        <v>1</v>
      </c>
      <c r="AY90" s="5">
        <v>7</v>
      </c>
      <c r="AZ90" s="7">
        <v>0</v>
      </c>
      <c r="BA90" s="7">
        <v>0</v>
      </c>
      <c r="BB90" s="7">
        <v>0</v>
      </c>
      <c r="BC90" s="7">
        <v>1</v>
      </c>
      <c r="BD90" s="7">
        <v>1</v>
      </c>
      <c r="BE90" s="7">
        <v>1</v>
      </c>
      <c r="BF90" s="7">
        <v>0</v>
      </c>
      <c r="BG90" s="7">
        <v>0</v>
      </c>
      <c r="BH90" s="7">
        <v>0</v>
      </c>
      <c r="BI90" s="7">
        <v>0</v>
      </c>
      <c r="BJ90" s="3">
        <v>0</v>
      </c>
      <c r="BK90" s="6">
        <v>1</v>
      </c>
      <c r="BL90" s="3" t="s">
        <v>967</v>
      </c>
      <c r="BM90" s="3">
        <v>0</v>
      </c>
    </row>
    <row r="91" spans="1:65" ht="20.100000000000001" customHeight="1" x14ac:dyDescent="0.3">
      <c r="A91" s="3" t="s">
        <v>17</v>
      </c>
      <c r="B91" s="3">
        <v>27</v>
      </c>
      <c r="C91" s="8">
        <v>44300</v>
      </c>
      <c r="D91" s="9">
        <v>0.79166666666666663</v>
      </c>
      <c r="E91" s="4">
        <v>60</v>
      </c>
      <c r="F91" s="3">
        <v>0</v>
      </c>
      <c r="G91" s="3">
        <v>0</v>
      </c>
      <c r="H91" s="3">
        <v>0</v>
      </c>
      <c r="I91" s="3">
        <v>0</v>
      </c>
      <c r="J91" s="9">
        <v>0.31041666666666667</v>
      </c>
      <c r="K91" s="3">
        <v>136.6</v>
      </c>
      <c r="L91" s="11">
        <f t="shared" ref="L91" si="140">K91-K90</f>
        <v>0</v>
      </c>
      <c r="M91" s="5">
        <f t="shared" ref="M91" si="141">AB90</f>
        <v>3351.3</v>
      </c>
      <c r="N91" s="11">
        <v>29.75</v>
      </c>
      <c r="O91" s="11">
        <v>31</v>
      </c>
      <c r="P91" s="11">
        <v>10.5</v>
      </c>
      <c r="Q91" s="11">
        <v>10.5</v>
      </c>
      <c r="R91" s="11">
        <v>19.25</v>
      </c>
      <c r="S91" s="11">
        <v>19.25</v>
      </c>
      <c r="T91" s="11">
        <v>11</v>
      </c>
      <c r="U91" s="11">
        <v>9</v>
      </c>
      <c r="V91" s="11">
        <v>15</v>
      </c>
      <c r="W91" s="11">
        <v>13</v>
      </c>
      <c r="X91" s="11">
        <v>7</v>
      </c>
      <c r="Y91" s="11">
        <v>7</v>
      </c>
      <c r="Z91" s="3" t="s">
        <v>559</v>
      </c>
      <c r="AA91" s="10" t="s">
        <v>558</v>
      </c>
      <c r="AB91" s="5">
        <f>686.17+110+110+130+60+125+162+400+140+300+220+180</f>
        <v>2623.17</v>
      </c>
      <c r="AC91" s="6">
        <f>21.42+9+7+2+5+0+0+10+6+3+18+12</f>
        <v>93.42</v>
      </c>
      <c r="AD91" s="6">
        <f>4.83+5+4+0+0+0+0+5+0+0+10+7</f>
        <v>35.83</v>
      </c>
      <c r="AE91" s="6">
        <f>25+6+10+18+2+1.25+4+4+0+6+12+14</f>
        <v>102.25</v>
      </c>
      <c r="AF91" s="6">
        <f>103.75+1+2+9+2+32+42+74+20+63+2+4</f>
        <v>354.75</v>
      </c>
      <c r="AG91" s="6">
        <f>7.17+0+0+2+2+3.75+8+1+0+6+0+0</f>
        <v>29.92</v>
      </c>
      <c r="AH91" s="6">
        <f>663.33+260+330+320+340+1.25+4+240+60+60+520+400</f>
        <v>3198.58</v>
      </c>
      <c r="AI91" s="6">
        <f t="shared" si="1"/>
        <v>3.5613399055341437E-2</v>
      </c>
      <c r="AJ91" s="6">
        <f t="shared" si="2"/>
        <v>1.3659046115958935E-2</v>
      </c>
      <c r="AK91" s="6">
        <f t="shared" si="3"/>
        <v>3.8979555270912673E-2</v>
      </c>
      <c r="AL91" s="6">
        <f t="shared" si="4"/>
        <v>0.13523713674676061</v>
      </c>
      <c r="AM91" s="6">
        <f t="shared" si="5"/>
        <v>1.1406046882207406E-2</v>
      </c>
      <c r="AN91" s="6">
        <f t="shared" si="6"/>
        <v>1.2193567325030401</v>
      </c>
      <c r="AO91" s="7">
        <v>4</v>
      </c>
      <c r="AP91" s="7">
        <v>1</v>
      </c>
      <c r="AQ91" s="7">
        <v>1</v>
      </c>
      <c r="AR91" s="10">
        <v>0</v>
      </c>
      <c r="AS91" s="7">
        <v>0</v>
      </c>
      <c r="AT91" s="7">
        <v>0</v>
      </c>
      <c r="AU91" s="7">
        <v>0</v>
      </c>
      <c r="AV91" s="7">
        <v>0</v>
      </c>
      <c r="AW91" s="7">
        <v>31</v>
      </c>
      <c r="AX91" s="7">
        <v>1</v>
      </c>
      <c r="AY91" s="5">
        <v>7</v>
      </c>
      <c r="AZ91" s="7">
        <v>0</v>
      </c>
      <c r="BA91" s="7">
        <v>1</v>
      </c>
      <c r="BB91" s="7">
        <v>0</v>
      </c>
      <c r="BC91" s="7">
        <v>1</v>
      </c>
      <c r="BD91" s="7">
        <v>1</v>
      </c>
      <c r="BE91" s="7">
        <v>1</v>
      </c>
      <c r="BF91" s="7">
        <v>0</v>
      </c>
      <c r="BG91" s="7">
        <v>0</v>
      </c>
      <c r="BH91" s="7">
        <v>0</v>
      </c>
      <c r="BI91" s="7">
        <v>0</v>
      </c>
      <c r="BJ91" s="3">
        <v>0</v>
      </c>
      <c r="BK91" s="6">
        <v>0</v>
      </c>
      <c r="BL91" s="7">
        <v>0</v>
      </c>
      <c r="BM91" s="3">
        <v>0</v>
      </c>
    </row>
    <row r="92" spans="1:65" ht="20.100000000000001" customHeight="1" x14ac:dyDescent="0.3">
      <c r="A92" s="3" t="s">
        <v>18</v>
      </c>
      <c r="B92" s="3">
        <v>28</v>
      </c>
      <c r="C92" s="8">
        <v>44301</v>
      </c>
      <c r="D92" s="9">
        <v>0.41666666666666669</v>
      </c>
      <c r="E92" s="4">
        <v>58</v>
      </c>
      <c r="F92" s="3">
        <v>0</v>
      </c>
      <c r="G92" s="3">
        <v>0</v>
      </c>
      <c r="H92" s="3">
        <v>0</v>
      </c>
      <c r="I92" s="3">
        <v>0</v>
      </c>
      <c r="J92" s="9">
        <v>0.42638888888888887</v>
      </c>
      <c r="K92" s="3">
        <v>138.80000000000001</v>
      </c>
      <c r="L92" s="11">
        <f t="shared" ref="L92" si="142">K92-K91</f>
        <v>2.2000000000000171</v>
      </c>
      <c r="M92" s="5">
        <f t="shared" ref="M92" si="143">AB91</f>
        <v>2623.17</v>
      </c>
      <c r="N92" s="11">
        <v>30.5</v>
      </c>
      <c r="O92" s="11">
        <v>31.25</v>
      </c>
      <c r="P92" s="11">
        <v>10.5</v>
      </c>
      <c r="Q92" s="11">
        <v>10.5</v>
      </c>
      <c r="R92" s="11">
        <v>19.5</v>
      </c>
      <c r="S92" s="11">
        <v>19.5</v>
      </c>
      <c r="T92" s="11">
        <v>11</v>
      </c>
      <c r="U92" s="11">
        <v>11</v>
      </c>
      <c r="V92" s="11">
        <v>15</v>
      </c>
      <c r="W92" s="11">
        <v>14</v>
      </c>
      <c r="X92" s="11">
        <v>7</v>
      </c>
      <c r="Y92" s="11">
        <v>7</v>
      </c>
      <c r="Z92" s="3" t="s">
        <v>560</v>
      </c>
      <c r="AA92" s="10" t="s">
        <v>566</v>
      </c>
      <c r="AB92" s="5">
        <f>1227.75+60+180+800</f>
        <v>2267.75</v>
      </c>
      <c r="AC92" s="6">
        <f>66.38+4.5+15+20</f>
        <v>105.88</v>
      </c>
      <c r="AD92" s="6">
        <f>18.75+6+3+8</f>
        <v>35.75</v>
      </c>
      <c r="AE92" s="6">
        <f>77.25+0+6+148</f>
        <v>231.25</v>
      </c>
      <c r="AF92" s="6">
        <f>78.375+0+0+2</f>
        <v>80.375</v>
      </c>
      <c r="AG92" s="6">
        <f>16.5+0+0+2</f>
        <v>18.5</v>
      </c>
      <c r="AH92" s="6">
        <f>2985+300+45+480</f>
        <v>3810</v>
      </c>
      <c r="AI92" s="6">
        <f t="shared" si="1"/>
        <v>4.6689449895270643E-2</v>
      </c>
      <c r="AJ92" s="6">
        <f t="shared" si="2"/>
        <v>1.5764524308235033E-2</v>
      </c>
      <c r="AK92" s="6">
        <f t="shared" si="3"/>
        <v>0.1019733215742476</v>
      </c>
      <c r="AL92" s="6">
        <f t="shared" si="4"/>
        <v>3.5442619336346598E-2</v>
      </c>
      <c r="AM92" s="6">
        <f t="shared" si="5"/>
        <v>8.1578657259398085E-3</v>
      </c>
      <c r="AN92" s="6">
        <f t="shared" si="6"/>
        <v>1.6800793738286848</v>
      </c>
      <c r="AO92" s="7">
        <v>4</v>
      </c>
      <c r="AP92" s="7">
        <v>1</v>
      </c>
      <c r="AQ92" s="7">
        <v>0</v>
      </c>
      <c r="AR92" s="10">
        <v>0</v>
      </c>
      <c r="AS92" s="7">
        <v>0</v>
      </c>
      <c r="AT92" s="7">
        <v>0</v>
      </c>
      <c r="AU92" s="7">
        <v>0</v>
      </c>
      <c r="AV92" s="7">
        <v>0</v>
      </c>
      <c r="AW92" s="7">
        <v>0</v>
      </c>
      <c r="AX92" s="7">
        <v>0</v>
      </c>
      <c r="AY92" s="5">
        <v>7.5</v>
      </c>
      <c r="AZ92" s="7">
        <v>0</v>
      </c>
      <c r="BA92" s="7">
        <v>1</v>
      </c>
      <c r="BB92" s="7">
        <v>0</v>
      </c>
      <c r="BC92" s="7">
        <v>1</v>
      </c>
      <c r="BD92" s="7">
        <v>1</v>
      </c>
      <c r="BE92" s="7">
        <v>0</v>
      </c>
      <c r="BF92" s="7">
        <v>0</v>
      </c>
      <c r="BG92" s="7">
        <v>0</v>
      </c>
      <c r="BH92" s="7">
        <v>0</v>
      </c>
      <c r="BI92" s="7">
        <v>0</v>
      </c>
      <c r="BJ92" s="3">
        <v>0</v>
      </c>
      <c r="BK92" s="6">
        <v>0</v>
      </c>
      <c r="BL92" s="7">
        <v>0</v>
      </c>
      <c r="BM92" s="3">
        <v>0</v>
      </c>
    </row>
    <row r="93" spans="1:65" ht="20.100000000000001" customHeight="1" x14ac:dyDescent="0.3">
      <c r="A93" s="3" t="s">
        <v>137</v>
      </c>
      <c r="B93" s="3">
        <v>29</v>
      </c>
      <c r="C93" s="8">
        <v>44302</v>
      </c>
      <c r="D93" s="9">
        <v>0.30902777777777779</v>
      </c>
      <c r="E93" s="4">
        <v>50</v>
      </c>
      <c r="F93" s="3">
        <v>0</v>
      </c>
      <c r="G93" s="3">
        <v>0</v>
      </c>
      <c r="H93" s="3">
        <v>0</v>
      </c>
      <c r="I93" s="3">
        <v>0</v>
      </c>
      <c r="J93" s="9">
        <v>0.30902777777777779</v>
      </c>
      <c r="K93" s="3">
        <v>138</v>
      </c>
      <c r="L93" s="11">
        <f t="shared" ref="L93" si="144">K93-K92</f>
        <v>-0.80000000000001137</v>
      </c>
      <c r="M93" s="5">
        <f t="shared" ref="M93" si="145">AB92</f>
        <v>2267.75</v>
      </c>
      <c r="N93" s="11">
        <v>30.5</v>
      </c>
      <c r="O93" s="11">
        <v>31.75</v>
      </c>
      <c r="P93" s="11">
        <v>10.25</v>
      </c>
      <c r="Q93" s="11">
        <v>10.5</v>
      </c>
      <c r="R93" s="11">
        <v>19.25</v>
      </c>
      <c r="S93" s="11">
        <v>19.25</v>
      </c>
      <c r="T93" s="11">
        <v>12</v>
      </c>
      <c r="U93" s="11">
        <v>11</v>
      </c>
      <c r="V93" s="11">
        <v>15</v>
      </c>
      <c r="W93" s="11">
        <v>14</v>
      </c>
      <c r="X93" s="11">
        <v>7</v>
      </c>
      <c r="Y93" s="11">
        <v>7</v>
      </c>
      <c r="Z93" s="3" t="s">
        <v>576</v>
      </c>
      <c r="AA93" s="10" t="s">
        <v>569</v>
      </c>
      <c r="AB93" s="5">
        <f>409.25+60+100+120+322+105+30+35+723.17</f>
        <v>1904.42</v>
      </c>
      <c r="AC93" s="6">
        <f>22.125+5+6+2+29+0+2.5+1.5+9.17</f>
        <v>77.295000000000002</v>
      </c>
      <c r="AD93" s="6">
        <f>6.25+3.5+4+0+4+0+0+0+0.42</f>
        <v>18.170000000000002</v>
      </c>
      <c r="AE93" s="6">
        <f>25.75+1+8+18+4+1+1+0+68</f>
        <v>126.75</v>
      </c>
      <c r="AF93" s="6">
        <f>26.125+2+2+6+17+27+1+5+88.46</f>
        <v>174.58499999999998</v>
      </c>
      <c r="AG93" s="6">
        <f>5.5+0+0+1+18+3+1+0+20.38</f>
        <v>48.879999999999995</v>
      </c>
      <c r="AH93" s="6">
        <f>995+15+280+360+14+1+170+15+1627.3</f>
        <v>3477.3</v>
      </c>
      <c r="AI93" s="6">
        <f t="shared" si="1"/>
        <v>4.0587160395290957E-2</v>
      </c>
      <c r="AJ93" s="6">
        <f t="shared" si="2"/>
        <v>9.5409626027872004E-3</v>
      </c>
      <c r="AK93" s="6">
        <f t="shared" si="3"/>
        <v>6.6555696747566187E-2</v>
      </c>
      <c r="AL93" s="6">
        <f t="shared" si="4"/>
        <v>9.167358040768317E-2</v>
      </c>
      <c r="AM93" s="6">
        <f t="shared" si="5"/>
        <v>2.5666607155984497E-2</v>
      </c>
      <c r="AN93" s="6">
        <f t="shared" si="6"/>
        <v>1.8259102508900349</v>
      </c>
      <c r="AO93" s="7">
        <v>3</v>
      </c>
      <c r="AP93" s="7">
        <v>1</v>
      </c>
      <c r="AQ93" s="7">
        <v>0</v>
      </c>
      <c r="AR93" s="10">
        <v>0</v>
      </c>
      <c r="AS93" s="7">
        <v>0</v>
      </c>
      <c r="AT93" s="7">
        <v>0</v>
      </c>
      <c r="AU93" s="7">
        <v>0</v>
      </c>
      <c r="AV93" s="7">
        <v>0</v>
      </c>
      <c r="AW93" s="7">
        <v>31</v>
      </c>
      <c r="AX93" s="7">
        <v>0</v>
      </c>
      <c r="AY93" s="5">
        <v>7</v>
      </c>
      <c r="AZ93" s="7">
        <v>1</v>
      </c>
      <c r="BA93" s="7">
        <v>1</v>
      </c>
      <c r="BB93" s="7">
        <v>1</v>
      </c>
      <c r="BC93" s="7">
        <v>1</v>
      </c>
      <c r="BD93" s="7">
        <v>1</v>
      </c>
      <c r="BE93" s="7">
        <v>1</v>
      </c>
      <c r="BF93" s="7">
        <v>0</v>
      </c>
      <c r="BG93" s="7">
        <v>0</v>
      </c>
      <c r="BH93" s="7">
        <v>0</v>
      </c>
      <c r="BI93" s="7">
        <v>0</v>
      </c>
      <c r="BJ93" s="3">
        <v>1</v>
      </c>
      <c r="BK93" s="6">
        <v>0</v>
      </c>
      <c r="BL93" s="7">
        <v>0</v>
      </c>
      <c r="BM93" s="3">
        <v>0</v>
      </c>
    </row>
    <row r="94" spans="1:65" ht="20.100000000000001" customHeight="1" x14ac:dyDescent="0.3">
      <c r="A94" s="3" t="s">
        <v>19</v>
      </c>
      <c r="B94" s="3">
        <v>30</v>
      </c>
      <c r="C94" s="8">
        <v>44303</v>
      </c>
      <c r="D94" s="9">
        <v>0.27083333333333331</v>
      </c>
      <c r="E94" s="4">
        <v>50</v>
      </c>
      <c r="F94" s="3">
        <v>0</v>
      </c>
      <c r="G94" s="3">
        <v>0</v>
      </c>
      <c r="H94" s="3">
        <v>0</v>
      </c>
      <c r="I94" s="3">
        <v>0</v>
      </c>
      <c r="J94" s="9">
        <v>0.28611111111111115</v>
      </c>
      <c r="K94" s="3">
        <v>139.19999999999999</v>
      </c>
      <c r="L94" s="11">
        <f t="shared" ref="L94" si="146">K94-K93</f>
        <v>1.1999999999999886</v>
      </c>
      <c r="M94" s="5">
        <f t="shared" ref="M94" si="147">AB93</f>
        <v>1904.42</v>
      </c>
      <c r="N94" s="11">
        <v>30.25</v>
      </c>
      <c r="O94" s="11">
        <v>31.25</v>
      </c>
      <c r="P94" s="11">
        <v>10.375</v>
      </c>
      <c r="Q94" s="11">
        <v>10.5</v>
      </c>
      <c r="R94" s="11">
        <v>19.375</v>
      </c>
      <c r="S94" s="11">
        <v>19.25</v>
      </c>
      <c r="T94" s="11">
        <v>12</v>
      </c>
      <c r="U94" s="11">
        <v>9</v>
      </c>
      <c r="V94" s="11">
        <v>16</v>
      </c>
      <c r="W94" s="11">
        <v>14</v>
      </c>
      <c r="X94" s="11">
        <v>7</v>
      </c>
      <c r="Y94" s="11">
        <v>7</v>
      </c>
      <c r="Z94" s="3" t="s">
        <v>575</v>
      </c>
      <c r="AA94" s="10" t="s">
        <v>574</v>
      </c>
      <c r="AB94" s="5">
        <f>1446.33+341.25+20+120+30+300+320+480</f>
        <v>3057.58</v>
      </c>
      <c r="AC94" s="6">
        <f>18.33+0+1.5+2+2.5+15+17+6.67</f>
        <v>63</v>
      </c>
      <c r="AD94" s="6">
        <f>0.83+0+1+0+0+2.5+10+4</f>
        <v>18.329999999999998</v>
      </c>
      <c r="AE94" s="6">
        <f>136+3.25+2+18+1+3+7+2.67</f>
        <v>172.92</v>
      </c>
      <c r="AF94" s="6">
        <f>176.92+87.75+0+6+1+39+35+69.33</f>
        <v>414.99999999999994</v>
      </c>
      <c r="AG94" s="6">
        <f>40.75+9.75+0+1+1+4+1+2.67</f>
        <v>60.17</v>
      </c>
      <c r="AH94" s="6">
        <f>3254.67+3.25+100+360+170+600+250+226.67</f>
        <v>4964.59</v>
      </c>
      <c r="AI94" s="6">
        <f t="shared" si="1"/>
        <v>2.060453038023535E-2</v>
      </c>
      <c r="AJ94" s="6">
        <f t="shared" si="2"/>
        <v>5.9949371725351421E-3</v>
      </c>
      <c r="AK94" s="6">
        <f t="shared" si="3"/>
        <v>5.6554530053179307E-2</v>
      </c>
      <c r="AL94" s="6">
        <f t="shared" si="4"/>
        <v>0.13572825567932809</v>
      </c>
      <c r="AM94" s="6">
        <f t="shared" si="5"/>
        <v>1.9678961793313667E-2</v>
      </c>
      <c r="AN94" s="6">
        <f t="shared" si="6"/>
        <v>1.623699134609724</v>
      </c>
      <c r="AO94" s="7">
        <v>3</v>
      </c>
      <c r="AP94" s="7">
        <v>1</v>
      </c>
      <c r="AQ94" s="7">
        <v>0</v>
      </c>
      <c r="AR94" s="10">
        <v>0</v>
      </c>
      <c r="AS94" s="7">
        <v>0</v>
      </c>
      <c r="AT94" s="7">
        <v>0</v>
      </c>
      <c r="AU94" s="7">
        <v>0</v>
      </c>
      <c r="AV94" s="7">
        <v>0</v>
      </c>
      <c r="AW94" s="7">
        <v>31</v>
      </c>
      <c r="AX94" s="7">
        <v>0</v>
      </c>
      <c r="AY94" s="5">
        <v>6.5</v>
      </c>
      <c r="AZ94" s="7">
        <v>1</v>
      </c>
      <c r="BA94" s="7">
        <v>0</v>
      </c>
      <c r="BB94" s="7">
        <v>1</v>
      </c>
      <c r="BC94" s="7">
        <v>1</v>
      </c>
      <c r="BD94" s="7">
        <v>1</v>
      </c>
      <c r="BE94" s="7">
        <v>1</v>
      </c>
      <c r="BF94" s="7">
        <v>0</v>
      </c>
      <c r="BG94" s="7">
        <v>0</v>
      </c>
      <c r="BH94" s="7">
        <v>0</v>
      </c>
      <c r="BI94" s="7">
        <v>0</v>
      </c>
      <c r="BJ94" s="3">
        <v>1</v>
      </c>
      <c r="BK94" s="6">
        <v>1.5</v>
      </c>
      <c r="BL94" s="3" t="s">
        <v>967</v>
      </c>
      <c r="BM94" s="3">
        <v>0</v>
      </c>
    </row>
    <row r="95" spans="1:65" ht="20.100000000000001" customHeight="1" x14ac:dyDescent="0.3">
      <c r="A95" s="3" t="s">
        <v>23</v>
      </c>
      <c r="B95" s="3">
        <v>0</v>
      </c>
      <c r="C95" s="8">
        <v>44304</v>
      </c>
      <c r="D95" s="9">
        <v>0.32777777777777778</v>
      </c>
      <c r="E95" s="4">
        <v>60</v>
      </c>
      <c r="F95" s="3">
        <v>0</v>
      </c>
      <c r="G95" s="3">
        <v>0</v>
      </c>
      <c r="H95" s="3">
        <v>0</v>
      </c>
      <c r="I95" s="3">
        <v>0</v>
      </c>
      <c r="J95" s="9">
        <v>0.32291666666666669</v>
      </c>
      <c r="K95" s="3">
        <v>139.19999999999999</v>
      </c>
      <c r="L95" s="11">
        <f t="shared" ref="L95" si="148">K95-K94</f>
        <v>0</v>
      </c>
      <c r="M95" s="5">
        <f t="shared" ref="M95" si="149">AB94</f>
        <v>3057.58</v>
      </c>
      <c r="N95" s="11">
        <v>30</v>
      </c>
      <c r="O95" s="11">
        <v>31.5</v>
      </c>
      <c r="P95" s="11">
        <v>10.375</v>
      </c>
      <c r="Q95" s="11">
        <v>10.625</v>
      </c>
      <c r="R95" s="11">
        <v>19.25</v>
      </c>
      <c r="S95" s="11">
        <v>19.25</v>
      </c>
      <c r="T95" s="11">
        <v>12</v>
      </c>
      <c r="U95" s="11">
        <v>11</v>
      </c>
      <c r="V95" s="11">
        <v>14</v>
      </c>
      <c r="W95" s="11">
        <v>12</v>
      </c>
      <c r="X95" s="11">
        <v>7</v>
      </c>
      <c r="Y95" s="11">
        <v>7</v>
      </c>
      <c r="Z95" s="3" t="s">
        <v>581</v>
      </c>
      <c r="AA95" s="10" t="s">
        <v>582</v>
      </c>
      <c r="AB95" s="5">
        <f>1446.3+40+1562+377+480+165+900</f>
        <v>4970.3</v>
      </c>
      <c r="AC95" s="6">
        <f>18.33+3+46.5+0.7+0+6.67+0</f>
        <v>75.2</v>
      </c>
      <c r="AD95" s="6">
        <f>0.83+2+4+0+4+0.1+0</f>
        <v>10.93</v>
      </c>
      <c r="AE95" s="6">
        <f>136+4+91.5+0.3+2.67+5.5+18</f>
        <v>257.97000000000003</v>
      </c>
      <c r="AF95" s="6">
        <f>176.92+0+202+10.9+69.3+33.4+207</f>
        <v>699.52</v>
      </c>
      <c r="AG95" s="6">
        <f>40.75+0+74.5+0+2.67+1.3+126</f>
        <v>245.22</v>
      </c>
      <c r="AH95" s="6">
        <f>3254.67+200+3955+0+226.67+322+45</f>
        <v>8003.34</v>
      </c>
      <c r="AI95" s="6">
        <f t="shared" si="1"/>
        <v>1.5129871436331811E-2</v>
      </c>
      <c r="AJ95" s="6">
        <f t="shared" si="2"/>
        <v>2.1990624308391845E-3</v>
      </c>
      <c r="AK95" s="6">
        <f t="shared" si="3"/>
        <v>5.1902299659980285E-2</v>
      </c>
      <c r="AL95" s="6">
        <f t="shared" si="4"/>
        <v>0.14073999557370781</v>
      </c>
      <c r="AM95" s="6">
        <f t="shared" si="5"/>
        <v>4.9337062149166042E-2</v>
      </c>
      <c r="AN95" s="6">
        <f t="shared" si="6"/>
        <v>1.6102327827294127</v>
      </c>
      <c r="AO95" s="7">
        <v>4</v>
      </c>
      <c r="AP95" s="7">
        <v>1</v>
      </c>
      <c r="AQ95" s="7">
        <v>1</v>
      </c>
      <c r="AR95" s="10">
        <v>0</v>
      </c>
      <c r="AS95" s="7">
        <v>0</v>
      </c>
      <c r="AT95" s="7">
        <v>0</v>
      </c>
      <c r="AU95" s="7">
        <v>0</v>
      </c>
      <c r="AV95" s="7">
        <v>0</v>
      </c>
      <c r="AW95" s="7">
        <v>31</v>
      </c>
      <c r="AX95" s="7">
        <v>1</v>
      </c>
      <c r="AY95" s="5">
        <v>6.5</v>
      </c>
      <c r="AZ95" s="7">
        <v>0</v>
      </c>
      <c r="BA95" s="7">
        <v>0</v>
      </c>
      <c r="BB95" s="7">
        <v>0</v>
      </c>
      <c r="BC95" s="7">
        <v>1</v>
      </c>
      <c r="BD95" s="7">
        <v>1</v>
      </c>
      <c r="BE95" s="7">
        <v>0</v>
      </c>
      <c r="BF95" s="7">
        <v>0</v>
      </c>
      <c r="BG95" s="7">
        <v>0</v>
      </c>
      <c r="BH95" s="7">
        <v>0</v>
      </c>
      <c r="BI95" s="7">
        <v>0</v>
      </c>
      <c r="BJ95" s="3">
        <v>1</v>
      </c>
      <c r="BK95" s="11">
        <v>5</v>
      </c>
      <c r="BL95" s="3" t="s">
        <v>974</v>
      </c>
      <c r="BM95" s="3">
        <v>0</v>
      </c>
    </row>
    <row r="96" spans="1:65" ht="20.100000000000001" customHeight="1" x14ac:dyDescent="0.3">
      <c r="A96" s="3" t="s">
        <v>15</v>
      </c>
      <c r="B96" s="3">
        <v>1</v>
      </c>
      <c r="C96" s="8">
        <v>44305</v>
      </c>
      <c r="D96" s="9">
        <v>0.41180555555555554</v>
      </c>
      <c r="E96" s="4">
        <v>74</v>
      </c>
      <c r="F96" s="3">
        <v>0</v>
      </c>
      <c r="G96" s="3">
        <v>0</v>
      </c>
      <c r="H96" s="3">
        <v>0</v>
      </c>
      <c r="I96" s="3">
        <v>0</v>
      </c>
      <c r="J96" s="9">
        <v>0.42222222222222222</v>
      </c>
      <c r="K96" s="3">
        <v>142.6</v>
      </c>
      <c r="L96" s="11">
        <f t="shared" ref="L96" si="150">K96-K95</f>
        <v>3.4000000000000057</v>
      </c>
      <c r="M96" s="5">
        <f t="shared" ref="M96" si="151">AB95</f>
        <v>4970.3</v>
      </c>
      <c r="N96" s="11">
        <v>30</v>
      </c>
      <c r="O96" s="11">
        <v>31.5</v>
      </c>
      <c r="P96" s="11">
        <v>10.5</v>
      </c>
      <c r="Q96" s="11">
        <v>10.5</v>
      </c>
      <c r="R96" s="11">
        <v>19.5</v>
      </c>
      <c r="S96" s="11">
        <v>19.5</v>
      </c>
      <c r="T96" s="11">
        <v>11</v>
      </c>
      <c r="U96" s="11">
        <v>11</v>
      </c>
      <c r="V96" s="11">
        <v>15</v>
      </c>
      <c r="W96" s="11">
        <v>14</v>
      </c>
      <c r="X96" s="11">
        <v>7</v>
      </c>
      <c r="Y96" s="11">
        <v>7</v>
      </c>
      <c r="Z96" s="3" t="s">
        <v>583</v>
      </c>
      <c r="AA96" s="10" t="s">
        <v>586</v>
      </c>
      <c r="AB96" s="5">
        <f>1446.33+20+644+578.5+102</f>
        <v>2790.83</v>
      </c>
      <c r="AC96" s="6">
        <f>18.33+1.5+58+11.08+10.2</f>
        <v>99.11</v>
      </c>
      <c r="AD96" s="6">
        <f>0.83+1+8+2.15+6.4</f>
        <v>18.380000000000003</v>
      </c>
      <c r="AE96" s="6">
        <f>136+2+8+17.7+2.2</f>
        <v>165.89999999999998</v>
      </c>
      <c r="AF96" s="6">
        <f>176.92+0+34+101.75+0.8</f>
        <v>313.46999999999997</v>
      </c>
      <c r="AG96" s="6">
        <f>40.75+0+36+8.25+0</f>
        <v>85</v>
      </c>
      <c r="AH96" s="6">
        <f>3254.67+100+28+1731+86</f>
        <v>5199.67</v>
      </c>
      <c r="AI96" s="6">
        <f t="shared" si="1"/>
        <v>3.5512732771254434E-2</v>
      </c>
      <c r="AJ96" s="6">
        <f t="shared" si="2"/>
        <v>6.5858543874044648E-3</v>
      </c>
      <c r="AK96" s="6">
        <f t="shared" si="3"/>
        <v>5.9444681331360195E-2</v>
      </c>
      <c r="AL96" s="6">
        <f t="shared" si="4"/>
        <v>0.11232142409247427</v>
      </c>
      <c r="AM96" s="6">
        <f t="shared" si="5"/>
        <v>3.0456889169171896E-2</v>
      </c>
      <c r="AN96" s="6">
        <f t="shared" si="6"/>
        <v>1.8631267400737417</v>
      </c>
      <c r="AO96" s="7">
        <v>4</v>
      </c>
      <c r="AP96" s="7">
        <v>1</v>
      </c>
      <c r="AQ96" s="7">
        <v>0</v>
      </c>
      <c r="AR96" s="10">
        <v>0</v>
      </c>
      <c r="AS96" s="7">
        <v>0</v>
      </c>
      <c r="AT96" s="7">
        <v>0</v>
      </c>
      <c r="AU96" s="7">
        <v>0</v>
      </c>
      <c r="AV96" s="7">
        <v>0</v>
      </c>
      <c r="AW96" s="7">
        <v>31</v>
      </c>
      <c r="AX96" s="7">
        <v>1</v>
      </c>
      <c r="AY96" s="5">
        <v>5.5</v>
      </c>
      <c r="AZ96" s="7">
        <v>1</v>
      </c>
      <c r="BA96" s="7">
        <v>1</v>
      </c>
      <c r="BB96" s="7">
        <v>1</v>
      </c>
      <c r="BC96" s="7">
        <v>1</v>
      </c>
      <c r="BD96" s="7">
        <v>0</v>
      </c>
      <c r="BE96" s="7">
        <v>0</v>
      </c>
      <c r="BF96" s="7">
        <v>0</v>
      </c>
      <c r="BG96" s="7">
        <v>0</v>
      </c>
      <c r="BH96" s="7">
        <v>0</v>
      </c>
      <c r="BI96" s="7">
        <v>0</v>
      </c>
      <c r="BJ96" s="3">
        <v>1</v>
      </c>
      <c r="BK96" s="6">
        <v>0</v>
      </c>
      <c r="BL96" s="7">
        <v>0</v>
      </c>
      <c r="BM96" s="3">
        <v>0</v>
      </c>
    </row>
    <row r="97" spans="1:65" ht="20.100000000000001" customHeight="1" x14ac:dyDescent="0.3">
      <c r="A97" s="3" t="s">
        <v>16</v>
      </c>
      <c r="B97" s="3">
        <v>2</v>
      </c>
      <c r="C97" s="8">
        <v>44306</v>
      </c>
      <c r="D97" s="9">
        <v>0.28472222222222221</v>
      </c>
      <c r="E97" s="4">
        <v>53</v>
      </c>
      <c r="F97" s="3">
        <v>0</v>
      </c>
      <c r="G97" s="3">
        <v>0</v>
      </c>
      <c r="H97" s="3">
        <v>0</v>
      </c>
      <c r="I97" s="3">
        <v>0</v>
      </c>
      <c r="J97" s="9">
        <v>0.28541666666666665</v>
      </c>
      <c r="K97" s="3">
        <v>142.6</v>
      </c>
      <c r="L97" s="11">
        <f t="shared" ref="L97" si="152">K97-K96</f>
        <v>0</v>
      </c>
      <c r="M97" s="5">
        <f t="shared" ref="M97" si="153">AB96</f>
        <v>2790.83</v>
      </c>
      <c r="N97" s="11">
        <v>30.5</v>
      </c>
      <c r="O97" s="11">
        <v>31.5</v>
      </c>
      <c r="P97" s="11">
        <v>10.25</v>
      </c>
      <c r="Q97" s="11">
        <v>10.5</v>
      </c>
      <c r="R97" s="11">
        <v>19.5</v>
      </c>
      <c r="S97" s="11">
        <v>19.5</v>
      </c>
      <c r="T97" s="11">
        <v>13</v>
      </c>
      <c r="U97" s="11">
        <v>11</v>
      </c>
      <c r="V97" s="11">
        <v>15</v>
      </c>
      <c r="W97" s="11">
        <v>15</v>
      </c>
      <c r="X97" s="11">
        <v>7</v>
      </c>
      <c r="Y97" s="11">
        <v>7</v>
      </c>
      <c r="Z97" s="3" t="s">
        <v>595</v>
      </c>
      <c r="AA97" s="10" t="s">
        <v>594</v>
      </c>
      <c r="AB97" s="5">
        <f>240+40+120+23.3+40+300+160+380+380+240+190</f>
        <v>2113.3000000000002</v>
      </c>
      <c r="AC97" s="6">
        <f>4+0.3+10+0.3+0.2+3+10+14+14+20+7</f>
        <v>82.8</v>
      </c>
      <c r="AD97" s="6">
        <f>0+0+0+0+0+0+7+2+1.5+14+1.5</f>
        <v>26</v>
      </c>
      <c r="AE97" s="6">
        <f>36+0+4+0+0.44+6+12+12+6+6+4+4</f>
        <v>90.44</v>
      </c>
      <c r="AF97" s="6">
        <f>12+10+4+6.33+8.89+63+2+60+61+8+29</f>
        <v>264.22000000000003</v>
      </c>
      <c r="AG97" s="6">
        <f>2+3.33+4+1.33+0.89+6+0+3+3+0+2</f>
        <v>25.55</v>
      </c>
      <c r="AH97" s="6">
        <f>720+0+680+0+0+60+380+950+960+60+340</f>
        <v>4150</v>
      </c>
      <c r="AI97" s="6">
        <f t="shared" si="1"/>
        <v>3.9180428713386645E-2</v>
      </c>
      <c r="AJ97" s="6">
        <f t="shared" si="2"/>
        <v>1.2303033170870201E-2</v>
      </c>
      <c r="AK97" s="6">
        <f t="shared" si="3"/>
        <v>4.2795627691288501E-2</v>
      </c>
      <c r="AL97" s="6">
        <f t="shared" si="4"/>
        <v>0.12502720863105096</v>
      </c>
      <c r="AM97" s="6">
        <f t="shared" si="5"/>
        <v>1.2090096058297448E-2</v>
      </c>
      <c r="AN97" s="6">
        <f t="shared" si="6"/>
        <v>1.9637533715042823</v>
      </c>
      <c r="AO97" s="7">
        <v>4</v>
      </c>
      <c r="AP97" s="7">
        <v>1</v>
      </c>
      <c r="AQ97" s="7">
        <v>0</v>
      </c>
      <c r="AR97" s="10">
        <v>0</v>
      </c>
      <c r="AS97" s="7">
        <v>0</v>
      </c>
      <c r="AT97" s="7">
        <v>0</v>
      </c>
      <c r="AU97" s="7">
        <v>0</v>
      </c>
      <c r="AV97" s="7">
        <v>0</v>
      </c>
      <c r="AW97" s="7">
        <v>31</v>
      </c>
      <c r="AX97" s="7">
        <v>1</v>
      </c>
      <c r="AY97" s="5">
        <v>6.5</v>
      </c>
      <c r="AZ97" s="7">
        <v>1</v>
      </c>
      <c r="BA97" s="7">
        <v>1</v>
      </c>
      <c r="BB97" s="7">
        <v>1</v>
      </c>
      <c r="BC97" s="7">
        <v>1</v>
      </c>
      <c r="BD97" s="7">
        <v>1</v>
      </c>
      <c r="BE97" s="7">
        <v>1</v>
      </c>
      <c r="BF97" s="7">
        <v>0</v>
      </c>
      <c r="BG97" s="7">
        <v>0</v>
      </c>
      <c r="BH97" s="7">
        <v>0</v>
      </c>
      <c r="BI97" s="7">
        <v>0</v>
      </c>
      <c r="BJ97" s="3">
        <v>1</v>
      </c>
      <c r="BK97" s="6">
        <v>0</v>
      </c>
      <c r="BL97" s="7">
        <v>0</v>
      </c>
      <c r="BM97" s="3">
        <v>0</v>
      </c>
    </row>
    <row r="98" spans="1:65" ht="20.100000000000001" customHeight="1" x14ac:dyDescent="0.3">
      <c r="A98" s="3" t="s">
        <v>17</v>
      </c>
      <c r="B98" s="3">
        <v>3</v>
      </c>
      <c r="C98" s="8">
        <v>44307</v>
      </c>
      <c r="D98" s="9">
        <v>0.20138888888888887</v>
      </c>
      <c r="E98" s="4">
        <v>55</v>
      </c>
      <c r="F98" s="3">
        <v>0</v>
      </c>
      <c r="G98" s="3">
        <v>0</v>
      </c>
      <c r="H98" s="3">
        <v>0</v>
      </c>
      <c r="I98" s="3">
        <v>0</v>
      </c>
      <c r="J98" s="9">
        <v>0.32847222222222222</v>
      </c>
      <c r="K98" s="3">
        <v>140.80000000000001</v>
      </c>
      <c r="L98" s="11">
        <f t="shared" ref="L98" si="154">K98-K97</f>
        <v>-1.7999999999999829</v>
      </c>
      <c r="M98" s="5">
        <f t="shared" ref="M98" si="155">AB97</f>
        <v>2113.3000000000002</v>
      </c>
      <c r="N98" s="11">
        <v>29.75</v>
      </c>
      <c r="O98" s="11">
        <v>31</v>
      </c>
      <c r="P98" s="11">
        <v>10.5</v>
      </c>
      <c r="Q98" s="11">
        <v>10.5</v>
      </c>
      <c r="R98" s="11">
        <v>19.5</v>
      </c>
      <c r="S98" s="11">
        <v>19.5</v>
      </c>
      <c r="T98" s="11">
        <v>11</v>
      </c>
      <c r="U98" s="11">
        <v>11</v>
      </c>
      <c r="V98" s="11">
        <v>16</v>
      </c>
      <c r="W98" s="11">
        <v>15</v>
      </c>
      <c r="X98" s="11">
        <v>7</v>
      </c>
      <c r="Y98" s="11">
        <v>7</v>
      </c>
      <c r="Z98" s="3" t="s">
        <v>596</v>
      </c>
      <c r="AA98" s="10" t="s">
        <v>601</v>
      </c>
      <c r="AB98" s="5">
        <f>240+90+52.5+120+400+160+290.33+300+70+680</f>
        <v>2402.83</v>
      </c>
      <c r="AC98" s="6">
        <f>4+0.5+0.75+10+4+10+24.67+25+5+25</f>
        <v>108.92</v>
      </c>
      <c r="AD98" s="6">
        <f>0+0+0+0+0+7+4.33+17.5+3.5+7</f>
        <v>39.33</v>
      </c>
      <c r="AE98" s="6">
        <f>36+1+0+4+8+12+7.67+5+1+18</f>
        <v>92.67</v>
      </c>
      <c r="AF98" s="6">
        <f>12+20+14.25+4+84+2+8+10+4+98</f>
        <v>256.25</v>
      </c>
      <c r="AG98" s="6">
        <f>2+2+3+4+8+0+2+0+0+5</f>
        <v>26</v>
      </c>
      <c r="AH98" s="6">
        <f>720+0+0+680+80+380+119.67+75+15+1040</f>
        <v>3109.67</v>
      </c>
      <c r="AI98" s="6">
        <f t="shared" si="1"/>
        <v>4.5329881847654643E-2</v>
      </c>
      <c r="AJ98" s="6">
        <f t="shared" si="2"/>
        <v>1.6368199165151094E-2</v>
      </c>
      <c r="AK98" s="6">
        <f t="shared" si="3"/>
        <v>3.8567023051984534E-2</v>
      </c>
      <c r="AL98" s="6">
        <f t="shared" si="4"/>
        <v>0.10664508100864398</v>
      </c>
      <c r="AM98" s="6">
        <f t="shared" si="5"/>
        <v>1.0820574073072169E-2</v>
      </c>
      <c r="AN98" s="6">
        <f t="shared" si="6"/>
        <v>1.2941697914542436</v>
      </c>
      <c r="AO98" s="7">
        <v>4</v>
      </c>
      <c r="AP98" s="7">
        <v>1</v>
      </c>
      <c r="AQ98" s="7">
        <v>0</v>
      </c>
      <c r="AR98" s="10">
        <v>0</v>
      </c>
      <c r="AS98" s="7">
        <v>0</v>
      </c>
      <c r="AT98" s="7">
        <v>0</v>
      </c>
      <c r="AU98" s="7">
        <v>0</v>
      </c>
      <c r="AV98" s="7">
        <v>0</v>
      </c>
      <c r="AW98" s="7">
        <v>31</v>
      </c>
      <c r="AX98" s="7">
        <v>1</v>
      </c>
      <c r="AY98" s="5">
        <v>6</v>
      </c>
      <c r="AZ98" s="7">
        <v>1</v>
      </c>
      <c r="BA98" s="7">
        <v>1</v>
      </c>
      <c r="BB98" s="7">
        <v>0</v>
      </c>
      <c r="BC98" s="7">
        <v>1</v>
      </c>
      <c r="BD98" s="7">
        <v>1</v>
      </c>
      <c r="BE98" s="7">
        <v>2</v>
      </c>
      <c r="BF98" s="7">
        <v>0</v>
      </c>
      <c r="BG98" s="7">
        <v>0</v>
      </c>
      <c r="BH98" s="7">
        <v>0</v>
      </c>
      <c r="BI98" s="7">
        <v>0</v>
      </c>
      <c r="BJ98" s="3">
        <v>1</v>
      </c>
      <c r="BK98" s="6">
        <v>0</v>
      </c>
      <c r="BL98" s="7">
        <v>0</v>
      </c>
      <c r="BM98" s="3">
        <v>0</v>
      </c>
    </row>
    <row r="99" spans="1:65" ht="20.100000000000001" customHeight="1" x14ac:dyDescent="0.3">
      <c r="A99" s="3" t="s">
        <v>18</v>
      </c>
      <c r="B99" s="3">
        <v>4</v>
      </c>
      <c r="C99" s="8">
        <v>44308</v>
      </c>
      <c r="D99" s="9">
        <v>0.88750000000000007</v>
      </c>
      <c r="E99" s="4">
        <v>55</v>
      </c>
      <c r="F99" s="3">
        <v>0</v>
      </c>
      <c r="G99" s="3">
        <v>0</v>
      </c>
      <c r="H99" s="3">
        <v>0</v>
      </c>
      <c r="I99" s="3">
        <v>0</v>
      </c>
      <c r="J99" s="9">
        <v>0.30416666666666664</v>
      </c>
      <c r="K99" s="3">
        <v>139.4</v>
      </c>
      <c r="L99" s="11">
        <f t="shared" ref="L99" si="156">K99-K98</f>
        <v>-1.4000000000000057</v>
      </c>
      <c r="M99" s="5">
        <f t="shared" ref="M99" si="157">AB98</f>
        <v>2402.83</v>
      </c>
      <c r="N99" s="11">
        <v>30.75</v>
      </c>
      <c r="O99" s="11">
        <v>31.625</v>
      </c>
      <c r="P99" s="11">
        <v>10.5</v>
      </c>
      <c r="Q99" s="11">
        <v>10.5</v>
      </c>
      <c r="R99" s="11">
        <v>19.13</v>
      </c>
      <c r="S99" s="11">
        <v>18.88</v>
      </c>
      <c r="T99" s="11">
        <v>12</v>
      </c>
      <c r="U99" s="11">
        <v>11</v>
      </c>
      <c r="V99" s="11">
        <v>14</v>
      </c>
      <c r="W99" s="11">
        <v>13</v>
      </c>
      <c r="X99" s="11">
        <v>7</v>
      </c>
      <c r="Y99" s="11">
        <v>7</v>
      </c>
      <c r="Z99" s="3" t="s">
        <v>602</v>
      </c>
      <c r="AA99" s="10" t="s">
        <v>604</v>
      </c>
      <c r="AB99" s="5">
        <f>580.67+240+120+70+90+90+800+600+480+104</f>
        <v>3174.67</v>
      </c>
      <c r="AC99" s="6">
        <f>49.33+20+2+1+0.5+7.5+20+6+30+2</f>
        <v>138.32999999999998</v>
      </c>
      <c r="AD99" s="6">
        <f>8.67+14+0+0+0+0+10+0+21+0</f>
        <v>53.67</v>
      </c>
      <c r="AE99" s="6">
        <f>15.33+4+18+0+1+3+8+12+36+2</f>
        <v>99.33</v>
      </c>
      <c r="AF99" s="6">
        <f>16+8+6+19+20+3+148+126+6+20</f>
        <v>372</v>
      </c>
      <c r="AG99" s="6">
        <f>4+0+1+4+2+3+2+12+0+2</f>
        <v>30</v>
      </c>
      <c r="AH99" s="6">
        <f>239.33+60+360+0+0+510+480+120+1140+52</f>
        <v>2961.33</v>
      </c>
      <c r="AI99" s="6">
        <f t="shared" si="1"/>
        <v>4.3573032787659817E-2</v>
      </c>
      <c r="AJ99" s="6">
        <f t="shared" si="2"/>
        <v>1.6905694135138455E-2</v>
      </c>
      <c r="AK99" s="6">
        <f t="shared" si="3"/>
        <v>3.1288291381466417E-2</v>
      </c>
      <c r="AL99" s="6">
        <f t="shared" si="4"/>
        <v>0.11717753341292166</v>
      </c>
      <c r="AM99" s="6">
        <f t="shared" si="5"/>
        <v>9.4498010816872306E-3</v>
      </c>
      <c r="AN99" s="6">
        <f t="shared" si="6"/>
        <v>0.93279931457442822</v>
      </c>
      <c r="AO99" s="7">
        <v>4</v>
      </c>
      <c r="AP99" s="7">
        <v>1</v>
      </c>
      <c r="AQ99" s="7">
        <v>0</v>
      </c>
      <c r="AR99" s="10">
        <v>0</v>
      </c>
      <c r="AS99" s="7">
        <v>0</v>
      </c>
      <c r="AT99" s="7">
        <v>0</v>
      </c>
      <c r="AU99" s="7">
        <v>0</v>
      </c>
      <c r="AV99" s="7">
        <v>0</v>
      </c>
      <c r="AW99" s="7">
        <v>0</v>
      </c>
      <c r="AX99" s="7">
        <v>0</v>
      </c>
      <c r="AY99" s="5">
        <v>6</v>
      </c>
      <c r="AZ99" s="7">
        <v>0</v>
      </c>
      <c r="BA99" s="7">
        <v>1</v>
      </c>
      <c r="BB99" s="7">
        <v>0</v>
      </c>
      <c r="BC99" s="7">
        <v>1</v>
      </c>
      <c r="BD99" s="7">
        <v>1</v>
      </c>
      <c r="BE99" s="7">
        <v>1</v>
      </c>
      <c r="BF99" s="7">
        <v>1</v>
      </c>
      <c r="BG99" s="7">
        <v>10</v>
      </c>
      <c r="BH99" s="7">
        <v>0</v>
      </c>
      <c r="BI99" s="7">
        <v>0</v>
      </c>
      <c r="BJ99" s="3">
        <v>1</v>
      </c>
      <c r="BK99" s="6">
        <v>0</v>
      </c>
      <c r="BL99" s="7">
        <v>0</v>
      </c>
      <c r="BM99" s="3">
        <v>0</v>
      </c>
    </row>
    <row r="100" spans="1:65" ht="20.100000000000001" customHeight="1" x14ac:dyDescent="0.3">
      <c r="A100" s="3" t="s">
        <v>137</v>
      </c>
      <c r="B100" s="3">
        <v>5</v>
      </c>
      <c r="C100" s="8">
        <v>44309</v>
      </c>
      <c r="D100" s="9">
        <v>0.27083333333333331</v>
      </c>
      <c r="E100" s="4">
        <v>55</v>
      </c>
      <c r="F100" s="3">
        <v>0</v>
      </c>
      <c r="G100" s="3">
        <v>0</v>
      </c>
      <c r="H100" s="3">
        <v>0</v>
      </c>
      <c r="I100" s="3">
        <v>0</v>
      </c>
      <c r="J100" s="9">
        <v>0.2722222222222222</v>
      </c>
      <c r="K100" s="3">
        <v>139.4</v>
      </c>
      <c r="L100" s="11">
        <f t="shared" ref="L100" si="158">K100-K99</f>
        <v>0</v>
      </c>
      <c r="M100" s="5">
        <f t="shared" ref="M100" si="159">AB99</f>
        <v>3174.67</v>
      </c>
      <c r="N100" s="11">
        <v>30.5</v>
      </c>
      <c r="O100" s="11">
        <v>31.5</v>
      </c>
      <c r="P100" s="11">
        <v>10.375</v>
      </c>
      <c r="Q100" s="11">
        <v>10.375</v>
      </c>
      <c r="R100" s="11">
        <v>19.25</v>
      </c>
      <c r="S100" s="11">
        <v>19.25</v>
      </c>
      <c r="T100" s="11">
        <v>11</v>
      </c>
      <c r="U100" s="11">
        <v>9</v>
      </c>
      <c r="V100" s="11">
        <v>15</v>
      </c>
      <c r="W100" s="11">
        <v>15</v>
      </c>
      <c r="X100" s="11">
        <v>7</v>
      </c>
      <c r="Y100" s="11">
        <v>7</v>
      </c>
      <c r="Z100" s="3" t="s">
        <v>612</v>
      </c>
      <c r="AA100" s="10" t="s">
        <v>611</v>
      </c>
      <c r="AB100" s="5">
        <f>400+150+70+90+648.5+96+290.3+160+90+140+370</f>
        <v>2504.8000000000002</v>
      </c>
      <c r="AC100" s="6">
        <f>10+2.5+1+0.5+12.075+4.5+24.67+10+7.5+7+15</f>
        <v>94.745000000000005</v>
      </c>
      <c r="AD100" s="6">
        <f>5+0+0+0+2.15+1.5+4.33+7+5.25+0.5+15</f>
        <v>40.730000000000004</v>
      </c>
      <c r="AE100" s="6">
        <f>4+22.5+0+1+17.7+1.1+7.67+12+1.5+2+0</f>
        <v>69.47</v>
      </c>
      <c r="AF100" s="6">
        <f>74+7.5+19+20+120.75+13.4+8+2+3+16+60</f>
        <v>343.65</v>
      </c>
      <c r="AG100" s="6">
        <f>1+1.25+4+2+12.25+0.5+2+0+0+1+0</f>
        <v>24</v>
      </c>
      <c r="AH100" s="6">
        <f>240+450+0+0+1731+63+119.67+380+22.5+120+25</f>
        <v>3151.17</v>
      </c>
      <c r="AI100" s="6">
        <f t="shared" si="1"/>
        <v>3.7825375279463426E-2</v>
      </c>
      <c r="AJ100" s="6">
        <f t="shared" si="2"/>
        <v>1.6260779303736827E-2</v>
      </c>
      <c r="AK100" s="6">
        <f t="shared" si="3"/>
        <v>2.7734749281379749E-2</v>
      </c>
      <c r="AL100" s="6">
        <f t="shared" si="4"/>
        <v>0.13719658256148193</v>
      </c>
      <c r="AM100" s="6">
        <f t="shared" si="5"/>
        <v>9.5816033216224849E-3</v>
      </c>
      <c r="AN100" s="6">
        <f t="shared" si="6"/>
        <v>1.2580525391248802</v>
      </c>
      <c r="AO100" s="7">
        <v>4</v>
      </c>
      <c r="AP100" s="7">
        <v>1</v>
      </c>
      <c r="AQ100" s="7">
        <v>0</v>
      </c>
      <c r="AR100" s="10">
        <v>0</v>
      </c>
      <c r="AS100" s="7">
        <v>0</v>
      </c>
      <c r="AT100" s="7">
        <v>0</v>
      </c>
      <c r="AU100" s="7">
        <v>0</v>
      </c>
      <c r="AV100" s="7">
        <v>0</v>
      </c>
      <c r="AW100" s="7">
        <v>31</v>
      </c>
      <c r="AX100" s="7">
        <v>1</v>
      </c>
      <c r="AY100" s="5">
        <v>6</v>
      </c>
      <c r="AZ100" s="7">
        <v>0</v>
      </c>
      <c r="BA100" s="7">
        <v>1</v>
      </c>
      <c r="BB100" s="7">
        <v>0</v>
      </c>
      <c r="BC100" s="7">
        <v>1</v>
      </c>
      <c r="BD100" s="7">
        <v>1</v>
      </c>
      <c r="BE100" s="7">
        <v>1</v>
      </c>
      <c r="BF100" s="7">
        <v>0</v>
      </c>
      <c r="BG100" s="7">
        <v>0</v>
      </c>
      <c r="BH100" s="7">
        <v>0</v>
      </c>
      <c r="BI100" s="7">
        <v>0</v>
      </c>
      <c r="BJ100" s="3">
        <v>1</v>
      </c>
      <c r="BK100" s="6">
        <v>0</v>
      </c>
      <c r="BL100" s="7">
        <v>0</v>
      </c>
      <c r="BM100" s="3">
        <v>0</v>
      </c>
    </row>
    <row r="101" spans="1:65" ht="20.100000000000001" customHeight="1" x14ac:dyDescent="0.3">
      <c r="A101" s="3" t="s">
        <v>19</v>
      </c>
      <c r="B101" s="3">
        <v>6</v>
      </c>
      <c r="C101" s="8">
        <v>44310</v>
      </c>
      <c r="D101" s="9">
        <v>0.26597222222222222</v>
      </c>
      <c r="E101" s="4">
        <v>56</v>
      </c>
      <c r="F101" s="3">
        <v>0</v>
      </c>
      <c r="G101" s="3">
        <v>0</v>
      </c>
      <c r="H101" s="3">
        <v>0</v>
      </c>
      <c r="I101" s="3">
        <v>0</v>
      </c>
      <c r="J101" s="9">
        <v>0.27708333333333335</v>
      </c>
      <c r="K101" s="3">
        <v>139.4</v>
      </c>
      <c r="L101" s="11">
        <f t="shared" ref="L101" si="160">K101-K100</f>
        <v>0</v>
      </c>
      <c r="M101" s="5">
        <f t="shared" ref="M101" si="161">AB100</f>
        <v>2504.8000000000002</v>
      </c>
      <c r="N101" s="11">
        <v>30.75</v>
      </c>
      <c r="O101" s="11">
        <v>32</v>
      </c>
      <c r="P101" s="11">
        <v>10.375</v>
      </c>
      <c r="Q101" s="11">
        <v>10.375</v>
      </c>
      <c r="R101" s="11">
        <v>19.25</v>
      </c>
      <c r="S101" s="11">
        <v>19.5</v>
      </c>
      <c r="T101" s="11">
        <v>12</v>
      </c>
      <c r="U101" s="11">
        <v>11</v>
      </c>
      <c r="V101" s="11">
        <v>16</v>
      </c>
      <c r="W101" s="11">
        <v>15</v>
      </c>
      <c r="X101" s="11">
        <v>7</v>
      </c>
      <c r="Y101" s="11">
        <v>7.5</v>
      </c>
      <c r="Z101" s="3" t="s">
        <v>618</v>
      </c>
      <c r="AA101" s="10" t="s">
        <v>617</v>
      </c>
      <c r="AB101" s="5">
        <f>522.3+290.3+320+300+420+280+370+450+254</f>
        <v>3206.6</v>
      </c>
      <c r="AC101" s="6">
        <f>38.07+24.67+20+25+21+14+15+0+0</f>
        <v>157.74</v>
      </c>
      <c r="AD101" s="6">
        <f>8.7+4.3+14+17.5+1.5+1+15+0+0</f>
        <v>62</v>
      </c>
      <c r="AE101" s="6">
        <f>27.93+7.67+24+5+6+4+0+9+1</f>
        <v>84.6</v>
      </c>
      <c r="AF101" s="6">
        <f>17.23+8+4+10+48+32+60+42+22.8</f>
        <v>244.03000000000003</v>
      </c>
      <c r="AG101" s="6">
        <f>6.27+2+0+0+3+2+0+9+0</f>
        <v>22.27</v>
      </c>
      <c r="AH101" s="6">
        <f>469+119.67+760+75+240+240+25+90+0</f>
        <v>2018.67</v>
      </c>
      <c r="AI101" s="6">
        <f t="shared" si="1"/>
        <v>4.9192290900018719E-2</v>
      </c>
      <c r="AJ101" s="6">
        <f t="shared" si="2"/>
        <v>1.9335121312293396E-2</v>
      </c>
      <c r="AK101" s="6">
        <f t="shared" si="3"/>
        <v>2.6383084887419694E-2</v>
      </c>
      <c r="AL101" s="6">
        <f t="shared" si="4"/>
        <v>7.61024137715961E-2</v>
      </c>
      <c r="AM101" s="6">
        <f t="shared" si="5"/>
        <v>6.9450508326576437E-3</v>
      </c>
      <c r="AN101" s="6">
        <f t="shared" si="6"/>
        <v>0.62953595708850496</v>
      </c>
      <c r="AO101" s="7">
        <v>4</v>
      </c>
      <c r="AP101" s="7">
        <v>1</v>
      </c>
      <c r="AQ101" s="7">
        <v>0</v>
      </c>
      <c r="AR101" s="10">
        <v>0</v>
      </c>
      <c r="AS101" s="7">
        <v>0</v>
      </c>
      <c r="AT101" s="7">
        <v>0</v>
      </c>
      <c r="AU101" s="7">
        <v>0</v>
      </c>
      <c r="AV101" s="7">
        <v>0</v>
      </c>
      <c r="AW101" s="7">
        <v>31</v>
      </c>
      <c r="AX101" s="7">
        <v>1</v>
      </c>
      <c r="AY101" s="5">
        <v>7</v>
      </c>
      <c r="AZ101" s="7">
        <v>0</v>
      </c>
      <c r="BA101" s="7">
        <v>0</v>
      </c>
      <c r="BB101" s="7">
        <v>0</v>
      </c>
      <c r="BC101" s="7">
        <v>1</v>
      </c>
      <c r="BD101" s="7">
        <v>1</v>
      </c>
      <c r="BE101" s="7">
        <v>0</v>
      </c>
      <c r="BF101" s="7">
        <v>0</v>
      </c>
      <c r="BG101" s="7">
        <v>0</v>
      </c>
      <c r="BH101" s="7">
        <v>0</v>
      </c>
      <c r="BI101" s="7">
        <v>0</v>
      </c>
      <c r="BJ101" s="3">
        <v>1</v>
      </c>
      <c r="BK101" s="11">
        <v>2</v>
      </c>
      <c r="BL101" s="3" t="s">
        <v>975</v>
      </c>
      <c r="BM101" s="3">
        <v>0</v>
      </c>
    </row>
    <row r="102" spans="1:65" ht="20.100000000000001" customHeight="1" x14ac:dyDescent="0.3">
      <c r="A102" s="3" t="s">
        <v>23</v>
      </c>
      <c r="B102" s="3">
        <v>7</v>
      </c>
      <c r="C102" s="8">
        <v>44311</v>
      </c>
      <c r="D102" s="9">
        <v>0.33194444444444443</v>
      </c>
      <c r="E102" s="4">
        <v>57</v>
      </c>
      <c r="F102" s="3">
        <v>0</v>
      </c>
      <c r="G102" s="3">
        <v>0</v>
      </c>
      <c r="H102" s="3">
        <v>0</v>
      </c>
      <c r="I102" s="3">
        <v>0</v>
      </c>
      <c r="J102" s="9">
        <v>0.33194444444444443</v>
      </c>
      <c r="K102" s="3">
        <v>140.80000000000001</v>
      </c>
      <c r="L102" s="11">
        <f t="shared" ref="L102" si="162">K102-K101</f>
        <v>1.4000000000000057</v>
      </c>
      <c r="M102" s="5">
        <f t="shared" ref="M102" si="163">AB101</f>
        <v>3206.6</v>
      </c>
      <c r="N102" s="11">
        <v>31</v>
      </c>
      <c r="O102" s="11">
        <v>32</v>
      </c>
      <c r="P102" s="11">
        <v>10.5</v>
      </c>
      <c r="Q102" s="11">
        <v>10.5</v>
      </c>
      <c r="R102" s="11">
        <v>19.5</v>
      </c>
      <c r="S102" s="11">
        <v>19.75</v>
      </c>
      <c r="T102" s="11">
        <v>12</v>
      </c>
      <c r="U102" s="11">
        <v>11</v>
      </c>
      <c r="V102" s="11">
        <v>16</v>
      </c>
      <c r="W102" s="11">
        <v>15</v>
      </c>
      <c r="X102" s="11">
        <v>7</v>
      </c>
      <c r="Y102" s="11">
        <v>7</v>
      </c>
      <c r="Z102" s="3" t="s">
        <v>619</v>
      </c>
      <c r="AA102" s="10" t="s">
        <v>622</v>
      </c>
      <c r="AB102" s="5">
        <f>840+320+1500.5+141.25+435+60+254+140</f>
        <v>3690.75</v>
      </c>
      <c r="AC102" s="6">
        <f>42+20+40.1+7.6+21+5+0+6</f>
        <v>141.69999999999999</v>
      </c>
      <c r="AD102" s="6">
        <f>3+14+34.73+1+2.8+3.5+0+0</f>
        <v>59.029999999999994</v>
      </c>
      <c r="AE102" s="6">
        <f>12+24+14.53+5.625+12+1+1+0</f>
        <v>70.155000000000001</v>
      </c>
      <c r="AF102" s="6">
        <f>96+4+164.2+13.5+49.5+2+22.8+20</f>
        <v>372</v>
      </c>
      <c r="AG102" s="6">
        <f>6+0+6.53+1.5+9.8+0+0+0</f>
        <v>23.830000000000002</v>
      </c>
      <c r="AH102" s="6">
        <f>720+760+991.33+125+595+15+0+60</f>
        <v>3266.33</v>
      </c>
      <c r="AI102" s="6">
        <f t="shared" si="1"/>
        <v>3.8393280498543653E-2</v>
      </c>
      <c r="AJ102" s="6">
        <f t="shared" si="2"/>
        <v>1.5994039151933887E-2</v>
      </c>
      <c r="AK102" s="6">
        <f t="shared" si="3"/>
        <v>1.9008331639910586E-2</v>
      </c>
      <c r="AL102" s="6">
        <f t="shared" si="4"/>
        <v>0.10079252184515343</v>
      </c>
      <c r="AM102" s="6">
        <f t="shared" si="5"/>
        <v>6.4566822461559308E-3</v>
      </c>
      <c r="AN102" s="6">
        <f t="shared" si="6"/>
        <v>0.88500440289913973</v>
      </c>
      <c r="AO102" s="7">
        <v>4</v>
      </c>
      <c r="AP102" s="7">
        <v>1</v>
      </c>
      <c r="AQ102" s="7">
        <v>0</v>
      </c>
      <c r="AR102" s="10">
        <v>0</v>
      </c>
      <c r="AS102" s="7">
        <v>0</v>
      </c>
      <c r="AT102" s="7">
        <v>0</v>
      </c>
      <c r="AU102" s="7">
        <v>0</v>
      </c>
      <c r="AV102" s="7">
        <v>0</v>
      </c>
      <c r="AW102" s="7">
        <v>31</v>
      </c>
      <c r="AX102" s="7">
        <v>1</v>
      </c>
      <c r="AY102" s="5">
        <v>7</v>
      </c>
      <c r="AZ102" s="7">
        <v>0</v>
      </c>
      <c r="BA102" s="7">
        <v>0</v>
      </c>
      <c r="BB102" s="7">
        <v>0</v>
      </c>
      <c r="BC102" s="7">
        <v>1</v>
      </c>
      <c r="BD102" s="7">
        <v>1</v>
      </c>
      <c r="BE102" s="7">
        <v>0</v>
      </c>
      <c r="BF102" s="7">
        <v>0</v>
      </c>
      <c r="BG102" s="7">
        <v>0</v>
      </c>
      <c r="BH102" s="7">
        <v>0</v>
      </c>
      <c r="BI102" s="7">
        <v>0</v>
      </c>
      <c r="BJ102" s="3">
        <v>1</v>
      </c>
      <c r="BK102" s="11">
        <v>2</v>
      </c>
      <c r="BL102" s="3" t="s">
        <v>975</v>
      </c>
      <c r="BM102" s="3">
        <v>0</v>
      </c>
    </row>
    <row r="103" spans="1:65" ht="20.100000000000001" customHeight="1" x14ac:dyDescent="0.3">
      <c r="A103" s="3" t="s">
        <v>15</v>
      </c>
      <c r="B103" s="3">
        <v>8</v>
      </c>
      <c r="C103" s="8">
        <v>44312</v>
      </c>
      <c r="D103" s="9">
        <v>0.25486111111111109</v>
      </c>
      <c r="E103" s="4">
        <v>53</v>
      </c>
      <c r="F103" s="3">
        <v>0</v>
      </c>
      <c r="G103" s="3">
        <v>0</v>
      </c>
      <c r="H103" s="3">
        <v>0</v>
      </c>
      <c r="I103" s="3">
        <v>0</v>
      </c>
      <c r="J103" s="9">
        <v>0.25486111111111109</v>
      </c>
      <c r="K103" s="3">
        <v>141.6</v>
      </c>
      <c r="L103" s="11">
        <f t="shared" ref="L103" si="164">K103-K102</f>
        <v>0.79999999999998295</v>
      </c>
      <c r="M103" s="5">
        <f t="shared" ref="M103" si="165">AB102</f>
        <v>3690.75</v>
      </c>
      <c r="N103" s="11">
        <v>31.25</v>
      </c>
      <c r="O103" s="11">
        <v>32.25</v>
      </c>
      <c r="P103" s="11">
        <v>10.5</v>
      </c>
      <c r="Q103" s="11">
        <v>10.625</v>
      </c>
      <c r="R103" s="11">
        <v>16.25</v>
      </c>
      <c r="S103" s="11">
        <v>19.5</v>
      </c>
      <c r="T103" s="11">
        <v>12</v>
      </c>
      <c r="U103" s="11">
        <v>11</v>
      </c>
      <c r="V103" s="11">
        <v>15</v>
      </c>
      <c r="W103" s="11">
        <v>14</v>
      </c>
      <c r="X103" s="11">
        <v>7</v>
      </c>
      <c r="Y103" s="11">
        <v>7</v>
      </c>
      <c r="Z103" s="3" t="s">
        <v>623</v>
      </c>
      <c r="AA103" s="10" t="s">
        <v>632</v>
      </c>
      <c r="AB103" s="5">
        <f>1077.3+320+736+120+420+360</f>
        <v>3033.3</v>
      </c>
      <c r="AC103" s="6">
        <f>76+24+30.4+8.5+21+24</f>
        <v>183.9</v>
      </c>
      <c r="AD103" s="6">
        <f>17.3+12+5.9+0+1.5+10</f>
        <v>46.7</v>
      </c>
      <c r="AE103" s="6">
        <f>58.33+24+27.18+2+6+8</f>
        <v>125.50999999999999</v>
      </c>
      <c r="AF103" s="6">
        <f>42.3+8+88.35+22+48+28</f>
        <v>236.64999999999998</v>
      </c>
      <c r="AG103" s="6">
        <f>14.3+0+12.13+1+3+4</f>
        <v>34.43</v>
      </c>
      <c r="AH103" s="6">
        <f>947.3+720+523.5+160+360+40</f>
        <v>2750.8</v>
      </c>
      <c r="AI103" s="6">
        <f t="shared" si="1"/>
        <v>6.0627039857580854E-2</v>
      </c>
      <c r="AJ103" s="6">
        <f t="shared" si="2"/>
        <v>1.539577357992945E-2</v>
      </c>
      <c r="AK103" s="6">
        <f t="shared" si="3"/>
        <v>4.1377377773382122E-2</v>
      </c>
      <c r="AL103" s="6">
        <f t="shared" si="4"/>
        <v>7.8017340849899433E-2</v>
      </c>
      <c r="AM103" s="6">
        <f t="shared" si="5"/>
        <v>1.1350674183232781E-2</v>
      </c>
      <c r="AN103" s="6">
        <f t="shared" si="6"/>
        <v>0.90686710842976292</v>
      </c>
      <c r="AO103" s="7">
        <v>4</v>
      </c>
      <c r="AP103" s="7">
        <v>1</v>
      </c>
      <c r="AQ103" s="7">
        <v>0</v>
      </c>
      <c r="AR103" s="10">
        <v>0</v>
      </c>
      <c r="AS103" s="7">
        <v>0</v>
      </c>
      <c r="AT103" s="7">
        <v>0</v>
      </c>
      <c r="AU103" s="7">
        <v>0</v>
      </c>
      <c r="AV103" s="7">
        <v>0</v>
      </c>
      <c r="AW103" s="7">
        <v>31</v>
      </c>
      <c r="AX103" s="7">
        <v>1</v>
      </c>
      <c r="AY103" s="5">
        <v>7</v>
      </c>
      <c r="AZ103" s="7">
        <v>0</v>
      </c>
      <c r="BA103" s="7">
        <v>1</v>
      </c>
      <c r="BB103" s="7">
        <v>0</v>
      </c>
      <c r="BC103" s="7">
        <v>1</v>
      </c>
      <c r="BD103" s="7">
        <v>1</v>
      </c>
      <c r="BE103" s="7">
        <v>0</v>
      </c>
      <c r="BF103" s="7">
        <v>0</v>
      </c>
      <c r="BG103" s="7">
        <v>0</v>
      </c>
      <c r="BH103" s="7">
        <v>0</v>
      </c>
      <c r="BI103" s="7">
        <v>0</v>
      </c>
      <c r="BJ103" s="3">
        <v>1</v>
      </c>
      <c r="BK103" s="6">
        <v>0</v>
      </c>
      <c r="BL103" s="7">
        <v>0</v>
      </c>
      <c r="BM103" s="3">
        <v>0</v>
      </c>
    </row>
    <row r="104" spans="1:65" ht="20.100000000000001" customHeight="1" x14ac:dyDescent="0.3">
      <c r="A104" s="3" t="s">
        <v>16</v>
      </c>
      <c r="B104" s="3">
        <v>9</v>
      </c>
      <c r="C104" s="8">
        <v>44313</v>
      </c>
      <c r="D104" s="9">
        <v>0.27569444444444446</v>
      </c>
      <c r="E104" s="4">
        <v>50</v>
      </c>
      <c r="F104" s="3">
        <v>0</v>
      </c>
      <c r="G104" s="3">
        <v>0</v>
      </c>
      <c r="H104" s="3">
        <v>0</v>
      </c>
      <c r="I104" s="3">
        <v>0</v>
      </c>
      <c r="J104" s="9">
        <v>0.27916666666666667</v>
      </c>
      <c r="K104" s="3">
        <v>141.6</v>
      </c>
      <c r="L104" s="11">
        <f t="shared" ref="L104" si="166">K104-K103</f>
        <v>0</v>
      </c>
      <c r="M104" s="5">
        <f t="shared" ref="M104" si="167">AB103</f>
        <v>3033.3</v>
      </c>
      <c r="N104" s="11">
        <v>31.5</v>
      </c>
      <c r="O104" s="11">
        <v>32.5</v>
      </c>
      <c r="P104" s="11">
        <v>10.25</v>
      </c>
      <c r="Q104" s="11">
        <v>10.5</v>
      </c>
      <c r="R104" s="11">
        <v>19</v>
      </c>
      <c r="S104" s="11">
        <v>19.75</v>
      </c>
      <c r="T104" s="11">
        <v>12</v>
      </c>
      <c r="U104" s="11">
        <v>9</v>
      </c>
      <c r="V104" s="11">
        <v>15</v>
      </c>
      <c r="W104" s="11">
        <v>15</v>
      </c>
      <c r="X104" s="11">
        <v>7</v>
      </c>
      <c r="Y104" s="11">
        <v>7</v>
      </c>
      <c r="Z104" s="3" t="s">
        <v>637</v>
      </c>
      <c r="AA104" s="10" t="s">
        <v>636</v>
      </c>
      <c r="AB104" s="5">
        <f>538.7+1007.3+480+560+37.5+240</f>
        <v>2863.5</v>
      </c>
      <c r="AC104" s="6">
        <f>38+76+36+28+0+7</f>
        <v>185</v>
      </c>
      <c r="AD104" s="6">
        <f>8.67+17.3+18+2+0+7</f>
        <v>52.97</v>
      </c>
      <c r="AE104" s="6">
        <f>29.17+55.33+36+8+0+0</f>
        <v>128.5</v>
      </c>
      <c r="AF104" s="6">
        <f>21.17+25.33+12+64+9+44</f>
        <v>175.5</v>
      </c>
      <c r="AG104" s="6">
        <f>7.17+7.33+0+4+1.5+0</f>
        <v>20</v>
      </c>
      <c r="AH104" s="6">
        <f>473.7+937.3+1080+480+0+420</f>
        <v>3391</v>
      </c>
      <c r="AI104" s="6">
        <f t="shared" si="1"/>
        <v>6.4606251091321815E-2</v>
      </c>
      <c r="AJ104" s="6">
        <f t="shared" si="2"/>
        <v>1.8498341190850358E-2</v>
      </c>
      <c r="AK104" s="6">
        <f t="shared" si="3"/>
        <v>4.4875152785053253E-2</v>
      </c>
      <c r="AL104" s="6">
        <f t="shared" si="4"/>
        <v>6.1288632792037716E-2</v>
      </c>
      <c r="AM104" s="6">
        <f t="shared" si="5"/>
        <v>6.9844595774401956E-3</v>
      </c>
      <c r="AN104" s="6">
        <f t="shared" si="6"/>
        <v>1.1842151213549852</v>
      </c>
      <c r="AO104" s="7">
        <v>4</v>
      </c>
      <c r="AP104" s="7">
        <v>1</v>
      </c>
      <c r="AQ104" s="7">
        <v>0</v>
      </c>
      <c r="AR104" s="10">
        <v>0</v>
      </c>
      <c r="AS104" s="7">
        <v>0</v>
      </c>
      <c r="AT104" s="7">
        <v>0</v>
      </c>
      <c r="AU104" s="7">
        <v>0</v>
      </c>
      <c r="AV104" s="7">
        <v>0</v>
      </c>
      <c r="AW104" s="7">
        <v>31</v>
      </c>
      <c r="AX104" s="7">
        <v>1</v>
      </c>
      <c r="AY104" s="5">
        <v>6</v>
      </c>
      <c r="AZ104" s="7">
        <v>0</v>
      </c>
      <c r="BA104" s="7">
        <v>1</v>
      </c>
      <c r="BB104" s="7">
        <v>0</v>
      </c>
      <c r="BC104" s="7">
        <v>1</v>
      </c>
      <c r="BD104" s="7">
        <v>1</v>
      </c>
      <c r="BE104" s="7">
        <v>0</v>
      </c>
      <c r="BF104" s="7">
        <v>0</v>
      </c>
      <c r="BG104" s="7">
        <v>0</v>
      </c>
      <c r="BH104" s="7">
        <v>0</v>
      </c>
      <c r="BI104" s="7">
        <v>0</v>
      </c>
      <c r="BJ104" s="3">
        <v>1</v>
      </c>
      <c r="BK104" s="6">
        <v>0</v>
      </c>
      <c r="BL104" s="7">
        <v>0</v>
      </c>
      <c r="BM104" s="3">
        <v>0</v>
      </c>
    </row>
    <row r="105" spans="1:65" ht="20.100000000000001" customHeight="1" x14ac:dyDescent="0.3">
      <c r="A105" s="3" t="s">
        <v>17</v>
      </c>
      <c r="B105" s="3">
        <v>10</v>
      </c>
      <c r="C105" s="8">
        <v>44314</v>
      </c>
      <c r="D105" s="9">
        <v>0.21041666666666667</v>
      </c>
      <c r="E105" s="4">
        <v>49</v>
      </c>
      <c r="F105" s="3">
        <v>0</v>
      </c>
      <c r="G105" s="3">
        <v>0</v>
      </c>
      <c r="H105" s="3">
        <v>0</v>
      </c>
      <c r="I105" s="3">
        <v>0</v>
      </c>
      <c r="J105" s="9">
        <v>0.31388888888888888</v>
      </c>
      <c r="K105" s="3">
        <v>141.6</v>
      </c>
      <c r="L105" s="11">
        <f t="shared" ref="L105" si="168">K105-K104</f>
        <v>0</v>
      </c>
      <c r="M105" s="5">
        <f t="shared" ref="M105" si="169">AB104</f>
        <v>2863.5</v>
      </c>
      <c r="N105" s="11">
        <v>30.5</v>
      </c>
      <c r="O105" s="11">
        <v>31.75</v>
      </c>
      <c r="P105" s="11">
        <v>10.25</v>
      </c>
      <c r="Q105" s="11">
        <v>10.375</v>
      </c>
      <c r="R105" s="11">
        <v>19.5</v>
      </c>
      <c r="S105" s="11">
        <v>19.5</v>
      </c>
      <c r="T105" s="11">
        <v>10</v>
      </c>
      <c r="U105" s="11">
        <v>12</v>
      </c>
      <c r="V105" s="11">
        <v>15</v>
      </c>
      <c r="W105" s="11">
        <v>15</v>
      </c>
      <c r="X105" s="11">
        <v>7</v>
      </c>
      <c r="Y105" s="11">
        <v>7</v>
      </c>
      <c r="Z105" s="3" t="s">
        <v>646</v>
      </c>
      <c r="AA105" s="10" t="s">
        <v>640</v>
      </c>
      <c r="AB105" s="5">
        <f>503.7+280+160+162+37.5+220+120+175</f>
        <v>1658.2</v>
      </c>
      <c r="AC105" s="6">
        <f>38+14+12+0+0+14+0+7.5</f>
        <v>85.5</v>
      </c>
      <c r="AD105" s="6">
        <f>8.7+1+6+0+0+5+0+0</f>
        <v>20.7</v>
      </c>
      <c r="AE105" s="6">
        <f>27.7+4+12+4+0+3+8+0</f>
        <v>58.7</v>
      </c>
      <c r="AF105" s="6">
        <f>12.7+32+4+42+9+24+176+25</f>
        <v>324.7</v>
      </c>
      <c r="AG105" s="6">
        <f>3.7+2+0+8+1.5+1+0+0</f>
        <v>16.2</v>
      </c>
      <c r="AH105" s="6">
        <f>468.7+240+360+4+0+115+200+75</f>
        <v>1462.7</v>
      </c>
      <c r="AI105" s="6">
        <f t="shared" si="1"/>
        <v>5.1561934627909783E-2</v>
      </c>
      <c r="AJ105" s="6">
        <f t="shared" si="2"/>
        <v>1.2483415752020261E-2</v>
      </c>
      <c r="AK105" s="6">
        <f t="shared" si="3"/>
        <v>3.5399831142202388E-2</v>
      </c>
      <c r="AL105" s="6">
        <f t="shared" si="4"/>
        <v>0.19581473887347725</v>
      </c>
      <c r="AM105" s="6">
        <f t="shared" si="5"/>
        <v>9.7696297189723783E-3</v>
      </c>
      <c r="AN105" s="6">
        <f t="shared" si="6"/>
        <v>0.88210107345314193</v>
      </c>
      <c r="AO105" s="7">
        <v>5</v>
      </c>
      <c r="AP105" s="7">
        <v>1</v>
      </c>
      <c r="AQ105" s="7">
        <v>0</v>
      </c>
      <c r="AR105" s="10">
        <v>0</v>
      </c>
      <c r="AS105" s="7">
        <v>0</v>
      </c>
      <c r="AT105" s="7">
        <v>0</v>
      </c>
      <c r="AU105" s="7">
        <v>0</v>
      </c>
      <c r="AV105" s="7">
        <v>0</v>
      </c>
      <c r="AW105" s="7">
        <v>31</v>
      </c>
      <c r="AX105" s="7">
        <v>1</v>
      </c>
      <c r="AY105" s="5">
        <v>5</v>
      </c>
      <c r="AZ105" s="7">
        <v>0</v>
      </c>
      <c r="BA105" s="7">
        <v>1</v>
      </c>
      <c r="BB105" s="7">
        <v>0</v>
      </c>
      <c r="BC105" s="7">
        <v>1</v>
      </c>
      <c r="BD105" s="7">
        <v>1</v>
      </c>
      <c r="BE105" s="7">
        <v>0</v>
      </c>
      <c r="BF105" s="7">
        <v>0</v>
      </c>
      <c r="BG105" s="7">
        <v>0</v>
      </c>
      <c r="BH105" s="7">
        <v>0</v>
      </c>
      <c r="BI105" s="7">
        <v>0</v>
      </c>
      <c r="BJ105" s="3">
        <v>1</v>
      </c>
      <c r="BK105" s="6">
        <v>0</v>
      </c>
      <c r="BL105" s="7">
        <v>0</v>
      </c>
      <c r="BM105" s="3">
        <v>0</v>
      </c>
    </row>
    <row r="106" spans="1:65" ht="20.100000000000001" customHeight="1" x14ac:dyDescent="0.3">
      <c r="A106" s="3" t="s">
        <v>18</v>
      </c>
      <c r="B106" s="3">
        <v>11</v>
      </c>
      <c r="C106" s="8">
        <v>44315</v>
      </c>
      <c r="D106" s="9">
        <v>0.3347222222222222</v>
      </c>
      <c r="E106" s="4">
        <v>59</v>
      </c>
      <c r="F106" s="3">
        <v>0</v>
      </c>
      <c r="G106" s="3">
        <v>0</v>
      </c>
      <c r="H106" s="3">
        <v>0</v>
      </c>
      <c r="I106" s="3">
        <v>0</v>
      </c>
      <c r="J106" s="9">
        <v>0.3354166666666667</v>
      </c>
      <c r="K106" s="3">
        <v>141</v>
      </c>
      <c r="L106" s="11">
        <f t="shared" ref="L106" si="170">K106-K105</f>
        <v>-0.59999999999999432</v>
      </c>
      <c r="M106" s="5">
        <f t="shared" ref="M106" si="171">AB105</f>
        <v>1658.2</v>
      </c>
      <c r="N106" s="11">
        <v>31</v>
      </c>
      <c r="O106" s="11">
        <v>31.75</v>
      </c>
      <c r="P106" s="11">
        <v>10.5</v>
      </c>
      <c r="Q106" s="11">
        <v>10.5</v>
      </c>
      <c r="R106" s="11">
        <v>19.25</v>
      </c>
      <c r="S106" s="11">
        <v>19.75</v>
      </c>
      <c r="T106" s="11">
        <v>12</v>
      </c>
      <c r="U106" s="11">
        <v>10</v>
      </c>
      <c r="V106" s="11">
        <v>16</v>
      </c>
      <c r="W106" s="11">
        <v>15</v>
      </c>
      <c r="X106" s="11">
        <v>7</v>
      </c>
      <c r="Y106" s="11">
        <v>7</v>
      </c>
      <c r="Z106" s="3" t="s">
        <v>647</v>
      </c>
      <c r="AA106" s="10" t="s">
        <v>645</v>
      </c>
      <c r="AB106" s="5">
        <f>186.2+7.5+260+80+1460+550+81+400</f>
        <v>3024.7</v>
      </c>
      <c r="AC106" s="6">
        <f>13.3+0.625+28+6+63.75+35+0+10</f>
        <v>156.67500000000001</v>
      </c>
      <c r="AD106" s="6">
        <f>3.99+0+4+3+14.25+12.5+0+5</f>
        <v>42.74</v>
      </c>
      <c r="AE106" s="6">
        <f>15.96+0.25+0+6+57+7.5+2+4</f>
        <v>92.710000000000008</v>
      </c>
      <c r="AF106" s="6">
        <f>0+0.25+0+2+169.5+60+21+74</f>
        <v>326.75</v>
      </c>
      <c r="AG106" s="6">
        <f>0+0.25+0+0+12.5+2.5+4+1</f>
        <v>20.25</v>
      </c>
      <c r="AH106" s="6">
        <f>186.2+42.5+0+180+1900+287.5+2+240</f>
        <v>2838.2</v>
      </c>
      <c r="AI106" s="6">
        <f t="shared" si="1"/>
        <v>5.1798525473600691E-2</v>
      </c>
      <c r="AJ106" s="6">
        <f t="shared" si="2"/>
        <v>1.4130326974575993E-2</v>
      </c>
      <c r="AK106" s="6">
        <f t="shared" si="3"/>
        <v>3.065097365027937E-2</v>
      </c>
      <c r="AL106" s="6">
        <f t="shared" si="4"/>
        <v>0.10802724237114425</v>
      </c>
      <c r="AM106" s="6">
        <f t="shared" si="5"/>
        <v>6.6948788309584423E-3</v>
      </c>
      <c r="AN106" s="6">
        <f t="shared" si="6"/>
        <v>0.93834099249512348</v>
      </c>
      <c r="AO106" s="7">
        <v>4</v>
      </c>
      <c r="AP106" s="7">
        <v>2</v>
      </c>
      <c r="AQ106" s="7">
        <v>0</v>
      </c>
      <c r="AR106" s="10">
        <v>0</v>
      </c>
      <c r="AS106" s="7">
        <v>0</v>
      </c>
      <c r="AT106" s="7">
        <v>0</v>
      </c>
      <c r="AU106" s="7">
        <v>0</v>
      </c>
      <c r="AV106" s="7">
        <v>0</v>
      </c>
      <c r="AW106" s="7">
        <v>0</v>
      </c>
      <c r="AX106" s="7">
        <v>0</v>
      </c>
      <c r="AY106" s="5">
        <v>6</v>
      </c>
      <c r="AZ106" s="7">
        <v>0</v>
      </c>
      <c r="BA106" s="7">
        <v>1</v>
      </c>
      <c r="BB106" s="7">
        <v>0</v>
      </c>
      <c r="BC106" s="7">
        <v>1</v>
      </c>
      <c r="BD106" s="7">
        <v>1</v>
      </c>
      <c r="BE106" s="7">
        <v>0</v>
      </c>
      <c r="BF106" s="7">
        <v>0</v>
      </c>
      <c r="BG106" s="7">
        <v>0</v>
      </c>
      <c r="BH106" s="7">
        <v>0</v>
      </c>
      <c r="BI106" s="7">
        <v>1</v>
      </c>
      <c r="BJ106" s="3">
        <v>1</v>
      </c>
      <c r="BK106" s="6">
        <v>0</v>
      </c>
      <c r="BL106" s="7">
        <v>0</v>
      </c>
      <c r="BM106" s="3">
        <v>0</v>
      </c>
    </row>
    <row r="107" spans="1:65" ht="20.100000000000001" customHeight="1" x14ac:dyDescent="0.3">
      <c r="A107" s="3" t="s">
        <v>137</v>
      </c>
      <c r="B107" s="3">
        <v>0</v>
      </c>
      <c r="C107" s="8">
        <v>44316</v>
      </c>
      <c r="D107" s="9">
        <v>0.25347222222222221</v>
      </c>
      <c r="E107" s="4">
        <v>58</v>
      </c>
      <c r="F107" s="3">
        <v>0</v>
      </c>
      <c r="G107" s="3">
        <v>0</v>
      </c>
      <c r="H107" s="3">
        <v>0</v>
      </c>
      <c r="I107" s="3">
        <v>0</v>
      </c>
      <c r="J107" s="9">
        <v>0.2673611111111111</v>
      </c>
      <c r="K107" s="3">
        <v>141</v>
      </c>
      <c r="L107" s="11">
        <f t="shared" ref="L107" si="172">K107-K106</f>
        <v>0</v>
      </c>
      <c r="M107" s="5">
        <f t="shared" ref="M107" si="173">AB106</f>
        <v>3024.7</v>
      </c>
      <c r="N107" s="11">
        <v>30.75</v>
      </c>
      <c r="O107" s="11">
        <v>32</v>
      </c>
      <c r="P107" s="11">
        <v>10.5</v>
      </c>
      <c r="Q107" s="11">
        <v>10.625</v>
      </c>
      <c r="R107" s="11">
        <v>19.25</v>
      </c>
      <c r="S107" s="11">
        <v>19.25</v>
      </c>
      <c r="T107" s="11">
        <v>12</v>
      </c>
      <c r="U107" s="11">
        <v>11</v>
      </c>
      <c r="V107" s="11">
        <v>15</v>
      </c>
      <c r="W107" s="11">
        <v>15</v>
      </c>
      <c r="X107" s="11">
        <v>7</v>
      </c>
      <c r="Y107" s="11">
        <v>7</v>
      </c>
      <c r="Z107" s="3" t="s">
        <v>648</v>
      </c>
      <c r="AA107" s="10" t="s">
        <v>652</v>
      </c>
      <c r="AB107" s="5">
        <f>157+310+208+162+1460+92+120+45</f>
        <v>2554</v>
      </c>
      <c r="AC107" s="6">
        <f>4.3+19+0+0+63.75+0+2.5+3.75</f>
        <v>93.3</v>
      </c>
      <c r="AD107" s="6">
        <f>2.7+11+0+0+14.25+0+0+0</f>
        <v>27.95</v>
      </c>
      <c r="AE107" s="6">
        <f>4+5+2+4+57+2+20+1.5</f>
        <v>95.5</v>
      </c>
      <c r="AF107" s="6">
        <f>26+31+54+42+169.5+24+5+1.5</f>
        <v>353</v>
      </c>
      <c r="AG107" s="6">
        <f>0+0+2+8+12.5+2+2+1.5</f>
        <v>28</v>
      </c>
      <c r="AH107" s="6">
        <f>65+95+6+4+1900+0+340+255</f>
        <v>2665</v>
      </c>
      <c r="AI107" s="6">
        <f t="shared" si="1"/>
        <v>3.6530931871574003E-2</v>
      </c>
      <c r="AJ107" s="6">
        <f t="shared" si="2"/>
        <v>1.0943617854346123E-2</v>
      </c>
      <c r="AK107" s="6">
        <f t="shared" si="3"/>
        <v>3.7392325763508219E-2</v>
      </c>
      <c r="AL107" s="6">
        <f t="shared" si="4"/>
        <v>0.13821456538762725</v>
      </c>
      <c r="AM107" s="6">
        <f t="shared" si="5"/>
        <v>1.0963194988253719E-2</v>
      </c>
      <c r="AN107" s="6">
        <f t="shared" si="6"/>
        <v>1.0434612372748631</v>
      </c>
      <c r="AO107" s="7">
        <v>4</v>
      </c>
      <c r="AP107" s="7">
        <v>1</v>
      </c>
      <c r="AQ107" s="7">
        <v>1</v>
      </c>
      <c r="AR107" s="10">
        <v>0</v>
      </c>
      <c r="AS107" s="7">
        <v>0</v>
      </c>
      <c r="AT107" s="7">
        <v>0</v>
      </c>
      <c r="AU107" s="7">
        <v>0</v>
      </c>
      <c r="AV107" s="7">
        <v>0</v>
      </c>
      <c r="AW107" s="7">
        <v>31</v>
      </c>
      <c r="AX107" s="7">
        <v>1</v>
      </c>
      <c r="AY107" s="5">
        <v>7.5</v>
      </c>
      <c r="AZ107" s="7">
        <v>0</v>
      </c>
      <c r="BA107" s="7">
        <v>0</v>
      </c>
      <c r="BB107" s="7">
        <v>0</v>
      </c>
      <c r="BC107" s="7">
        <v>1</v>
      </c>
      <c r="BD107" s="7">
        <v>1</v>
      </c>
      <c r="BE107" s="7">
        <v>1</v>
      </c>
      <c r="BF107" s="7">
        <v>0</v>
      </c>
      <c r="BG107" s="7">
        <v>0</v>
      </c>
      <c r="BH107" s="7">
        <v>0</v>
      </c>
      <c r="BI107" s="7">
        <v>0</v>
      </c>
      <c r="BJ107" s="7">
        <v>1</v>
      </c>
      <c r="BK107" s="11">
        <v>1</v>
      </c>
      <c r="BL107" s="3" t="s">
        <v>967</v>
      </c>
      <c r="BM107" s="3">
        <v>0</v>
      </c>
    </row>
    <row r="108" spans="1:65" ht="20.100000000000001" customHeight="1" x14ac:dyDescent="0.3">
      <c r="A108" s="3" t="s">
        <v>19</v>
      </c>
      <c r="B108" s="3">
        <v>1</v>
      </c>
      <c r="C108" s="8">
        <v>44317</v>
      </c>
      <c r="D108" s="9">
        <v>0.27013888888888887</v>
      </c>
      <c r="E108" s="4">
        <v>58</v>
      </c>
      <c r="F108" s="3">
        <v>0</v>
      </c>
      <c r="G108" s="3">
        <v>0</v>
      </c>
      <c r="H108" s="3">
        <v>0</v>
      </c>
      <c r="I108" s="3">
        <v>0</v>
      </c>
      <c r="J108" s="9">
        <v>0.27083333333333331</v>
      </c>
      <c r="K108" s="3">
        <v>139.4</v>
      </c>
      <c r="L108" s="11">
        <f t="shared" ref="L108" si="174">K108-K107</f>
        <v>-1.5999999999999943</v>
      </c>
      <c r="M108" s="5">
        <f t="shared" ref="M108" si="175">AB107</f>
        <v>2554</v>
      </c>
      <c r="N108" s="11">
        <v>30.25</v>
      </c>
      <c r="O108" s="11">
        <v>31.75</v>
      </c>
      <c r="P108" s="11">
        <v>10.5</v>
      </c>
      <c r="Q108" s="11">
        <v>10.5</v>
      </c>
      <c r="R108" s="11">
        <v>19.25</v>
      </c>
      <c r="S108" s="11">
        <v>19.5</v>
      </c>
      <c r="T108" s="11">
        <v>13</v>
      </c>
      <c r="U108" s="11">
        <v>11</v>
      </c>
      <c r="V108" s="11">
        <v>16</v>
      </c>
      <c r="W108" s="11">
        <v>15</v>
      </c>
      <c r="X108" s="11">
        <v>7</v>
      </c>
      <c r="Y108" s="11">
        <v>7</v>
      </c>
      <c r="Z108" s="3" t="s">
        <v>656</v>
      </c>
      <c r="AA108" s="10" t="s">
        <v>655</v>
      </c>
      <c r="AB108" s="5">
        <f>300+240+60+400+210+92+737.3+70</f>
        <v>2109.3000000000002</v>
      </c>
      <c r="AC108" s="6">
        <f>16+5+5+24+0+0+22.74+5</f>
        <v>77.739999999999995</v>
      </c>
      <c r="AD108" s="6">
        <f>3+0+0+14+0+0+6.21+3.5</f>
        <v>26.71</v>
      </c>
      <c r="AE108" s="6">
        <f>3+40+2+6+2+2+49.1+1</f>
        <v>105.1</v>
      </c>
      <c r="AF108" s="6">
        <f>37+10+2+40+54+24+91.55+4</f>
        <v>262.55</v>
      </c>
      <c r="AG108" s="6">
        <f>2+4+2+0+6+2+16.8+0</f>
        <v>32.799999999999997</v>
      </c>
      <c r="AH108" s="6">
        <f>320+680+340+100+2+0+951.5+20</f>
        <v>2413.5</v>
      </c>
      <c r="AI108" s="6">
        <f t="shared" si="1"/>
        <v>3.685582894799222E-2</v>
      </c>
      <c r="AJ108" s="6">
        <f t="shared" si="2"/>
        <v>1.266296875740767E-2</v>
      </c>
      <c r="AK108" s="6">
        <f t="shared" si="3"/>
        <v>4.9826956810316209E-2</v>
      </c>
      <c r="AL108" s="6">
        <f t="shared" si="4"/>
        <v>0.12447257383966244</v>
      </c>
      <c r="AM108" s="6">
        <f t="shared" si="5"/>
        <v>1.5550182525008295E-2</v>
      </c>
      <c r="AN108" s="6">
        <f t="shared" si="6"/>
        <v>1.144218461100839</v>
      </c>
      <c r="AO108" s="7">
        <v>4</v>
      </c>
      <c r="AP108" s="7">
        <v>1</v>
      </c>
      <c r="AQ108" s="7">
        <v>1</v>
      </c>
      <c r="AR108" s="10">
        <v>0</v>
      </c>
      <c r="AS108" s="7">
        <v>0</v>
      </c>
      <c r="AT108" s="7">
        <v>0</v>
      </c>
      <c r="AU108" s="7">
        <v>0</v>
      </c>
      <c r="AV108" s="7">
        <v>0</v>
      </c>
      <c r="AW108" s="7">
        <v>31</v>
      </c>
      <c r="AX108" s="7">
        <v>1</v>
      </c>
      <c r="AY108" s="5">
        <v>6</v>
      </c>
      <c r="AZ108" s="7">
        <v>0</v>
      </c>
      <c r="BA108" s="7">
        <v>0</v>
      </c>
      <c r="BB108" s="7">
        <v>0</v>
      </c>
      <c r="BC108" s="7">
        <v>1</v>
      </c>
      <c r="BD108" s="7">
        <v>1</v>
      </c>
      <c r="BE108" s="7">
        <v>2</v>
      </c>
      <c r="BF108" s="7">
        <v>0</v>
      </c>
      <c r="BG108" s="7">
        <v>0</v>
      </c>
      <c r="BH108" s="7">
        <v>0</v>
      </c>
      <c r="BI108" s="7">
        <v>0</v>
      </c>
      <c r="BJ108" s="7">
        <v>1</v>
      </c>
      <c r="BK108" s="11">
        <v>1</v>
      </c>
      <c r="BL108" s="3" t="s">
        <v>976</v>
      </c>
      <c r="BM108" s="3">
        <v>0</v>
      </c>
    </row>
    <row r="109" spans="1:65" ht="20.100000000000001" customHeight="1" x14ac:dyDescent="0.3">
      <c r="A109" s="3" t="s">
        <v>23</v>
      </c>
      <c r="B109" s="3">
        <v>2</v>
      </c>
      <c r="C109" s="8">
        <v>44318</v>
      </c>
      <c r="D109" s="9">
        <v>0.29791666666666666</v>
      </c>
      <c r="E109" s="4">
        <v>58</v>
      </c>
      <c r="F109" s="3">
        <v>0</v>
      </c>
      <c r="G109" s="3">
        <v>0</v>
      </c>
      <c r="H109" s="3">
        <v>0</v>
      </c>
      <c r="I109" s="3">
        <v>0</v>
      </c>
      <c r="J109" s="9">
        <v>0.29305555555555557</v>
      </c>
      <c r="K109" s="3">
        <v>137</v>
      </c>
      <c r="L109" s="11">
        <f t="shared" ref="L109" si="176">K109-K108</f>
        <v>-2.4000000000000057</v>
      </c>
      <c r="M109" s="5">
        <f t="shared" ref="M109" si="177">AB108</f>
        <v>2109.3000000000002</v>
      </c>
      <c r="N109" s="11">
        <v>29.5</v>
      </c>
      <c r="O109" s="11">
        <v>30.5</v>
      </c>
      <c r="P109" s="11">
        <v>10.5</v>
      </c>
      <c r="Q109" s="11">
        <v>10.5</v>
      </c>
      <c r="R109" s="11">
        <v>19.25</v>
      </c>
      <c r="S109" s="11">
        <v>19.25</v>
      </c>
      <c r="T109" s="11">
        <v>12</v>
      </c>
      <c r="U109" s="11">
        <v>10</v>
      </c>
      <c r="V109" s="11">
        <v>15</v>
      </c>
      <c r="W109" s="11">
        <v>14</v>
      </c>
      <c r="X109" s="11">
        <v>7</v>
      </c>
      <c r="Y109" s="11">
        <v>7</v>
      </c>
      <c r="Z109" s="3" t="s">
        <v>657</v>
      </c>
      <c r="AA109" s="10" t="s">
        <v>659</v>
      </c>
      <c r="AB109" s="5">
        <f>1769.4+160+92+240+60+210</f>
        <v>2531.4</v>
      </c>
      <c r="AC109" s="6">
        <f>54.57+12+0+5+5+0</f>
        <v>76.569999999999993</v>
      </c>
      <c r="AD109" s="6">
        <f>14.91+6+0+0+0+0</f>
        <v>20.91</v>
      </c>
      <c r="AE109" s="6">
        <f>117.78+12+2+40+2+2</f>
        <v>175.78</v>
      </c>
      <c r="AF109" s="6">
        <f>219.72+4+24+10+2+54</f>
        <v>313.72000000000003</v>
      </c>
      <c r="AG109" s="6">
        <f>40.38+0+2+4+2+6</f>
        <v>54.38</v>
      </c>
      <c r="AH109" s="6">
        <f>2283.6+360+0+680+340+2</f>
        <v>3665.6</v>
      </c>
      <c r="AI109" s="6">
        <f t="shared" si="1"/>
        <v>3.0248084064154218E-2</v>
      </c>
      <c r="AJ109" s="6">
        <f t="shared" si="2"/>
        <v>8.2602512443707039E-3</v>
      </c>
      <c r="AK109" s="6">
        <f t="shared" si="3"/>
        <v>6.943983566405941E-2</v>
      </c>
      <c r="AL109" s="6">
        <f t="shared" si="4"/>
        <v>0.12393142134787075</v>
      </c>
      <c r="AM109" s="6">
        <f t="shared" si="5"/>
        <v>2.1482183771825869E-2</v>
      </c>
      <c r="AN109" s="6">
        <f t="shared" si="6"/>
        <v>1.4480524610887255</v>
      </c>
      <c r="AO109" s="7">
        <v>4</v>
      </c>
      <c r="AP109" s="7">
        <v>1</v>
      </c>
      <c r="AQ109" s="7">
        <v>1</v>
      </c>
      <c r="AR109" s="10">
        <v>0</v>
      </c>
      <c r="AS109" s="7">
        <v>0</v>
      </c>
      <c r="AT109" s="7">
        <v>0</v>
      </c>
      <c r="AU109" s="7">
        <v>0</v>
      </c>
      <c r="AV109" s="7">
        <v>0</v>
      </c>
      <c r="AW109" s="7">
        <v>31</v>
      </c>
      <c r="AX109" s="7">
        <v>1</v>
      </c>
      <c r="AY109" s="5">
        <v>7</v>
      </c>
      <c r="AZ109" s="7">
        <v>1</v>
      </c>
      <c r="BA109" s="7">
        <v>0</v>
      </c>
      <c r="BB109" s="7">
        <v>1</v>
      </c>
      <c r="BC109" s="7">
        <v>1</v>
      </c>
      <c r="BD109" s="7">
        <v>1</v>
      </c>
      <c r="BE109" s="7">
        <v>1</v>
      </c>
      <c r="BF109" s="7">
        <v>0</v>
      </c>
      <c r="BG109" s="7">
        <v>0</v>
      </c>
      <c r="BH109" s="7">
        <v>0</v>
      </c>
      <c r="BI109" s="7">
        <v>0</v>
      </c>
      <c r="BJ109" s="7">
        <v>1</v>
      </c>
      <c r="BK109" s="11">
        <v>1</v>
      </c>
      <c r="BL109" s="3" t="s">
        <v>976</v>
      </c>
      <c r="BM109" s="3">
        <v>0</v>
      </c>
    </row>
    <row r="110" spans="1:65" ht="20.100000000000001" customHeight="1" x14ac:dyDescent="0.3">
      <c r="A110" s="3" t="s">
        <v>15</v>
      </c>
      <c r="B110" s="3">
        <v>3</v>
      </c>
      <c r="C110" s="8">
        <v>44319</v>
      </c>
      <c r="D110" s="9">
        <v>0.28402777777777777</v>
      </c>
      <c r="E110" s="4">
        <v>55</v>
      </c>
      <c r="F110" s="3">
        <v>0</v>
      </c>
      <c r="G110" s="3">
        <v>0</v>
      </c>
      <c r="H110" s="3">
        <v>0</v>
      </c>
      <c r="I110" s="3">
        <v>0</v>
      </c>
      <c r="J110" s="9">
        <v>0.32361111111111113</v>
      </c>
      <c r="K110" s="3">
        <v>134.6</v>
      </c>
      <c r="L110" s="11">
        <f t="shared" ref="L110" si="178">K110-K109</f>
        <v>-2.4000000000000057</v>
      </c>
      <c r="M110" s="5">
        <f t="shared" ref="M110" si="179">AB109</f>
        <v>2531.4</v>
      </c>
      <c r="N110" s="11">
        <v>29.75</v>
      </c>
      <c r="O110" s="11">
        <v>31.75</v>
      </c>
      <c r="P110" s="11">
        <v>10.5</v>
      </c>
      <c r="Q110" s="11">
        <v>10.5</v>
      </c>
      <c r="R110" s="11">
        <v>19</v>
      </c>
      <c r="S110" s="11">
        <v>19.25</v>
      </c>
      <c r="T110" s="11">
        <v>12</v>
      </c>
      <c r="U110" s="11">
        <v>11</v>
      </c>
      <c r="V110" s="11">
        <v>15</v>
      </c>
      <c r="W110" s="11">
        <v>15</v>
      </c>
      <c r="X110" s="11">
        <v>7</v>
      </c>
      <c r="Y110" s="11">
        <v>7</v>
      </c>
      <c r="Z110" s="3" t="s">
        <v>664</v>
      </c>
      <c r="AA110" s="10" t="s">
        <v>663</v>
      </c>
      <c r="AB110" s="5">
        <f>589.8+240+400+216+240+60+80+1185+170+92</f>
        <v>3272.8</v>
      </c>
      <c r="AC110" s="6">
        <f>18.19+18+24+0+5+5+5+59.3+1.7+0</f>
        <v>136.19</v>
      </c>
      <c r="AD110" s="6">
        <f>4.97+9+14+0+0+0+1+15.9+0.3+0</f>
        <v>45.169999999999995</v>
      </c>
      <c r="AE110" s="6">
        <f>39.26+18+6+6+40+2+1+45.4+6.3+2</f>
        <v>165.96</v>
      </c>
      <c r="AF110" s="6">
        <f>73.24+6+40+42+10+2+20+126.6+35.2+24</f>
        <v>379.04</v>
      </c>
      <c r="AG110" s="6">
        <f>13.46+0+0+6+4+2+9+24.1+4.7+2</f>
        <v>65.260000000000005</v>
      </c>
      <c r="AH110" s="6">
        <f>761.2+540+100+108+680+340+0+2321+340+0</f>
        <v>5190.2</v>
      </c>
      <c r="AI110" s="6">
        <f t="shared" si="1"/>
        <v>4.1612686384747001E-2</v>
      </c>
      <c r="AJ110" s="6">
        <f t="shared" si="2"/>
        <v>1.3801637741383523E-2</v>
      </c>
      <c r="AK110" s="6">
        <f t="shared" si="3"/>
        <v>5.0708873136152528E-2</v>
      </c>
      <c r="AL110" s="6">
        <f t="shared" si="4"/>
        <v>0.11581520410657541</v>
      </c>
      <c r="AM110" s="6">
        <f t="shared" si="5"/>
        <v>1.9940112441945736E-2</v>
      </c>
      <c r="AN110" s="6">
        <f t="shared" si="6"/>
        <v>1.5858592031288192</v>
      </c>
      <c r="AO110" s="7">
        <v>4</v>
      </c>
      <c r="AP110" s="7">
        <v>1</v>
      </c>
      <c r="AQ110" s="7">
        <v>1</v>
      </c>
      <c r="AR110" s="10">
        <v>0</v>
      </c>
      <c r="AS110" s="7">
        <v>0</v>
      </c>
      <c r="AT110" s="7">
        <v>0</v>
      </c>
      <c r="AU110" s="7">
        <v>0</v>
      </c>
      <c r="AV110" s="7">
        <v>0</v>
      </c>
      <c r="AW110" s="7">
        <v>31</v>
      </c>
      <c r="AX110" s="7">
        <v>1</v>
      </c>
      <c r="AY110" s="5">
        <v>8</v>
      </c>
      <c r="AZ110" s="7">
        <v>0</v>
      </c>
      <c r="BA110" s="7">
        <v>0</v>
      </c>
      <c r="BB110" s="7">
        <v>0</v>
      </c>
      <c r="BC110" s="7">
        <v>1</v>
      </c>
      <c r="BD110" s="7">
        <v>1</v>
      </c>
      <c r="BE110" s="7">
        <v>2</v>
      </c>
      <c r="BF110" s="7">
        <v>0</v>
      </c>
      <c r="BG110" s="7">
        <v>0</v>
      </c>
      <c r="BH110" s="7">
        <v>0</v>
      </c>
      <c r="BI110" s="7">
        <v>0</v>
      </c>
      <c r="BJ110" s="7">
        <v>1</v>
      </c>
      <c r="BK110" s="11">
        <v>2</v>
      </c>
      <c r="BL110" s="3" t="s">
        <v>976</v>
      </c>
      <c r="BM110" s="3">
        <v>0</v>
      </c>
    </row>
    <row r="111" spans="1:65" ht="20.100000000000001" customHeight="1" x14ac:dyDescent="0.3">
      <c r="A111" s="3" t="s">
        <v>16</v>
      </c>
      <c r="B111" s="3">
        <v>4</v>
      </c>
      <c r="C111" s="8">
        <v>44320</v>
      </c>
      <c r="D111" s="9">
        <v>0.3347222222222222</v>
      </c>
      <c r="E111" s="4">
        <v>63</v>
      </c>
      <c r="F111" s="3">
        <v>0</v>
      </c>
      <c r="G111" s="3">
        <v>0</v>
      </c>
      <c r="H111" s="3">
        <v>0</v>
      </c>
      <c r="I111" s="3">
        <v>0</v>
      </c>
      <c r="J111" s="9">
        <v>0.45833333333333331</v>
      </c>
      <c r="K111" s="3">
        <v>136.4</v>
      </c>
      <c r="L111" s="11">
        <f t="shared" ref="L111" si="180">K111-K110</f>
        <v>1.8000000000000114</v>
      </c>
      <c r="M111" s="5">
        <f t="shared" ref="M111" si="181">AB110</f>
        <v>3272.8</v>
      </c>
      <c r="N111" s="11">
        <v>30</v>
      </c>
      <c r="O111" s="11">
        <v>31.5</v>
      </c>
      <c r="P111" s="11">
        <v>10.25</v>
      </c>
      <c r="Q111" s="11">
        <v>10.5</v>
      </c>
      <c r="R111" s="11">
        <v>19.375</v>
      </c>
      <c r="S111" s="11">
        <v>19.25</v>
      </c>
      <c r="T111" s="11">
        <v>11</v>
      </c>
      <c r="U111" s="11">
        <v>9</v>
      </c>
      <c r="V111" s="11">
        <v>15</v>
      </c>
      <c r="W111" s="11">
        <v>15</v>
      </c>
      <c r="X111" s="11">
        <v>7</v>
      </c>
      <c r="Y111" s="11">
        <v>7</v>
      </c>
      <c r="Z111" s="3" t="s">
        <v>670</v>
      </c>
      <c r="AA111" s="10" t="s">
        <v>669</v>
      </c>
      <c r="AB111" s="5">
        <f>800+305+30+1260+216+240</f>
        <v>2851</v>
      </c>
      <c r="AC111" s="6">
        <f>48+3.6+2.5+75+0+18</f>
        <v>147.1</v>
      </c>
      <c r="AD111" s="6">
        <f>28+0.65+0+45+0+9</f>
        <v>82.65</v>
      </c>
      <c r="AE111" s="6">
        <f>12+17.7+1+10+6+18</f>
        <v>64.7</v>
      </c>
      <c r="AF111" s="6">
        <f>80+55.4+1+10+42+6</f>
        <v>194.4</v>
      </c>
      <c r="AG111" s="6">
        <f>0+9.1+1+140+6+0</f>
        <v>156.1</v>
      </c>
      <c r="AH111" s="6">
        <f>200+601.3+170+3+108+540</f>
        <v>1622.3</v>
      </c>
      <c r="AI111" s="6">
        <f t="shared" si="1"/>
        <v>5.1595931252192209E-2</v>
      </c>
      <c r="AJ111" s="6">
        <f t="shared" si="2"/>
        <v>2.8989828130480535E-2</v>
      </c>
      <c r="AK111" s="6">
        <f t="shared" si="3"/>
        <v>2.2693791652051914E-2</v>
      </c>
      <c r="AL111" s="6">
        <f t="shared" si="4"/>
        <v>6.818660119256402E-2</v>
      </c>
      <c r="AM111" s="6">
        <f t="shared" si="5"/>
        <v>5.4752718344440544E-2</v>
      </c>
      <c r="AN111" s="6">
        <f t="shared" si="6"/>
        <v>0.56902841108383018</v>
      </c>
      <c r="AO111" s="7">
        <v>5</v>
      </c>
      <c r="AP111" s="7">
        <v>2</v>
      </c>
      <c r="AQ111" s="7">
        <v>1</v>
      </c>
      <c r="AR111" s="10">
        <v>0</v>
      </c>
      <c r="AS111" s="7">
        <v>0</v>
      </c>
      <c r="AT111" s="7">
        <v>0</v>
      </c>
      <c r="AU111" s="7">
        <v>0</v>
      </c>
      <c r="AV111" s="7">
        <v>0</v>
      </c>
      <c r="AW111" s="7">
        <v>31</v>
      </c>
      <c r="AX111" s="7">
        <v>1</v>
      </c>
      <c r="AY111" s="5">
        <v>5</v>
      </c>
      <c r="AZ111" s="7">
        <v>0</v>
      </c>
      <c r="BA111" s="7">
        <v>0</v>
      </c>
      <c r="BB111" s="7">
        <v>0</v>
      </c>
      <c r="BC111" s="7">
        <v>1</v>
      </c>
      <c r="BD111" s="7">
        <v>1</v>
      </c>
      <c r="BE111" s="7">
        <v>0</v>
      </c>
      <c r="BF111" s="7">
        <v>0</v>
      </c>
      <c r="BG111" s="7">
        <v>0</v>
      </c>
      <c r="BH111" s="7">
        <v>0</v>
      </c>
      <c r="BI111" s="7">
        <v>0</v>
      </c>
      <c r="BJ111" s="7">
        <v>1</v>
      </c>
      <c r="BK111" s="11">
        <v>1</v>
      </c>
      <c r="BL111" s="3" t="s">
        <v>977</v>
      </c>
      <c r="BM111" s="3">
        <v>0</v>
      </c>
    </row>
    <row r="112" spans="1:65" ht="20.100000000000001" customHeight="1" x14ac:dyDescent="0.3">
      <c r="A112" s="3" t="s">
        <v>17</v>
      </c>
      <c r="B112" s="3">
        <v>5</v>
      </c>
      <c r="C112" s="8">
        <v>44321</v>
      </c>
      <c r="D112" s="9">
        <v>0.30208333333333331</v>
      </c>
      <c r="E112" s="4">
        <v>61</v>
      </c>
      <c r="F112" s="3">
        <v>0</v>
      </c>
      <c r="G112" s="3">
        <v>0</v>
      </c>
      <c r="H112" s="3">
        <v>0</v>
      </c>
      <c r="I112" s="3">
        <v>0</v>
      </c>
      <c r="J112" s="9">
        <v>0.30208333333333331</v>
      </c>
      <c r="K112" s="3">
        <v>136.4</v>
      </c>
      <c r="L112" s="11">
        <f t="shared" ref="L112" si="182">K112-K111</f>
        <v>0</v>
      </c>
      <c r="M112" s="5">
        <f t="shared" ref="M112" si="183">AB111</f>
        <v>2851</v>
      </c>
      <c r="N112" s="11">
        <v>30</v>
      </c>
      <c r="O112" s="11">
        <v>31.625</v>
      </c>
      <c r="P112" s="11">
        <v>10.5</v>
      </c>
      <c r="Q112" s="11">
        <v>10.75</v>
      </c>
      <c r="R112" s="11">
        <v>19.5</v>
      </c>
      <c r="S112" s="11">
        <v>19.5</v>
      </c>
      <c r="T112" s="11">
        <v>11</v>
      </c>
      <c r="U112" s="11">
        <v>12</v>
      </c>
      <c r="V112" s="11">
        <v>15</v>
      </c>
      <c r="W112" s="11">
        <v>15</v>
      </c>
      <c r="X112" s="11">
        <v>7</v>
      </c>
      <c r="Y112" s="11">
        <v>7</v>
      </c>
      <c r="Z112" s="3" t="s">
        <v>672</v>
      </c>
      <c r="AA112" s="10" t="s">
        <v>673</v>
      </c>
      <c r="AB112" s="5">
        <f>305.1+80+240+30+92+800+450</f>
        <v>1997.1</v>
      </c>
      <c r="AC112" s="6">
        <f>3.6+6+5+2.5+0+48+30</f>
        <v>95.1</v>
      </c>
      <c r="AD112" s="6">
        <f>0.65+3+0+0+0+28+3</f>
        <v>34.65</v>
      </c>
      <c r="AE112" s="6">
        <f>17.7+6+40+1+2+12+6</f>
        <v>84.7</v>
      </c>
      <c r="AF112" s="6">
        <f>55.4+2+10+1+24+80+45</f>
        <v>217.4</v>
      </c>
      <c r="AG112" s="6">
        <f>9.1+0+4+1+2+0+3</f>
        <v>19.100000000000001</v>
      </c>
      <c r="AH112" s="6">
        <f>601.3+180+680+170+0+200+405</f>
        <v>2236.3000000000002</v>
      </c>
      <c r="AI112" s="6">
        <f t="shared" si="1"/>
        <v>4.7619047619047616E-2</v>
      </c>
      <c r="AJ112" s="6">
        <f t="shared" si="2"/>
        <v>1.7350157728706624E-2</v>
      </c>
      <c r="AK112" s="6">
        <f t="shared" si="3"/>
        <v>4.2411496670171751E-2</v>
      </c>
      <c r="AL112" s="6">
        <f t="shared" si="4"/>
        <v>0.10885784387361676</v>
      </c>
      <c r="AM112" s="6">
        <f t="shared" si="5"/>
        <v>9.5638676080316478E-3</v>
      </c>
      <c r="AN112" s="6">
        <f t="shared" si="6"/>
        <v>1.1197736718241451</v>
      </c>
      <c r="AO112" s="7">
        <v>5</v>
      </c>
      <c r="AP112" s="7">
        <v>1</v>
      </c>
      <c r="AQ112" s="7">
        <v>1</v>
      </c>
      <c r="AR112" s="10">
        <v>0</v>
      </c>
      <c r="AS112" s="7">
        <v>0</v>
      </c>
      <c r="AT112" s="7">
        <v>0</v>
      </c>
      <c r="AU112" s="7">
        <v>0</v>
      </c>
      <c r="AV112" s="7">
        <v>0</v>
      </c>
      <c r="AW112" s="7">
        <v>31</v>
      </c>
      <c r="AX112" s="7">
        <v>1</v>
      </c>
      <c r="AY112" s="5">
        <v>6</v>
      </c>
      <c r="AZ112" s="7">
        <v>0</v>
      </c>
      <c r="BA112" s="7">
        <v>0</v>
      </c>
      <c r="BB112" s="7">
        <v>0</v>
      </c>
      <c r="BC112" s="7">
        <v>1</v>
      </c>
      <c r="BD112" s="7">
        <v>1</v>
      </c>
      <c r="BE112" s="7">
        <v>2</v>
      </c>
      <c r="BF112" s="7">
        <v>0</v>
      </c>
      <c r="BG112" s="7">
        <v>0</v>
      </c>
      <c r="BH112" s="7">
        <v>0</v>
      </c>
      <c r="BI112" s="7">
        <v>0</v>
      </c>
      <c r="BJ112" s="7">
        <v>1</v>
      </c>
      <c r="BK112" s="11">
        <v>2</v>
      </c>
      <c r="BL112" s="3" t="s">
        <v>977</v>
      </c>
      <c r="BM112" s="3">
        <v>0</v>
      </c>
    </row>
    <row r="113" spans="1:65" ht="20.100000000000001" customHeight="1" x14ac:dyDescent="0.3">
      <c r="A113" s="3" t="s">
        <v>18</v>
      </c>
      <c r="B113" s="3">
        <v>6</v>
      </c>
      <c r="C113" s="8">
        <v>44322</v>
      </c>
      <c r="D113" s="9">
        <v>0.62013888888888891</v>
      </c>
      <c r="E113" s="4">
        <v>80</v>
      </c>
      <c r="F113" s="3">
        <v>0</v>
      </c>
      <c r="G113" s="3">
        <v>0</v>
      </c>
      <c r="H113" s="3">
        <v>0</v>
      </c>
      <c r="I113" s="3">
        <v>0</v>
      </c>
      <c r="J113" s="9">
        <v>0.61944444444444446</v>
      </c>
      <c r="K113" s="3">
        <v>138.19999999999999</v>
      </c>
      <c r="L113" s="11">
        <f t="shared" ref="L113" si="184">K113-K112</f>
        <v>1.7999999999999829</v>
      </c>
      <c r="M113" s="5">
        <f t="shared" ref="M113" si="185">AB112</f>
        <v>1997.1</v>
      </c>
      <c r="N113" s="11">
        <v>29.375</v>
      </c>
      <c r="O113" s="11">
        <v>31.75</v>
      </c>
      <c r="P113" s="11">
        <v>10.25</v>
      </c>
      <c r="Q113" s="11">
        <v>10.375</v>
      </c>
      <c r="R113" s="11">
        <v>19.75</v>
      </c>
      <c r="S113" s="11">
        <v>19.75</v>
      </c>
      <c r="T113" s="11">
        <v>13</v>
      </c>
      <c r="U113" s="11">
        <v>11</v>
      </c>
      <c r="V113" s="11">
        <v>14</v>
      </c>
      <c r="W113" s="11">
        <v>15</v>
      </c>
      <c r="X113" s="11">
        <v>7</v>
      </c>
      <c r="Y113" s="11">
        <v>7</v>
      </c>
      <c r="Z113" s="3" t="s">
        <v>674</v>
      </c>
      <c r="AA113" s="10" t="s">
        <v>676</v>
      </c>
      <c r="AB113" s="5">
        <f>400+800+120+30+849.33+240+160+280+120+200</f>
        <v>3199.33</v>
      </c>
      <c r="AC113" s="6">
        <f>10+48+2.5+2.5+54.4+20+12+14+8.5+9.6</f>
        <v>181.5</v>
      </c>
      <c r="AD113" s="6">
        <f>5+28+0+0+15.07+14+6+10+0+3.5</f>
        <v>81.569999999999993</v>
      </c>
      <c r="AE113" s="6">
        <f>4+12+20+1+62.7+4+12+4+2+3.2</f>
        <v>124.9</v>
      </c>
      <c r="AF113" s="6">
        <f>4+12+20+1+62.7+4+12+4+2+3.2</f>
        <v>124.9</v>
      </c>
      <c r="AG113" s="6">
        <f>1+0+2+1+10.5+0+0+4+1+0.8</f>
        <v>20.3</v>
      </c>
      <c r="AH113" s="6">
        <f>240+200+340+170+1056.9+60+360+180+160+96</f>
        <v>2862.9</v>
      </c>
      <c r="AI113" s="6">
        <f t="shared" si="1"/>
        <v>5.6730627975232317E-2</v>
      </c>
      <c r="AJ113" s="6">
        <f t="shared" si="2"/>
        <v>2.549596321729862E-2</v>
      </c>
      <c r="AK113" s="6">
        <f t="shared" si="3"/>
        <v>3.9039423879374743E-2</v>
      </c>
      <c r="AL113" s="6">
        <f t="shared" si="4"/>
        <v>3.9039423879374743E-2</v>
      </c>
      <c r="AM113" s="6">
        <f t="shared" si="5"/>
        <v>6.3450785008111075E-3</v>
      </c>
      <c r="AN113" s="6">
        <f t="shared" si="6"/>
        <v>0.89484360788039996</v>
      </c>
      <c r="AO113" s="7">
        <v>5</v>
      </c>
      <c r="AP113" s="7">
        <v>1</v>
      </c>
      <c r="AQ113" s="7">
        <v>0</v>
      </c>
      <c r="AR113" s="10">
        <v>0</v>
      </c>
      <c r="AS113" s="7">
        <v>0</v>
      </c>
      <c r="AT113" s="7">
        <v>0</v>
      </c>
      <c r="AU113" s="7">
        <v>0</v>
      </c>
      <c r="AV113" s="7">
        <v>0</v>
      </c>
      <c r="AW113" s="7">
        <v>31</v>
      </c>
      <c r="AX113" s="7">
        <v>1</v>
      </c>
      <c r="AY113" s="5">
        <v>6.5</v>
      </c>
      <c r="AZ113" s="7">
        <v>0</v>
      </c>
      <c r="BA113" s="7">
        <v>0</v>
      </c>
      <c r="BB113" s="7">
        <v>0</v>
      </c>
      <c r="BC113" s="7">
        <v>1</v>
      </c>
      <c r="BD113" s="7">
        <v>1</v>
      </c>
      <c r="BE113" s="7">
        <v>1</v>
      </c>
      <c r="BF113" s="7">
        <v>0</v>
      </c>
      <c r="BG113" s="7">
        <v>0</v>
      </c>
      <c r="BH113" s="7">
        <v>0</v>
      </c>
      <c r="BI113" s="7">
        <v>0</v>
      </c>
      <c r="BJ113" s="7">
        <v>1</v>
      </c>
      <c r="BK113" s="11">
        <v>1</v>
      </c>
      <c r="BL113" s="3" t="s">
        <v>977</v>
      </c>
      <c r="BM113" s="3">
        <v>0</v>
      </c>
    </row>
    <row r="114" spans="1:65" ht="20.100000000000001" customHeight="1" x14ac:dyDescent="0.3">
      <c r="A114" s="3" t="s">
        <v>137</v>
      </c>
      <c r="B114" s="3">
        <v>7</v>
      </c>
      <c r="C114" s="8">
        <v>44323</v>
      </c>
      <c r="D114" s="9">
        <v>0.77986111111111101</v>
      </c>
      <c r="E114" s="4">
        <v>60</v>
      </c>
      <c r="F114" s="3">
        <v>0</v>
      </c>
      <c r="G114" s="3">
        <v>0</v>
      </c>
      <c r="H114" s="3">
        <v>0</v>
      </c>
      <c r="I114" s="3">
        <v>0</v>
      </c>
      <c r="J114" s="9">
        <v>0.33333333333333331</v>
      </c>
      <c r="K114" s="3">
        <v>138.19999999999999</v>
      </c>
      <c r="L114" s="11">
        <f t="shared" ref="L114" si="186">K114-K113</f>
        <v>0</v>
      </c>
      <c r="M114" s="5">
        <f t="shared" ref="M114" si="187">AB113</f>
        <v>3199.33</v>
      </c>
      <c r="N114" s="11">
        <v>30</v>
      </c>
      <c r="O114" s="11">
        <v>31.75</v>
      </c>
      <c r="P114" s="11">
        <v>10.5</v>
      </c>
      <c r="Q114" s="11">
        <v>10.375</v>
      </c>
      <c r="R114" s="11">
        <v>19.25</v>
      </c>
      <c r="S114" s="11">
        <v>19.5</v>
      </c>
      <c r="T114" s="11">
        <v>12</v>
      </c>
      <c r="U114" s="11">
        <v>9</v>
      </c>
      <c r="V114" s="11">
        <v>15</v>
      </c>
      <c r="W114" s="11">
        <v>16</v>
      </c>
      <c r="X114" s="11">
        <v>7</v>
      </c>
      <c r="Y114" s="11">
        <v>7</v>
      </c>
      <c r="Z114" s="3" t="s">
        <v>677</v>
      </c>
      <c r="AA114" s="10" t="s">
        <v>679</v>
      </c>
      <c r="AB114" s="5">
        <f>240+424.7+140+80+180+400+500+200+240+125</f>
        <v>2529.6999999999998</v>
      </c>
      <c r="AC114" s="6">
        <f>17+27.2+7+6+15+10+24+12+5+7.5</f>
        <v>130.69999999999999</v>
      </c>
      <c r="AD114" s="6">
        <f>0+7.5+5+3+10.5+5+9+7+0+3.3</f>
        <v>50.3</v>
      </c>
      <c r="AE114" s="6">
        <f>4+31.4+2+6+3+4+8+3+40+1.7</f>
        <v>103.10000000000001</v>
      </c>
      <c r="AF114" s="6">
        <f>44+14.7+18+2+6+74+66+20+10+15.8</f>
        <v>270.5</v>
      </c>
      <c r="AG114" s="6">
        <f>2+5.27+2+0+0+1+2+0+4+2.5</f>
        <v>18.77</v>
      </c>
      <c r="AH114" s="6">
        <f>320+528.5+90+180+45+240+240+50+680+141.7</f>
        <v>2515.1999999999998</v>
      </c>
      <c r="AI114" s="6">
        <f t="shared" si="1"/>
        <v>5.1666205478910543E-2</v>
      </c>
      <c r="AJ114" s="6">
        <f t="shared" si="2"/>
        <v>1.9883780685456775E-2</v>
      </c>
      <c r="AK114" s="6">
        <f t="shared" si="3"/>
        <v>4.0755820848321939E-2</v>
      </c>
      <c r="AL114" s="6">
        <f t="shared" si="4"/>
        <v>0.10692967545558762</v>
      </c>
      <c r="AM114" s="6">
        <f t="shared" si="5"/>
        <v>7.41985215638218E-3</v>
      </c>
      <c r="AN114" s="6">
        <f t="shared" si="6"/>
        <v>0.99426809503103131</v>
      </c>
      <c r="AO114" s="7">
        <v>3</v>
      </c>
      <c r="AP114" s="7">
        <v>1</v>
      </c>
      <c r="AQ114" s="7">
        <v>0</v>
      </c>
      <c r="AR114" s="10">
        <v>0</v>
      </c>
      <c r="AS114" s="7">
        <v>0</v>
      </c>
      <c r="AT114" s="7">
        <v>0</v>
      </c>
      <c r="AU114" s="7">
        <v>0</v>
      </c>
      <c r="AV114" s="7">
        <v>0</v>
      </c>
      <c r="AW114" s="7">
        <v>31</v>
      </c>
      <c r="AX114" s="7">
        <v>1</v>
      </c>
      <c r="AY114" s="5">
        <v>6.75</v>
      </c>
      <c r="AZ114" s="7">
        <v>0</v>
      </c>
      <c r="BA114" s="7">
        <v>0</v>
      </c>
      <c r="BB114" s="7">
        <v>0</v>
      </c>
      <c r="BC114" s="7">
        <v>1</v>
      </c>
      <c r="BD114" s="7">
        <v>1</v>
      </c>
      <c r="BE114" s="7">
        <v>1</v>
      </c>
      <c r="BF114" s="7">
        <v>0</v>
      </c>
      <c r="BG114" s="7">
        <v>0</v>
      </c>
      <c r="BH114" s="7">
        <v>0</v>
      </c>
      <c r="BI114" s="7">
        <v>0</v>
      </c>
      <c r="BJ114" s="7">
        <v>1</v>
      </c>
      <c r="BK114" s="11">
        <v>1</v>
      </c>
      <c r="BL114" s="3" t="s">
        <v>976</v>
      </c>
      <c r="BM114" s="3">
        <v>0</v>
      </c>
    </row>
    <row r="115" spans="1:65" ht="20.100000000000001" customHeight="1" x14ac:dyDescent="0.3">
      <c r="A115" s="3" t="s">
        <v>19</v>
      </c>
      <c r="B115" s="3">
        <v>8</v>
      </c>
      <c r="C115" s="8">
        <v>44324</v>
      </c>
      <c r="D115" s="9">
        <v>0.62013888888888891</v>
      </c>
      <c r="E115" s="4">
        <v>79</v>
      </c>
      <c r="F115" s="3">
        <v>0</v>
      </c>
      <c r="G115" s="3">
        <v>0</v>
      </c>
      <c r="H115" s="3">
        <v>0</v>
      </c>
      <c r="I115" s="3">
        <v>0</v>
      </c>
      <c r="J115" s="9">
        <v>0.27430555555555552</v>
      </c>
      <c r="K115" s="3">
        <v>138.19999999999999</v>
      </c>
      <c r="L115" s="11">
        <f t="shared" ref="L115" si="188">K115-K114</f>
        <v>0</v>
      </c>
      <c r="M115" s="5">
        <f t="shared" ref="M115" si="189">AB114</f>
        <v>2529.6999999999998</v>
      </c>
      <c r="N115" s="11">
        <v>29.5</v>
      </c>
      <c r="O115" s="11">
        <v>31.5</v>
      </c>
      <c r="P115" s="11">
        <v>10.5</v>
      </c>
      <c r="Q115" s="11">
        <v>10.625</v>
      </c>
      <c r="R115" s="11">
        <v>19.5</v>
      </c>
      <c r="S115" s="11">
        <v>19.25</v>
      </c>
      <c r="T115" s="11">
        <v>11</v>
      </c>
      <c r="U115" s="11">
        <v>10</v>
      </c>
      <c r="V115" s="11">
        <v>13</v>
      </c>
      <c r="W115" s="11">
        <v>13</v>
      </c>
      <c r="X115" s="11">
        <v>7</v>
      </c>
      <c r="Y115" s="11">
        <v>7</v>
      </c>
      <c r="Z115" s="3" t="s">
        <v>683</v>
      </c>
      <c r="AA115" s="10" t="s">
        <v>682</v>
      </c>
      <c r="AB115" s="5">
        <f>120+300+480+220+216+160+390.3+160+180+70</f>
        <v>2296.3000000000002</v>
      </c>
      <c r="AC115" s="6">
        <f>2.5+18+26+14+0+12+5+12+15+1.5</f>
        <v>106</v>
      </c>
      <c r="AD115" s="6">
        <f>0+10.5+5+9+0+6+3.5+6+10.5+0.5</f>
        <v>51</v>
      </c>
      <c r="AE115" s="6">
        <f>20+4.5+6+1+6+12+1+12+3+2</f>
        <v>67.5</v>
      </c>
      <c r="AF115" s="6">
        <f>5+30+59+22+42+4+2+4+6+11</f>
        <v>185</v>
      </c>
      <c r="AG115" s="6">
        <f>2+0+0+0+6+0+0+0+0+1</f>
        <v>9</v>
      </c>
      <c r="AH115" s="6">
        <f>340+75+590+200+108+360+15+360+45+480</f>
        <v>2573</v>
      </c>
      <c r="AI115" s="6">
        <f t="shared" si="1"/>
        <v>4.6161215869006657E-2</v>
      </c>
      <c r="AJ115" s="6">
        <f t="shared" si="2"/>
        <v>2.220964159735226E-2</v>
      </c>
      <c r="AK115" s="6">
        <f t="shared" si="3"/>
        <v>2.9395113878848581E-2</v>
      </c>
      <c r="AL115" s="6">
        <f t="shared" si="4"/>
        <v>8.056438618647388E-2</v>
      </c>
      <c r="AM115" s="6">
        <f t="shared" si="5"/>
        <v>3.9193485171798107E-3</v>
      </c>
      <c r="AN115" s="6">
        <f t="shared" si="6"/>
        <v>1.1204981927448503</v>
      </c>
      <c r="AO115" s="7">
        <v>4</v>
      </c>
      <c r="AP115" s="7">
        <v>1</v>
      </c>
      <c r="AQ115" s="7">
        <v>0</v>
      </c>
      <c r="AR115" s="10">
        <v>0</v>
      </c>
      <c r="AS115" s="7">
        <v>0</v>
      </c>
      <c r="AT115" s="7">
        <v>0</v>
      </c>
      <c r="AU115" s="7">
        <v>0</v>
      </c>
      <c r="AV115" s="7">
        <v>0</v>
      </c>
      <c r="AW115" s="7">
        <v>31</v>
      </c>
      <c r="AX115" s="7">
        <v>1</v>
      </c>
      <c r="AY115" s="5">
        <v>7.5</v>
      </c>
      <c r="AZ115" s="7">
        <v>0</v>
      </c>
      <c r="BA115" s="7">
        <v>0</v>
      </c>
      <c r="BB115" s="7">
        <v>0</v>
      </c>
      <c r="BC115" s="7">
        <v>1</v>
      </c>
      <c r="BD115" s="7">
        <v>1</v>
      </c>
      <c r="BE115" s="7">
        <v>1</v>
      </c>
      <c r="BF115" s="7">
        <v>0</v>
      </c>
      <c r="BG115" s="7">
        <v>0</v>
      </c>
      <c r="BH115" s="7">
        <v>0</v>
      </c>
      <c r="BI115" s="7">
        <v>0</v>
      </c>
      <c r="BJ115" s="7">
        <v>1</v>
      </c>
      <c r="BK115" s="11">
        <v>3</v>
      </c>
      <c r="BL115" s="3" t="s">
        <v>976</v>
      </c>
      <c r="BM115" s="3">
        <v>0</v>
      </c>
    </row>
    <row r="116" spans="1:65" ht="20.100000000000001" customHeight="1" x14ac:dyDescent="0.3">
      <c r="A116" s="3" t="s">
        <v>23</v>
      </c>
      <c r="B116" s="3">
        <v>9</v>
      </c>
      <c r="C116" s="8">
        <v>44325</v>
      </c>
      <c r="D116" s="9">
        <v>0.82638888888888884</v>
      </c>
      <c r="E116" s="4">
        <v>67</v>
      </c>
      <c r="F116" s="3">
        <v>0</v>
      </c>
      <c r="G116" s="3">
        <v>0</v>
      </c>
      <c r="H116" s="3">
        <v>0</v>
      </c>
      <c r="I116" s="3">
        <v>0</v>
      </c>
      <c r="J116" s="9">
        <v>0.32222222222222224</v>
      </c>
      <c r="K116" s="3">
        <v>139.19999999999999</v>
      </c>
      <c r="L116" s="11">
        <f t="shared" ref="L116" si="190">K116-K115</f>
        <v>1</v>
      </c>
      <c r="M116" s="5">
        <f t="shared" ref="M116" si="191">AB115</f>
        <v>2296.3000000000002</v>
      </c>
      <c r="N116" s="11">
        <v>30</v>
      </c>
      <c r="O116" s="11">
        <v>31.5</v>
      </c>
      <c r="P116" s="11">
        <v>10.375</v>
      </c>
      <c r="Q116" s="11">
        <v>10.5</v>
      </c>
      <c r="R116" s="11">
        <v>19.125</v>
      </c>
      <c r="S116" s="11">
        <v>19.25</v>
      </c>
      <c r="T116" s="11">
        <v>11</v>
      </c>
      <c r="U116" s="11">
        <v>9</v>
      </c>
      <c r="V116" s="11">
        <v>14</v>
      </c>
      <c r="W116" s="11">
        <v>15</v>
      </c>
      <c r="X116" s="11">
        <v>7</v>
      </c>
      <c r="Y116" s="11">
        <v>7</v>
      </c>
      <c r="Z116" s="3" t="s">
        <v>688</v>
      </c>
      <c r="AA116" s="10" t="s">
        <v>689</v>
      </c>
      <c r="AB116" s="5">
        <f>780.7+240+160+280+120+450+150+140+66+150+57</f>
        <v>2593.6999999999998</v>
      </c>
      <c r="AC116" s="6">
        <f>10+20+12+14+8.5+0+0+6+1.95+8+2</f>
        <v>82.45</v>
      </c>
      <c r="AD116" s="6">
        <f>7+14+6+1+0+0+0+0+0.45+0.5+0.1</f>
        <v>29.05</v>
      </c>
      <c r="AE116" s="6">
        <f>2+4+12+4+2+9+3+0+2.7+2+1</f>
        <v>41.7</v>
      </c>
      <c r="AF116" s="6">
        <f>4+8+4+32+22+103.5+34.5+20+9.75+17+9</f>
        <v>263.75</v>
      </c>
      <c r="AG116" s="6">
        <f>0+0+0+2+1+0+0+0+0.9+1+0.8</f>
        <v>5.7</v>
      </c>
      <c r="AH116" s="6">
        <f>30+60+360+160+160+22.5+7.5+60+184.5+170+55</f>
        <v>1269.5</v>
      </c>
      <c r="AI116" s="6">
        <f t="shared" si="1"/>
        <v>3.1788564598835646E-2</v>
      </c>
      <c r="AJ116" s="6">
        <f t="shared" si="2"/>
        <v>1.1200215907776536E-2</v>
      </c>
      <c r="AK116" s="6">
        <f t="shared" si="3"/>
        <v>1.6077418359872E-2</v>
      </c>
      <c r="AL116" s="6">
        <f t="shared" si="4"/>
        <v>0.101688707252188</v>
      </c>
      <c r="AM116" s="6">
        <f t="shared" si="5"/>
        <v>2.1976327254501294E-3</v>
      </c>
      <c r="AN116" s="6">
        <f t="shared" si="6"/>
        <v>0.48945521841384898</v>
      </c>
      <c r="AO116" s="7">
        <v>4</v>
      </c>
      <c r="AP116" s="7">
        <v>1</v>
      </c>
      <c r="AQ116" s="7">
        <v>0</v>
      </c>
      <c r="AR116" s="10">
        <v>0</v>
      </c>
      <c r="AS116" s="7">
        <v>0</v>
      </c>
      <c r="AT116" s="7">
        <v>0</v>
      </c>
      <c r="AU116" s="7">
        <v>0</v>
      </c>
      <c r="AV116" s="7">
        <v>0</v>
      </c>
      <c r="AW116" s="7">
        <v>31</v>
      </c>
      <c r="AX116" s="7">
        <v>1</v>
      </c>
      <c r="AY116" s="5">
        <v>5</v>
      </c>
      <c r="AZ116" s="7">
        <v>0</v>
      </c>
      <c r="BA116" s="7">
        <v>1</v>
      </c>
      <c r="BB116" s="7">
        <v>0</v>
      </c>
      <c r="BC116" s="7">
        <v>1</v>
      </c>
      <c r="BD116" s="7">
        <v>1</v>
      </c>
      <c r="BE116" s="7">
        <v>0</v>
      </c>
      <c r="BF116" s="7">
        <v>0</v>
      </c>
      <c r="BG116" s="7">
        <v>0</v>
      </c>
      <c r="BH116" s="7">
        <v>0</v>
      </c>
      <c r="BI116" s="7">
        <v>0</v>
      </c>
      <c r="BJ116" s="7">
        <v>1</v>
      </c>
      <c r="BK116" s="11">
        <v>0</v>
      </c>
      <c r="BL116" s="7">
        <v>0</v>
      </c>
      <c r="BM116" s="3">
        <v>0</v>
      </c>
    </row>
    <row r="117" spans="1:65" ht="20.100000000000001" customHeight="1" x14ac:dyDescent="0.3">
      <c r="A117" s="3" t="s">
        <v>15</v>
      </c>
      <c r="B117" s="3">
        <v>10</v>
      </c>
      <c r="C117" s="8">
        <v>44326</v>
      </c>
      <c r="D117" s="9">
        <v>0.23958333333333334</v>
      </c>
      <c r="E117" s="4">
        <v>59</v>
      </c>
      <c r="F117" s="3">
        <v>0</v>
      </c>
      <c r="G117" s="3">
        <v>0</v>
      </c>
      <c r="H117" s="3">
        <v>0</v>
      </c>
      <c r="I117" s="3">
        <v>0</v>
      </c>
      <c r="J117" s="9">
        <v>0.29305555555555557</v>
      </c>
      <c r="K117" s="3">
        <v>140</v>
      </c>
      <c r="L117" s="11">
        <f t="shared" ref="L117" si="192">K117-K116</f>
        <v>0.80000000000001137</v>
      </c>
      <c r="M117" s="5">
        <f t="shared" ref="M117" si="193">AB116</f>
        <v>2593.6999999999998</v>
      </c>
      <c r="N117" s="11">
        <v>30.75</v>
      </c>
      <c r="O117" s="11">
        <v>32</v>
      </c>
      <c r="P117" s="11">
        <v>10.5</v>
      </c>
      <c r="Q117" s="11">
        <v>10.375</v>
      </c>
      <c r="R117" s="11">
        <v>19.5</v>
      </c>
      <c r="S117" s="11">
        <v>19.5</v>
      </c>
      <c r="T117" s="11">
        <v>14</v>
      </c>
      <c r="U117" s="11">
        <v>11</v>
      </c>
      <c r="V117" s="11">
        <v>15</v>
      </c>
      <c r="W117" s="11">
        <v>14</v>
      </c>
      <c r="X117" s="11">
        <v>7</v>
      </c>
      <c r="Y117" s="11">
        <v>7</v>
      </c>
      <c r="Z117" s="3" t="s">
        <v>695</v>
      </c>
      <c r="AA117" s="10" t="s">
        <v>694</v>
      </c>
      <c r="AB117" s="5">
        <f>400+260+106+27+40+20+120+80+280+900+200+42+8.3+161+27+57+40+50</f>
        <v>2818.3</v>
      </c>
      <c r="AC117" s="6">
        <f>10+17+0.4+0.6+0+0.2+10+6+14+0+12+0.7+0.15+14.5+0.2+0.2+4.5+0.5</f>
        <v>90.950000000000017</v>
      </c>
      <c r="AD117" s="6">
        <f>5+11+0.1+0.1+0+0.1+7+3+10+0+7+0.1+0.03+2+0.1+0.1+1+0</f>
        <v>46.63000000000001</v>
      </c>
      <c r="AE117" s="6">
        <f>4+2+8+2.1+1+0.8+2+6+4+18+3+8.1+0.4+2+1.5+3.8+0+1</f>
        <v>67.7</v>
      </c>
      <c r="AF117" s="6">
        <f>74+26+16.7+4.8+10+4.7+4+2+36+207+20+0.4+1.8+8.5+6.2+10.2+0+10.5</f>
        <v>442.79999999999995</v>
      </c>
      <c r="AG117" s="6">
        <f>1+1+0.6+1.8+3+2.8+0+0+4+126+0+0+0.7+6.5+1.6+3.75+0+1</f>
        <v>153.74999999999997</v>
      </c>
      <c r="AH117" s="6">
        <f>240+200+186+5.4+0+2+30+180+180+45+50+59+3+7+594+0.5+40+10</f>
        <v>1831.9</v>
      </c>
      <c r="AI117" s="6">
        <f t="shared" si="1"/>
        <v>3.2271227335627865E-2</v>
      </c>
      <c r="AJ117" s="6">
        <f t="shared" si="2"/>
        <v>1.6545435191427458E-2</v>
      </c>
      <c r="AK117" s="6">
        <f t="shared" si="3"/>
        <v>2.4021573288862081E-2</v>
      </c>
      <c r="AL117" s="6">
        <f t="shared" si="4"/>
        <v>0.15711599191001666</v>
      </c>
      <c r="AM117" s="6">
        <f t="shared" si="5"/>
        <v>5.4554163857644666E-2</v>
      </c>
      <c r="AN117" s="6">
        <f t="shared" si="6"/>
        <v>0.65000177411914983</v>
      </c>
      <c r="AO117" s="7">
        <v>4</v>
      </c>
      <c r="AP117" s="7">
        <v>1</v>
      </c>
      <c r="AQ117" s="7">
        <v>0</v>
      </c>
      <c r="AR117" s="10">
        <v>0</v>
      </c>
      <c r="AS117" s="7">
        <v>0</v>
      </c>
      <c r="AT117" s="7">
        <v>0</v>
      </c>
      <c r="AU117" s="7">
        <v>0</v>
      </c>
      <c r="AV117" s="7">
        <v>0</v>
      </c>
      <c r="AW117" s="7">
        <v>31</v>
      </c>
      <c r="AX117" s="7">
        <v>1</v>
      </c>
      <c r="AY117" s="5">
        <v>8</v>
      </c>
      <c r="AZ117" s="7">
        <v>0</v>
      </c>
      <c r="BA117" s="7">
        <v>0</v>
      </c>
      <c r="BB117" s="7">
        <v>0</v>
      </c>
      <c r="BC117" s="7">
        <v>1</v>
      </c>
      <c r="BD117" s="7">
        <v>1</v>
      </c>
      <c r="BE117" s="7">
        <v>0</v>
      </c>
      <c r="BF117" s="7">
        <v>0</v>
      </c>
      <c r="BG117" s="7">
        <v>0</v>
      </c>
      <c r="BH117" s="7">
        <v>0</v>
      </c>
      <c r="BI117" s="7">
        <v>0</v>
      </c>
      <c r="BJ117" s="7">
        <v>1</v>
      </c>
      <c r="BK117" s="11">
        <v>1</v>
      </c>
      <c r="BL117" s="3" t="s">
        <v>976</v>
      </c>
      <c r="BM117" s="3">
        <v>0</v>
      </c>
    </row>
    <row r="118" spans="1:65" ht="20.100000000000001" customHeight="1" x14ac:dyDescent="0.3">
      <c r="A118" s="3" t="s">
        <v>16</v>
      </c>
      <c r="B118" s="3">
        <v>11</v>
      </c>
      <c r="C118" s="8">
        <v>44327</v>
      </c>
      <c r="D118" s="9">
        <v>0.82500000000000007</v>
      </c>
      <c r="E118" s="4">
        <v>70</v>
      </c>
      <c r="F118" s="3">
        <v>0</v>
      </c>
      <c r="G118" s="3">
        <v>0</v>
      </c>
      <c r="H118" s="3">
        <v>0</v>
      </c>
      <c r="I118" s="3">
        <v>0</v>
      </c>
      <c r="J118" s="9">
        <v>0.46527777777777773</v>
      </c>
      <c r="K118" s="3">
        <v>140</v>
      </c>
      <c r="L118" s="11">
        <f t="shared" ref="L118" si="194">K118-K117</f>
        <v>0</v>
      </c>
      <c r="M118" s="5">
        <f t="shared" ref="M118" si="195">AB117</f>
        <v>2818.3</v>
      </c>
      <c r="N118" s="11">
        <v>30</v>
      </c>
      <c r="O118" s="11">
        <v>31.5</v>
      </c>
      <c r="P118" s="11">
        <v>10.5</v>
      </c>
      <c r="Q118" s="11">
        <v>10.5</v>
      </c>
      <c r="R118" s="11">
        <v>19.5</v>
      </c>
      <c r="S118" s="11">
        <v>19.5</v>
      </c>
      <c r="T118" s="11">
        <v>13</v>
      </c>
      <c r="U118" s="11">
        <v>9</v>
      </c>
      <c r="V118" s="11">
        <v>15</v>
      </c>
      <c r="W118" s="11">
        <v>12</v>
      </c>
      <c r="X118" s="11">
        <v>7</v>
      </c>
      <c r="Y118" s="11">
        <v>7</v>
      </c>
      <c r="Z118" s="3" t="s">
        <v>698</v>
      </c>
      <c r="AA118" s="10" t="s">
        <v>697</v>
      </c>
      <c r="AB118" s="5">
        <f>520+133.3+373.3+216+240+300+35+120+140</f>
        <v>2077.6</v>
      </c>
      <c r="AC118" s="6">
        <f>34+8+24+0+18+25+0.75+8.5+7</f>
        <v>125.25</v>
      </c>
      <c r="AD118" s="6">
        <f>22+4.67+6.67+0+9+17.5+0.25+0+5</f>
        <v>65.09</v>
      </c>
      <c r="AE118" s="6">
        <f>4+2+27.3+6+18+5+1+2+2</f>
        <v>67.3</v>
      </c>
      <c r="AF118" s="6">
        <f>52+13.3+13.3+42+6+10+5.5+22+18</f>
        <v>182.1</v>
      </c>
      <c r="AG118" s="6">
        <f>2+0+4.7+6+0+0+0.5+1+2</f>
        <v>16.2</v>
      </c>
      <c r="AH118" s="6">
        <f>400+33.3+466.7+108+540+75+240+160+90</f>
        <v>2113</v>
      </c>
      <c r="AI118" s="6">
        <f t="shared" si="1"/>
        <v>6.0285906815556414E-2</v>
      </c>
      <c r="AJ118" s="6">
        <f t="shared" si="2"/>
        <v>3.1329418559876782E-2</v>
      </c>
      <c r="AK118" s="6">
        <f t="shared" si="3"/>
        <v>3.2393145937620334E-2</v>
      </c>
      <c r="AL118" s="6">
        <f t="shared" si="4"/>
        <v>8.7649210627647287E-2</v>
      </c>
      <c r="AM118" s="6">
        <f t="shared" si="5"/>
        <v>7.7974586060839427E-3</v>
      </c>
      <c r="AN118" s="6">
        <f t="shared" si="6"/>
        <v>1.0170388910281094</v>
      </c>
      <c r="AO118" s="7">
        <v>4</v>
      </c>
      <c r="AP118" s="7">
        <v>2</v>
      </c>
      <c r="AQ118" s="7">
        <v>0</v>
      </c>
      <c r="AR118" s="10">
        <v>0</v>
      </c>
      <c r="AS118" s="7">
        <v>0</v>
      </c>
      <c r="AT118" s="7">
        <v>0</v>
      </c>
      <c r="AU118" s="7">
        <v>0</v>
      </c>
      <c r="AV118" s="7">
        <v>0</v>
      </c>
      <c r="AW118" s="7">
        <v>31</v>
      </c>
      <c r="AX118" s="7">
        <v>1</v>
      </c>
      <c r="AY118" s="5">
        <v>6</v>
      </c>
      <c r="AZ118" s="7">
        <v>0</v>
      </c>
      <c r="BA118" s="7">
        <v>0</v>
      </c>
      <c r="BB118" s="7">
        <v>0</v>
      </c>
      <c r="BC118" s="7">
        <v>1</v>
      </c>
      <c r="BD118" s="7">
        <v>1</v>
      </c>
      <c r="BE118" s="7">
        <v>0</v>
      </c>
      <c r="BF118" s="7">
        <v>0</v>
      </c>
      <c r="BG118" s="7">
        <v>0</v>
      </c>
      <c r="BH118" s="7">
        <v>0</v>
      </c>
      <c r="BI118" s="7">
        <v>0</v>
      </c>
      <c r="BJ118" s="7">
        <v>1</v>
      </c>
      <c r="BK118" s="11">
        <v>2</v>
      </c>
      <c r="BL118" s="3" t="s">
        <v>976</v>
      </c>
      <c r="BM118" s="3">
        <v>0</v>
      </c>
    </row>
    <row r="119" spans="1:65" ht="20.100000000000001" customHeight="1" x14ac:dyDescent="0.3">
      <c r="A119" s="3" t="s">
        <v>17</v>
      </c>
      <c r="B119" s="3">
        <v>12</v>
      </c>
      <c r="C119" s="8">
        <v>44328</v>
      </c>
      <c r="D119" s="9">
        <v>0.30208333333333331</v>
      </c>
      <c r="E119" s="4">
        <v>59</v>
      </c>
      <c r="F119" s="3">
        <v>0</v>
      </c>
      <c r="G119" s="3">
        <v>0</v>
      </c>
      <c r="H119" s="3">
        <v>0</v>
      </c>
      <c r="I119" s="3">
        <v>0</v>
      </c>
      <c r="J119" s="9">
        <v>0.30208333333333331</v>
      </c>
      <c r="K119" s="3">
        <v>142.19999999999999</v>
      </c>
      <c r="L119" s="11">
        <f t="shared" ref="L119" si="196">K119-K118</f>
        <v>2.1999999999999886</v>
      </c>
      <c r="M119" s="5">
        <f t="shared" ref="M119" si="197">AB118</f>
        <v>2077.6</v>
      </c>
      <c r="N119" s="11">
        <v>30.25</v>
      </c>
      <c r="O119" s="11">
        <v>31.75</v>
      </c>
      <c r="P119" s="11">
        <v>10.5</v>
      </c>
      <c r="Q119" s="11">
        <v>10.5</v>
      </c>
      <c r="R119" s="11">
        <v>19.5</v>
      </c>
      <c r="S119" s="11">
        <v>19.5</v>
      </c>
      <c r="T119" s="11">
        <v>13</v>
      </c>
      <c r="U119" s="11">
        <v>11</v>
      </c>
      <c r="V119" s="11">
        <v>16</v>
      </c>
      <c r="W119" s="11">
        <v>15</v>
      </c>
      <c r="X119" s="11">
        <v>7</v>
      </c>
      <c r="Y119" s="11">
        <v>7</v>
      </c>
      <c r="Z119" s="3" t="s">
        <v>699</v>
      </c>
      <c r="AA119" s="10" t="s">
        <v>701</v>
      </c>
      <c r="AB119" s="5">
        <f>560+450+216+240+300+35+120+140+450</f>
        <v>2511</v>
      </c>
      <c r="AC119" s="6">
        <f>36+23+0+18+25+0.75+8.5+7+0</f>
        <v>118.25</v>
      </c>
      <c r="AD119" s="6">
        <f>10+14+0+9+17.5+0.25+0+5+0</f>
        <v>55.75</v>
      </c>
      <c r="AE119" s="6">
        <f>41+7+6+18+5+1+2+2+9</f>
        <v>91</v>
      </c>
      <c r="AF119" s="6">
        <f>20+54+42+6+10+5.5+22+18+103.5</f>
        <v>281</v>
      </c>
      <c r="AG119" s="6">
        <f>7+0+6+0+0+0.5+1+2+0</f>
        <v>16.5</v>
      </c>
      <c r="AH119" s="6">
        <f>700+320+108+540+75+240+160+90+22.5</f>
        <v>2255.5</v>
      </c>
      <c r="AI119" s="6">
        <f t="shared" si="1"/>
        <v>4.7092791716447632E-2</v>
      </c>
      <c r="AJ119" s="6">
        <f t="shared" si="2"/>
        <v>2.2202309836718438E-2</v>
      </c>
      <c r="AK119" s="6">
        <f t="shared" si="3"/>
        <v>3.6240541616885703E-2</v>
      </c>
      <c r="AL119" s="6">
        <f t="shared" si="4"/>
        <v>0.11190760653126244</v>
      </c>
      <c r="AM119" s="6">
        <f t="shared" si="5"/>
        <v>6.5710872162485067E-3</v>
      </c>
      <c r="AN119" s="6">
        <f t="shared" si="6"/>
        <v>0.89824771007566706</v>
      </c>
      <c r="AO119" s="7">
        <v>4</v>
      </c>
      <c r="AP119" s="7">
        <v>1</v>
      </c>
      <c r="AQ119" s="7">
        <v>0</v>
      </c>
      <c r="AR119" s="10">
        <v>0</v>
      </c>
      <c r="AS119" s="7">
        <v>0</v>
      </c>
      <c r="AT119" s="7">
        <v>0</v>
      </c>
      <c r="AU119" s="7">
        <v>0</v>
      </c>
      <c r="AV119" s="7">
        <v>0</v>
      </c>
      <c r="AW119" s="7">
        <v>31</v>
      </c>
      <c r="AX119" s="7">
        <v>1</v>
      </c>
      <c r="AY119" s="5">
        <v>7</v>
      </c>
      <c r="AZ119" s="7">
        <v>0</v>
      </c>
      <c r="BA119" s="7">
        <v>0</v>
      </c>
      <c r="BB119" s="7">
        <v>0</v>
      </c>
      <c r="BC119" s="7">
        <v>1</v>
      </c>
      <c r="BD119" s="7">
        <v>1</v>
      </c>
      <c r="BE119" s="7">
        <v>0</v>
      </c>
      <c r="BF119" s="7">
        <v>0</v>
      </c>
      <c r="BG119" s="7">
        <v>0</v>
      </c>
      <c r="BH119" s="7">
        <v>0</v>
      </c>
      <c r="BI119" s="7">
        <v>0</v>
      </c>
      <c r="BJ119" s="7">
        <v>1</v>
      </c>
      <c r="BK119" s="11">
        <v>0.5</v>
      </c>
      <c r="BL119" s="3" t="s">
        <v>976</v>
      </c>
      <c r="BM119" s="3">
        <v>0</v>
      </c>
    </row>
    <row r="120" spans="1:65" ht="20.100000000000001" customHeight="1" x14ac:dyDescent="0.3">
      <c r="A120" s="3" t="s">
        <v>18</v>
      </c>
      <c r="B120" s="3">
        <v>13</v>
      </c>
      <c r="C120" s="8">
        <v>44329</v>
      </c>
      <c r="D120" s="9">
        <v>0.31597222222222221</v>
      </c>
      <c r="E120" s="4">
        <v>59</v>
      </c>
      <c r="F120" s="3">
        <v>0</v>
      </c>
      <c r="G120" s="3">
        <v>0</v>
      </c>
      <c r="H120" s="3">
        <v>0</v>
      </c>
      <c r="I120" s="3">
        <v>0</v>
      </c>
      <c r="J120" s="9">
        <v>0.31597222222222221</v>
      </c>
      <c r="K120" s="3">
        <v>142.19999999999999</v>
      </c>
      <c r="L120" s="11">
        <f t="shared" ref="L120" si="198">K120-K119</f>
        <v>0</v>
      </c>
      <c r="M120" s="5">
        <f t="shared" ref="M120" si="199">AB119</f>
        <v>2511</v>
      </c>
      <c r="N120" s="11">
        <v>31</v>
      </c>
      <c r="O120" s="11">
        <v>32</v>
      </c>
      <c r="P120" s="11">
        <v>10.375</v>
      </c>
      <c r="Q120" s="11">
        <v>10.5</v>
      </c>
      <c r="R120" s="11">
        <v>19.25</v>
      </c>
      <c r="S120" s="11">
        <v>19.5</v>
      </c>
      <c r="T120" s="11">
        <v>13</v>
      </c>
      <c r="U120" s="11">
        <v>11</v>
      </c>
      <c r="V120" s="11">
        <v>15</v>
      </c>
      <c r="W120" s="11">
        <v>15</v>
      </c>
      <c r="X120" s="11">
        <v>7</v>
      </c>
      <c r="Y120" s="11">
        <v>7</v>
      </c>
      <c r="Z120" s="3" t="s">
        <v>707</v>
      </c>
      <c r="AA120" s="10" t="s">
        <v>706</v>
      </c>
      <c r="AB120" s="5">
        <f>400+780+658.5+160+120+130+260</f>
        <v>2508.5</v>
      </c>
      <c r="AC120" s="6">
        <f>10+51+21.5+10+2.5+4+8</f>
        <v>107</v>
      </c>
      <c r="AD120" s="6">
        <f>5+33+5.65+7+0+2+4</f>
        <v>56.65</v>
      </c>
      <c r="AE120" s="6">
        <f>4+6+29.5+12+20+3+6</f>
        <v>80.5</v>
      </c>
      <c r="AF120" s="6">
        <f>74+78+90.2+2+5+22+44</f>
        <v>315.2</v>
      </c>
      <c r="AG120" s="6">
        <f>1+3+7.95+0+2+1+2</f>
        <v>16.95</v>
      </c>
      <c r="AH120" s="6">
        <f>240+600+952.6+380+340+55+110</f>
        <v>2677.6</v>
      </c>
      <c r="AI120" s="6">
        <f t="shared" si="1"/>
        <v>4.265497309148894E-2</v>
      </c>
      <c r="AJ120" s="6">
        <f t="shared" si="2"/>
        <v>2.2583217061989236E-2</v>
      </c>
      <c r="AK120" s="6">
        <f t="shared" si="3"/>
        <v>3.2090890970699622E-2</v>
      </c>
      <c r="AL120" s="6">
        <f t="shared" si="4"/>
        <v>0.12565278054614312</v>
      </c>
      <c r="AM120" s="6">
        <f t="shared" si="5"/>
        <v>6.7570261112218453E-3</v>
      </c>
      <c r="AN120" s="6">
        <f t="shared" si="6"/>
        <v>1.0674108032688858</v>
      </c>
      <c r="AO120" s="7">
        <v>5</v>
      </c>
      <c r="AP120" s="7">
        <v>0</v>
      </c>
      <c r="AQ120" s="7">
        <v>0</v>
      </c>
      <c r="AR120" s="10">
        <v>0</v>
      </c>
      <c r="AS120" s="7">
        <v>0</v>
      </c>
      <c r="AT120" s="7">
        <v>0</v>
      </c>
      <c r="AU120" s="7">
        <v>0</v>
      </c>
      <c r="AV120" s="7">
        <v>0</v>
      </c>
      <c r="AW120" s="7">
        <v>31</v>
      </c>
      <c r="AX120" s="7">
        <v>1</v>
      </c>
      <c r="AY120" s="5">
        <v>7</v>
      </c>
      <c r="AZ120" s="7">
        <v>0</v>
      </c>
      <c r="BA120" s="7">
        <v>0</v>
      </c>
      <c r="BB120" s="7">
        <v>0</v>
      </c>
      <c r="BC120" s="7">
        <v>1</v>
      </c>
      <c r="BD120" s="7">
        <v>1</v>
      </c>
      <c r="BE120" s="7">
        <v>1</v>
      </c>
      <c r="BF120" s="7">
        <v>0</v>
      </c>
      <c r="BG120" s="7">
        <v>0</v>
      </c>
      <c r="BH120" s="7">
        <v>0</v>
      </c>
      <c r="BI120" s="7">
        <v>0</v>
      </c>
      <c r="BJ120" s="7">
        <v>1</v>
      </c>
      <c r="BK120" s="11">
        <v>1</v>
      </c>
      <c r="BL120" s="3" t="s">
        <v>978</v>
      </c>
      <c r="BM120" s="3">
        <v>0</v>
      </c>
    </row>
    <row r="121" spans="1:65" ht="20.100000000000001" customHeight="1" x14ac:dyDescent="0.3">
      <c r="A121" s="3" t="s">
        <v>137</v>
      </c>
      <c r="B121" s="3">
        <v>14</v>
      </c>
      <c r="C121" s="8">
        <v>44330</v>
      </c>
      <c r="D121" s="9">
        <v>0.24305555555555555</v>
      </c>
      <c r="E121" s="4">
        <v>57</v>
      </c>
      <c r="F121" s="3">
        <v>0</v>
      </c>
      <c r="G121" s="3">
        <v>0</v>
      </c>
      <c r="H121" s="3">
        <v>0</v>
      </c>
      <c r="I121" s="3">
        <v>0</v>
      </c>
      <c r="J121" s="9">
        <v>0.27777777777777779</v>
      </c>
      <c r="K121" s="3">
        <v>142.19999999999999</v>
      </c>
      <c r="L121" s="11">
        <f t="shared" ref="L121" si="200">K121-K120</f>
        <v>0</v>
      </c>
      <c r="M121" s="5">
        <f t="shared" ref="M121" si="201">AB120</f>
        <v>2508.5</v>
      </c>
      <c r="N121" s="11">
        <v>31.5</v>
      </c>
      <c r="O121" s="11">
        <v>32.5</v>
      </c>
      <c r="P121" s="11">
        <v>10.375</v>
      </c>
      <c r="Q121" s="11">
        <v>10.5</v>
      </c>
      <c r="R121" s="11">
        <v>19.5</v>
      </c>
      <c r="S121" s="11">
        <v>19.75</v>
      </c>
      <c r="T121" s="11">
        <v>13</v>
      </c>
      <c r="U121" s="11">
        <v>11</v>
      </c>
      <c r="V121" s="11">
        <v>15</v>
      </c>
      <c r="W121" s="11">
        <v>15</v>
      </c>
      <c r="X121" s="11">
        <v>7</v>
      </c>
      <c r="Y121" s="11">
        <v>7</v>
      </c>
      <c r="Z121" s="3" t="s">
        <v>709</v>
      </c>
      <c r="AA121" s="10" t="s">
        <v>710</v>
      </c>
      <c r="AB121" s="5">
        <f>1317+160+160+240+60+80+540</f>
        <v>2557</v>
      </c>
      <c r="AC121" s="6">
        <f>43.05+10+12+5+5+5+12</f>
        <v>92.05</v>
      </c>
      <c r="AD121" s="6">
        <f>11.3+7+8+0+0+1+0</f>
        <v>27.3</v>
      </c>
      <c r="AE121" s="6">
        <f>59.05+12+16+40+2+1+12</f>
        <v>142.05000000000001</v>
      </c>
      <c r="AF121" s="6">
        <f>180.4+2+0+10+2+20+96</f>
        <v>310.39999999999998</v>
      </c>
      <c r="AG121" s="6">
        <f>15.9+0+0+4+2+9+0</f>
        <v>30.9</v>
      </c>
      <c r="AH121" s="6">
        <f>1905.2+380+800+680+340+0+1200</f>
        <v>5305.2</v>
      </c>
      <c r="AI121" s="6">
        <f t="shared" si="1"/>
        <v>3.599921783339851E-2</v>
      </c>
      <c r="AJ121" s="6">
        <f t="shared" si="2"/>
        <v>1.067657411028549E-2</v>
      </c>
      <c r="AK121" s="6">
        <f t="shared" si="3"/>
        <v>5.5553382870551435E-2</v>
      </c>
      <c r="AL121" s="6">
        <f t="shared" si="4"/>
        <v>0.12139225655064528</v>
      </c>
      <c r="AM121" s="6">
        <f t="shared" si="5"/>
        <v>1.20844739929605E-2</v>
      </c>
      <c r="AN121" s="6">
        <f t="shared" si="6"/>
        <v>2.0747751271020727</v>
      </c>
      <c r="AO121" s="7">
        <v>4</v>
      </c>
      <c r="AP121" s="7">
        <v>0</v>
      </c>
      <c r="AQ121" s="7">
        <v>0</v>
      </c>
      <c r="AR121" s="10">
        <v>0</v>
      </c>
      <c r="AS121" s="7">
        <v>0</v>
      </c>
      <c r="AT121" s="7">
        <v>0</v>
      </c>
      <c r="AU121" s="7">
        <v>0</v>
      </c>
      <c r="AV121" s="7">
        <v>0</v>
      </c>
      <c r="AW121" s="7">
        <v>31</v>
      </c>
      <c r="AX121" s="7">
        <v>1</v>
      </c>
      <c r="AY121" s="5">
        <v>4</v>
      </c>
      <c r="AZ121" s="7">
        <v>1</v>
      </c>
      <c r="BA121" s="7">
        <v>0</v>
      </c>
      <c r="BB121" s="7">
        <v>1</v>
      </c>
      <c r="BC121" s="7">
        <v>1</v>
      </c>
      <c r="BD121" s="7">
        <v>1</v>
      </c>
      <c r="BE121" s="7">
        <v>2</v>
      </c>
      <c r="BF121" s="7">
        <v>0</v>
      </c>
      <c r="BG121" s="7">
        <v>0</v>
      </c>
      <c r="BH121" s="7">
        <v>0</v>
      </c>
      <c r="BI121" s="7">
        <v>0</v>
      </c>
      <c r="BJ121" s="7">
        <v>1</v>
      </c>
      <c r="BK121" s="11">
        <v>1</v>
      </c>
      <c r="BL121" s="3" t="s">
        <v>978</v>
      </c>
      <c r="BM121" s="3">
        <v>0</v>
      </c>
    </row>
    <row r="122" spans="1:65" ht="20.100000000000001" customHeight="1" x14ac:dyDescent="0.3">
      <c r="A122" s="3" t="s">
        <v>19</v>
      </c>
      <c r="B122" s="3">
        <v>15</v>
      </c>
      <c r="C122" s="8">
        <v>44331</v>
      </c>
      <c r="D122" s="9">
        <v>0.64236111111111105</v>
      </c>
      <c r="E122" s="4">
        <v>70</v>
      </c>
      <c r="F122" s="3">
        <v>0</v>
      </c>
      <c r="G122" s="3">
        <v>0</v>
      </c>
      <c r="H122" s="3">
        <v>0</v>
      </c>
      <c r="I122" s="3">
        <v>0</v>
      </c>
      <c r="J122" s="9">
        <v>0.29722222222222222</v>
      </c>
      <c r="K122" s="3">
        <v>143</v>
      </c>
      <c r="L122" s="11">
        <f t="shared" ref="L122" si="202">K122-K121</f>
        <v>0.80000000000001137</v>
      </c>
      <c r="M122" s="5">
        <f t="shared" ref="M122" si="203">AB121</f>
        <v>2557</v>
      </c>
      <c r="N122" s="11">
        <v>31</v>
      </c>
      <c r="O122" s="11">
        <v>32</v>
      </c>
      <c r="P122" s="11">
        <v>10.5</v>
      </c>
      <c r="Q122" s="11">
        <v>10.5</v>
      </c>
      <c r="R122" s="11">
        <v>19.75</v>
      </c>
      <c r="S122" s="11">
        <v>19.75</v>
      </c>
      <c r="T122" s="11">
        <v>13</v>
      </c>
      <c r="U122" s="11">
        <v>12</v>
      </c>
      <c r="V122" s="11">
        <v>15</v>
      </c>
      <c r="W122" s="11">
        <v>15</v>
      </c>
      <c r="X122" s="11">
        <v>7</v>
      </c>
      <c r="Y122" s="11">
        <v>7</v>
      </c>
      <c r="Z122" s="3" t="s">
        <v>711</v>
      </c>
      <c r="AA122" s="10" t="s">
        <v>715</v>
      </c>
      <c r="AB122" s="5">
        <f>658.5+160+450+240+60+375+927</f>
        <v>2870.5</v>
      </c>
      <c r="AC122" s="6">
        <f>21.5+10+0+5+5+22.5+37.3</f>
        <v>101.3</v>
      </c>
      <c r="AD122" s="6">
        <f>5.7+7+0+0+0+10+10.4</f>
        <v>33.1</v>
      </c>
      <c r="AE122" s="6">
        <f>29.5+12+9+40+2+5+52.8</f>
        <v>150.30000000000001</v>
      </c>
      <c r="AF122" s="6">
        <f>90.2+2+103.5+10+2+47.5+101.74</f>
        <v>356.94</v>
      </c>
      <c r="AG122" s="6">
        <f>7.95+0+0+4+2+7.5+18.54</f>
        <v>39.989999999999995</v>
      </c>
      <c r="AH122" s="6">
        <f>952.6+380+22.5+680+340+425+964.75</f>
        <v>3764.85</v>
      </c>
      <c r="AI122" s="6">
        <f t="shared" si="1"/>
        <v>3.5290019160425012E-2</v>
      </c>
      <c r="AJ122" s="6">
        <f t="shared" si="2"/>
        <v>1.1531092144225746E-2</v>
      </c>
      <c r="AK122" s="6">
        <f t="shared" si="3"/>
        <v>5.2360215990245602E-2</v>
      </c>
      <c r="AL122" s="6">
        <f t="shared" si="4"/>
        <v>0.12434767462114614</v>
      </c>
      <c r="AM122" s="6">
        <f t="shared" si="5"/>
        <v>1.3931370841316843E-2</v>
      </c>
      <c r="AN122" s="6">
        <f t="shared" si="6"/>
        <v>1.311565929280613</v>
      </c>
      <c r="AO122" s="7">
        <v>3</v>
      </c>
      <c r="AP122" s="7">
        <v>1</v>
      </c>
      <c r="AQ122" s="7">
        <v>0</v>
      </c>
      <c r="AR122" s="10">
        <v>0</v>
      </c>
      <c r="AS122" s="7">
        <v>0</v>
      </c>
      <c r="AT122" s="7">
        <v>0</v>
      </c>
      <c r="AU122" s="7">
        <v>0</v>
      </c>
      <c r="AV122" s="7">
        <v>0</v>
      </c>
      <c r="AW122" s="7">
        <v>31</v>
      </c>
      <c r="AX122" s="7">
        <v>1</v>
      </c>
      <c r="AY122" s="5">
        <v>6.5</v>
      </c>
      <c r="AZ122" s="7">
        <v>0</v>
      </c>
      <c r="BA122" s="7">
        <v>0</v>
      </c>
      <c r="BB122" s="7">
        <v>0</v>
      </c>
      <c r="BC122" s="7">
        <v>1</v>
      </c>
      <c r="BD122" s="7">
        <v>1</v>
      </c>
      <c r="BE122" s="7">
        <v>2</v>
      </c>
      <c r="BF122" s="7">
        <v>0</v>
      </c>
      <c r="BG122" s="7">
        <v>0</v>
      </c>
      <c r="BH122" s="7">
        <v>0</v>
      </c>
      <c r="BI122" s="7">
        <v>0</v>
      </c>
      <c r="BJ122" s="7">
        <v>1</v>
      </c>
      <c r="BK122" s="11">
        <v>1</v>
      </c>
      <c r="BL122" s="3" t="s">
        <v>978</v>
      </c>
      <c r="BM122" s="3">
        <v>0</v>
      </c>
    </row>
    <row r="123" spans="1:65" ht="20.100000000000001" customHeight="1" x14ac:dyDescent="0.3">
      <c r="A123" s="3" t="s">
        <v>23</v>
      </c>
      <c r="B123" s="3">
        <v>16</v>
      </c>
      <c r="C123" s="8">
        <v>44332</v>
      </c>
      <c r="D123" s="9">
        <v>0.31527777777777777</v>
      </c>
      <c r="E123" s="4">
        <v>58</v>
      </c>
      <c r="F123" s="3">
        <v>0</v>
      </c>
      <c r="G123" s="3">
        <v>0</v>
      </c>
      <c r="H123" s="3">
        <v>0</v>
      </c>
      <c r="I123" s="3">
        <v>0</v>
      </c>
      <c r="J123" s="9">
        <v>0.3125</v>
      </c>
      <c r="K123" s="3">
        <v>141</v>
      </c>
      <c r="L123" s="11">
        <f t="shared" ref="L123" si="204">K123-K122</f>
        <v>-2</v>
      </c>
      <c r="M123" s="5">
        <f t="shared" ref="M123" si="205">AB122</f>
        <v>2870.5</v>
      </c>
      <c r="N123" s="11">
        <v>30.75</v>
      </c>
      <c r="O123" s="11">
        <v>31.75</v>
      </c>
      <c r="P123" s="11">
        <v>10.5</v>
      </c>
      <c r="Q123" s="11">
        <v>10.625</v>
      </c>
      <c r="R123" s="11">
        <v>19.5</v>
      </c>
      <c r="S123" s="11">
        <v>19.5</v>
      </c>
      <c r="T123" s="11">
        <v>13</v>
      </c>
      <c r="U123" s="11">
        <v>11</v>
      </c>
      <c r="V123" s="11">
        <v>17</v>
      </c>
      <c r="W123" s="11">
        <v>15</v>
      </c>
      <c r="X123" s="11">
        <v>7</v>
      </c>
      <c r="Y123" s="11">
        <v>7</v>
      </c>
      <c r="Z123" s="3" t="s">
        <v>712</v>
      </c>
      <c r="AA123" s="10" t="s">
        <v>719</v>
      </c>
      <c r="AB123" s="5">
        <f>160+240+60+1853+55+370+450+180+140+80+40</f>
        <v>3628</v>
      </c>
      <c r="AC123" s="6">
        <f>10+5+5+75.7+3.25+15+257.7+15+6+0+3</f>
        <v>395.65</v>
      </c>
      <c r="AD123" s="6">
        <f>7+0+0+20.8+2+15+44+10.5+0+0+2</f>
        <v>101.3</v>
      </c>
      <c r="AE123" s="6">
        <f>12+40+2+20.8+9.5+0+10.33+3+0+2+4</f>
        <v>103.63</v>
      </c>
      <c r="AF123" s="6">
        <f>2+10+2+203.48+6+60+4.3+6+20+16+0</f>
        <v>329.78000000000003</v>
      </c>
      <c r="AG123" s="6">
        <f>0+4+2+37.08+0.5+0+12.33+0+0+0+0</f>
        <v>55.91</v>
      </c>
      <c r="AH123" s="6">
        <f>380+680+340+1929.5+0+25+71.7+45+60+30+200</f>
        <v>3761.2</v>
      </c>
      <c r="AI123" s="6">
        <f t="shared" si="1"/>
        <v>0.10905457552370451</v>
      </c>
      <c r="AJ123" s="6">
        <f t="shared" si="2"/>
        <v>2.7921719955898566E-2</v>
      </c>
      <c r="AK123" s="6">
        <f t="shared" si="3"/>
        <v>2.8563947078280041E-2</v>
      </c>
      <c r="AL123" s="6">
        <f t="shared" si="4"/>
        <v>9.0898566703417866E-2</v>
      </c>
      <c r="AM123" s="6">
        <f t="shared" si="5"/>
        <v>1.541069459757442E-2</v>
      </c>
      <c r="AN123" s="6">
        <f t="shared" si="6"/>
        <v>1.0367144432194046</v>
      </c>
      <c r="AO123" s="7">
        <v>4</v>
      </c>
      <c r="AP123" s="7">
        <v>1</v>
      </c>
      <c r="AQ123" s="7">
        <v>0</v>
      </c>
      <c r="AR123" s="10">
        <v>0</v>
      </c>
      <c r="AS123" s="7">
        <v>0</v>
      </c>
      <c r="AT123" s="7">
        <v>0</v>
      </c>
      <c r="AU123" s="7">
        <v>0</v>
      </c>
      <c r="AV123" s="7">
        <v>0</v>
      </c>
      <c r="AW123" s="7">
        <v>31</v>
      </c>
      <c r="AX123" s="7">
        <v>1</v>
      </c>
      <c r="AY123" s="5">
        <v>6.5</v>
      </c>
      <c r="AZ123" s="7">
        <v>0</v>
      </c>
      <c r="BA123" s="7">
        <v>0</v>
      </c>
      <c r="BB123" s="7">
        <v>0</v>
      </c>
      <c r="BC123" s="7">
        <v>1</v>
      </c>
      <c r="BD123" s="7">
        <v>1</v>
      </c>
      <c r="BE123" s="7">
        <v>2</v>
      </c>
      <c r="BF123" s="7">
        <v>0</v>
      </c>
      <c r="BG123" s="7">
        <v>0</v>
      </c>
      <c r="BH123" s="7">
        <v>0</v>
      </c>
      <c r="BI123" s="7">
        <v>0</v>
      </c>
      <c r="BJ123" s="7">
        <v>1</v>
      </c>
      <c r="BK123" s="11">
        <v>2</v>
      </c>
      <c r="BL123" s="3" t="s">
        <v>978</v>
      </c>
      <c r="BM123" s="3">
        <v>0</v>
      </c>
    </row>
    <row r="124" spans="1:65" ht="20.100000000000001" customHeight="1" x14ac:dyDescent="0.3">
      <c r="A124" s="3" t="s">
        <v>15</v>
      </c>
      <c r="B124" s="3">
        <v>17</v>
      </c>
      <c r="C124" s="8">
        <v>44333</v>
      </c>
      <c r="D124" s="9">
        <v>0.58333333333333337</v>
      </c>
      <c r="E124" s="4">
        <v>67</v>
      </c>
      <c r="F124" s="3">
        <v>0</v>
      </c>
      <c r="G124" s="3">
        <v>0</v>
      </c>
      <c r="H124" s="3">
        <v>0</v>
      </c>
      <c r="I124" s="3">
        <v>0</v>
      </c>
      <c r="J124" s="9">
        <v>0.3125</v>
      </c>
      <c r="K124" s="3">
        <v>141.80000000000001</v>
      </c>
      <c r="L124" s="11">
        <f t="shared" ref="L124" si="206">K124-K123</f>
        <v>0.80000000000001137</v>
      </c>
      <c r="M124" s="5">
        <f t="shared" ref="M124" si="207">AB123</f>
        <v>3628</v>
      </c>
      <c r="N124" s="11">
        <v>30.875</v>
      </c>
      <c r="O124" s="11">
        <v>31.75</v>
      </c>
      <c r="P124" s="11">
        <v>10.5</v>
      </c>
      <c r="Q124" s="11">
        <v>10.5</v>
      </c>
      <c r="R124" s="11">
        <v>19.5</v>
      </c>
      <c r="S124" s="11">
        <v>19.625</v>
      </c>
      <c r="T124" s="11">
        <v>12</v>
      </c>
      <c r="U124" s="11">
        <v>11</v>
      </c>
      <c r="V124" s="11">
        <v>17</v>
      </c>
      <c r="W124" s="11">
        <v>13</v>
      </c>
      <c r="X124" s="11">
        <v>7</v>
      </c>
      <c r="Y124" s="11">
        <v>7</v>
      </c>
      <c r="Z124" s="3" t="s">
        <v>720</v>
      </c>
      <c r="AA124" s="10" t="s">
        <v>721</v>
      </c>
      <c r="AB124" s="5">
        <f>926.5+370+900+240+60+130+554.5+51+140+165</f>
        <v>3537</v>
      </c>
      <c r="AC124" s="6">
        <f>37.34+15+513.3+5+5+4+11.18+5.1+6+9.75</f>
        <v>611.66999999999996</v>
      </c>
      <c r="AD124" s="6">
        <f>10.4+15+88+0+0+2+2.15+3.2+0+6</f>
        <v>126.75000000000001</v>
      </c>
      <c r="AE124" s="6">
        <f>52.84+0+20.67+40+2+3+17.8+1.1+0+1.5</f>
        <v>138.91</v>
      </c>
      <c r="AF124" s="6">
        <f>101.74+60+8.67+10+2+22+96.55+0.4+20+18</f>
        <v>339.35999999999996</v>
      </c>
      <c r="AG124" s="6">
        <f>18.54+0+24.67+4+2+1+8.35+0+0+1.5</f>
        <v>60.06</v>
      </c>
      <c r="AH124" s="6">
        <f>964.75+25+143.3+680+340+55+901+43+60+0</f>
        <v>3212.05</v>
      </c>
      <c r="AI124" s="6">
        <f t="shared" si="1"/>
        <v>0.17293469041560644</v>
      </c>
      <c r="AJ124" s="6">
        <f t="shared" si="2"/>
        <v>3.5835453774385073E-2</v>
      </c>
      <c r="AK124" s="6">
        <f t="shared" si="3"/>
        <v>3.9273395532937516E-2</v>
      </c>
      <c r="AL124" s="6">
        <f t="shared" si="4"/>
        <v>9.5945716709075479E-2</v>
      </c>
      <c r="AM124" s="6">
        <f t="shared" si="5"/>
        <v>1.6980491942324004E-2</v>
      </c>
      <c r="AN124" s="6">
        <f t="shared" si="6"/>
        <v>0.90812835736499864</v>
      </c>
      <c r="AO124" s="7">
        <v>5</v>
      </c>
      <c r="AP124" s="7">
        <v>2</v>
      </c>
      <c r="AQ124" s="7">
        <v>0</v>
      </c>
      <c r="AR124" s="10">
        <v>0</v>
      </c>
      <c r="AS124" s="7">
        <v>0</v>
      </c>
      <c r="AT124" s="7">
        <v>0</v>
      </c>
      <c r="AU124" s="7">
        <v>0</v>
      </c>
      <c r="AV124" s="7">
        <v>0</v>
      </c>
      <c r="AW124" s="7">
        <v>31</v>
      </c>
      <c r="AX124" s="7">
        <v>1</v>
      </c>
      <c r="AY124" s="5">
        <v>6</v>
      </c>
      <c r="AZ124" s="7">
        <v>0</v>
      </c>
      <c r="BA124" s="7">
        <v>0</v>
      </c>
      <c r="BB124" s="7">
        <v>0</v>
      </c>
      <c r="BC124" s="7">
        <v>1</v>
      </c>
      <c r="BD124" s="7">
        <v>1</v>
      </c>
      <c r="BE124" s="7">
        <v>2</v>
      </c>
      <c r="BF124" s="7">
        <v>0</v>
      </c>
      <c r="BG124" s="7">
        <v>0</v>
      </c>
      <c r="BH124" s="7">
        <v>0</v>
      </c>
      <c r="BI124" s="7">
        <v>0</v>
      </c>
      <c r="BJ124" s="7">
        <v>1</v>
      </c>
      <c r="BK124" s="11">
        <v>1</v>
      </c>
      <c r="BL124" s="3" t="s">
        <v>978</v>
      </c>
      <c r="BM124" s="3">
        <v>0</v>
      </c>
    </row>
    <row r="125" spans="1:65" ht="20.100000000000001" customHeight="1" x14ac:dyDescent="0.3">
      <c r="A125" s="3" t="s">
        <v>16</v>
      </c>
      <c r="B125" s="3">
        <v>18</v>
      </c>
      <c r="C125" s="8">
        <v>44334</v>
      </c>
      <c r="D125" s="9">
        <v>0.85069444444444453</v>
      </c>
      <c r="E125" s="4">
        <v>67</v>
      </c>
      <c r="F125" s="3">
        <v>0</v>
      </c>
      <c r="G125" s="3">
        <v>0</v>
      </c>
      <c r="H125" s="3">
        <v>0</v>
      </c>
      <c r="I125" s="3">
        <v>0</v>
      </c>
      <c r="J125" s="9">
        <v>0.43611111111111112</v>
      </c>
      <c r="K125" s="3">
        <v>141</v>
      </c>
      <c r="L125" s="11">
        <f t="shared" ref="L125" si="208">K125-K124</f>
        <v>-0.80000000000001137</v>
      </c>
      <c r="M125" s="5">
        <f t="shared" ref="M125" si="209">AB124</f>
        <v>3537</v>
      </c>
      <c r="N125" s="11">
        <v>31</v>
      </c>
      <c r="O125" s="11">
        <v>32</v>
      </c>
      <c r="P125" s="11">
        <v>10.5</v>
      </c>
      <c r="Q125" s="11">
        <v>10.625</v>
      </c>
      <c r="R125" s="11">
        <v>19.5</v>
      </c>
      <c r="S125" s="11">
        <v>20</v>
      </c>
      <c r="T125" s="11">
        <v>13</v>
      </c>
      <c r="U125" s="11">
        <v>13</v>
      </c>
      <c r="V125" s="11">
        <v>17</v>
      </c>
      <c r="W125" s="11">
        <v>17</v>
      </c>
      <c r="X125" s="11">
        <v>7</v>
      </c>
      <c r="Y125" s="11">
        <v>7</v>
      </c>
      <c r="Z125" s="3" t="s">
        <v>725</v>
      </c>
      <c r="AA125" s="10" t="s">
        <v>724</v>
      </c>
      <c r="AB125" s="5">
        <f>598.5+280+300+320+216+60+960+239+80</f>
        <v>3053.5</v>
      </c>
      <c r="AC125" s="6">
        <f>36.3+14+25+20+0+1+40+13.5+0</f>
        <v>149.80000000000001</v>
      </c>
      <c r="AD125" s="6">
        <f>10.05+10+17.5+14+0+0+24+9+0</f>
        <v>84.55</v>
      </c>
      <c r="AE125" s="6">
        <f>42.05+4+5+24+6+2+8+3+2</f>
        <v>96.05</v>
      </c>
      <c r="AF125" s="6">
        <f>28.4+36+10+4+42+12+136+30+16</f>
        <v>314.39999999999998</v>
      </c>
      <c r="AG125" s="6">
        <f>8.9+4+0+0+6+2+8+3+0</f>
        <v>31.9</v>
      </c>
      <c r="AH125" s="6">
        <f>702.7+180+75+760+108+420+800+60+30</f>
        <v>3135.7</v>
      </c>
      <c r="AI125" s="6">
        <f t="shared" si="1"/>
        <v>4.9058457507777965E-2</v>
      </c>
      <c r="AJ125" s="6">
        <f t="shared" si="2"/>
        <v>2.7689536597347304E-2</v>
      </c>
      <c r="AK125" s="6">
        <f t="shared" si="3"/>
        <v>3.1455706566235468E-2</v>
      </c>
      <c r="AL125" s="6">
        <f t="shared" si="4"/>
        <v>0.10296381201899459</v>
      </c>
      <c r="AM125" s="6">
        <f t="shared" si="5"/>
        <v>1.0447028000654985E-2</v>
      </c>
      <c r="AN125" s="6">
        <f t="shared" si="6"/>
        <v>1.0269199279515309</v>
      </c>
      <c r="AO125" s="7">
        <v>4</v>
      </c>
      <c r="AP125" s="7">
        <v>0</v>
      </c>
      <c r="AQ125" s="7">
        <v>0</v>
      </c>
      <c r="AR125" s="10">
        <v>0</v>
      </c>
      <c r="AS125" s="7">
        <v>0</v>
      </c>
      <c r="AT125" s="7">
        <v>0</v>
      </c>
      <c r="AU125" s="7">
        <v>0</v>
      </c>
      <c r="AV125" s="7">
        <v>0</v>
      </c>
      <c r="AW125" s="7">
        <v>31</v>
      </c>
      <c r="AX125" s="7">
        <v>1</v>
      </c>
      <c r="AY125" s="5">
        <v>4.66</v>
      </c>
      <c r="AZ125" s="7">
        <v>0</v>
      </c>
      <c r="BA125" s="7">
        <v>0</v>
      </c>
      <c r="BB125" s="7">
        <v>0</v>
      </c>
      <c r="BC125" s="7">
        <v>1</v>
      </c>
      <c r="BD125" s="7">
        <v>1</v>
      </c>
      <c r="BE125" s="7">
        <v>0</v>
      </c>
      <c r="BF125" s="7">
        <v>3</v>
      </c>
      <c r="BG125" s="3">
        <f>10+15+15</f>
        <v>40</v>
      </c>
      <c r="BH125" s="7">
        <v>0</v>
      </c>
      <c r="BI125" s="7">
        <v>0</v>
      </c>
      <c r="BJ125" s="7">
        <v>1</v>
      </c>
      <c r="BK125" s="11">
        <v>1</v>
      </c>
      <c r="BL125" s="3" t="s">
        <v>978</v>
      </c>
      <c r="BM125" s="3">
        <v>0</v>
      </c>
    </row>
    <row r="126" spans="1:65" ht="20.100000000000001" customHeight="1" x14ac:dyDescent="0.3">
      <c r="A126" s="3" t="s">
        <v>17</v>
      </c>
      <c r="B126" s="3">
        <v>19</v>
      </c>
      <c r="C126" s="8">
        <v>44335</v>
      </c>
      <c r="D126" s="9">
        <v>0.79166666666666663</v>
      </c>
      <c r="E126" s="4">
        <v>69</v>
      </c>
      <c r="F126" s="3">
        <v>0</v>
      </c>
      <c r="G126" s="3">
        <v>0</v>
      </c>
      <c r="H126" s="3">
        <v>0</v>
      </c>
      <c r="I126" s="3">
        <v>0</v>
      </c>
      <c r="J126" s="9">
        <v>0.31805555555555554</v>
      </c>
      <c r="K126" s="3">
        <v>141</v>
      </c>
      <c r="L126" s="11">
        <f t="shared" ref="L126" si="210">K126-K125</f>
        <v>0</v>
      </c>
      <c r="M126" s="5">
        <f t="shared" ref="M126" si="211">AB125</f>
        <v>3053.5</v>
      </c>
      <c r="N126" s="11">
        <v>30.75</v>
      </c>
      <c r="O126" s="11">
        <v>32</v>
      </c>
      <c r="P126" s="11">
        <v>10.5</v>
      </c>
      <c r="Q126" s="11">
        <v>10.5</v>
      </c>
      <c r="R126" s="11">
        <v>19.5</v>
      </c>
      <c r="S126" s="11">
        <v>19.5</v>
      </c>
      <c r="T126" s="11">
        <v>12</v>
      </c>
      <c r="U126" s="11">
        <v>12</v>
      </c>
      <c r="V126" s="11">
        <v>16</v>
      </c>
      <c r="W126" s="11">
        <v>15</v>
      </c>
      <c r="X126" s="11">
        <v>7</v>
      </c>
      <c r="Y126" s="11">
        <v>7</v>
      </c>
      <c r="Z126" s="11" t="s">
        <v>730</v>
      </c>
      <c r="AA126" s="10" t="s">
        <v>728</v>
      </c>
      <c r="AB126" s="5">
        <f>598.5+240+240+280+240+60+330+389.1+750+140</f>
        <v>3267.6</v>
      </c>
      <c r="AC126" s="6">
        <f>36.3+15+20+14+5+5+6+7.2+40+6</f>
        <v>154.5</v>
      </c>
      <c r="AD126" s="6">
        <f>10.05+10.5+14+10+0+0+6+1.29+12.5+0</f>
        <v>64.34</v>
      </c>
      <c r="AE126" s="6">
        <f>42.05+18+4+4+40+2+6+10.62+5+0</f>
        <v>131.67000000000002</v>
      </c>
      <c r="AF126" s="6">
        <f>28.4+3+8+36+10+2+60+72.45+100+20</f>
        <v>339.85</v>
      </c>
      <c r="AG126" s="6">
        <f>8.9+0+0+4+4+2+3+7.35+5+0</f>
        <v>34.25</v>
      </c>
      <c r="AH126" s="6">
        <f>702.7+570+60+180+680+340+1710+1038.6+375+60</f>
        <v>5716.2999999999993</v>
      </c>
      <c r="AI126" s="6">
        <f t="shared" si="1"/>
        <v>4.7282409107601911E-2</v>
      </c>
      <c r="AJ126" s="6">
        <f t="shared" si="2"/>
        <v>1.9690292569469948E-2</v>
      </c>
      <c r="AK126" s="6">
        <f t="shared" si="3"/>
        <v>4.0295629820051422E-2</v>
      </c>
      <c r="AL126" s="6">
        <f t="shared" si="4"/>
        <v>0.10400599828620395</v>
      </c>
      <c r="AM126" s="6">
        <f t="shared" si="5"/>
        <v>1.048169910637777E-2</v>
      </c>
      <c r="AN126" s="6">
        <f t="shared" si="6"/>
        <v>1.7493879299791895</v>
      </c>
      <c r="AO126" s="7">
        <v>4</v>
      </c>
      <c r="AP126" s="7">
        <v>2</v>
      </c>
      <c r="AQ126" s="7">
        <v>0</v>
      </c>
      <c r="AR126" s="10">
        <v>0</v>
      </c>
      <c r="AS126" s="7">
        <v>0</v>
      </c>
      <c r="AT126" s="7">
        <v>0</v>
      </c>
      <c r="AU126" s="7">
        <v>0</v>
      </c>
      <c r="AV126" s="7">
        <v>0</v>
      </c>
      <c r="AW126" s="7">
        <v>31</v>
      </c>
      <c r="AX126" s="7">
        <v>1</v>
      </c>
      <c r="AY126" s="5">
        <v>6</v>
      </c>
      <c r="AZ126" s="7">
        <v>0</v>
      </c>
      <c r="BA126" s="7">
        <v>0</v>
      </c>
      <c r="BB126" s="7">
        <v>0</v>
      </c>
      <c r="BC126" s="7">
        <v>1</v>
      </c>
      <c r="BD126" s="7">
        <v>1</v>
      </c>
      <c r="BE126" s="7">
        <v>2</v>
      </c>
      <c r="BF126" s="7">
        <v>0</v>
      </c>
      <c r="BG126" s="7">
        <v>0</v>
      </c>
      <c r="BH126" s="7">
        <v>0</v>
      </c>
      <c r="BI126" s="7">
        <v>0</v>
      </c>
      <c r="BJ126" s="7">
        <v>1</v>
      </c>
      <c r="BK126" s="11">
        <v>4</v>
      </c>
      <c r="BL126" s="3" t="s">
        <v>978</v>
      </c>
      <c r="BM126" s="3">
        <v>0</v>
      </c>
    </row>
    <row r="127" spans="1:65" ht="20.100000000000001" customHeight="1" x14ac:dyDescent="0.3">
      <c r="A127" s="3" t="s">
        <v>18</v>
      </c>
      <c r="B127" s="3">
        <v>20</v>
      </c>
      <c r="C127" s="8">
        <v>44336</v>
      </c>
      <c r="D127" s="9">
        <v>0.68194444444444446</v>
      </c>
      <c r="E127" s="4">
        <v>71</v>
      </c>
      <c r="F127" s="3">
        <v>0</v>
      </c>
      <c r="G127" s="3">
        <v>0</v>
      </c>
      <c r="H127" s="3">
        <v>0</v>
      </c>
      <c r="I127" s="3">
        <v>0</v>
      </c>
      <c r="J127" s="9">
        <v>0.69513888888888886</v>
      </c>
      <c r="K127" s="3">
        <v>143.4</v>
      </c>
      <c r="L127" s="11">
        <f t="shared" ref="L127" si="212">K127-K126</f>
        <v>2.4000000000000057</v>
      </c>
      <c r="M127" s="5">
        <f t="shared" ref="M127" si="213">AB126</f>
        <v>3267.6</v>
      </c>
      <c r="N127" s="11">
        <v>33</v>
      </c>
      <c r="O127" s="11">
        <v>31.5</v>
      </c>
      <c r="P127" s="11">
        <v>10.5</v>
      </c>
      <c r="Q127" s="11">
        <v>10.5</v>
      </c>
      <c r="R127" s="11">
        <v>19.75</v>
      </c>
      <c r="S127" s="11">
        <v>19.875</v>
      </c>
      <c r="T127" s="11">
        <v>13</v>
      </c>
      <c r="U127" s="11">
        <v>11</v>
      </c>
      <c r="V127" s="11">
        <v>15</v>
      </c>
      <c r="W127" s="11">
        <v>15</v>
      </c>
      <c r="X127" s="11">
        <v>7</v>
      </c>
      <c r="Y127" s="11">
        <v>7</v>
      </c>
      <c r="Z127" s="3" t="s">
        <v>731</v>
      </c>
      <c r="AA127" s="10" t="s">
        <v>729</v>
      </c>
      <c r="AB127" s="5">
        <f>110+360+60+180+140+10+750+260</f>
        <v>1870</v>
      </c>
      <c r="AC127" s="6">
        <f>2+0+1+15+10+0.75+40+28</f>
        <v>96.75</v>
      </c>
      <c r="AD127" s="6">
        <f>2+0+0+10.5+3+0+12.5+4</f>
        <v>32</v>
      </c>
      <c r="AE127" s="6">
        <f>2+10+2+3+12+0.25+5+0</f>
        <v>34.25</v>
      </c>
      <c r="AF127" s="6">
        <f>20+70+12+6+0+0.5+100+0</f>
        <v>208.5</v>
      </c>
      <c r="AG127" s="6">
        <f>1+10+2+0+0+0.25+5+0</f>
        <v>18.25</v>
      </c>
      <c r="AH127" s="6">
        <f>570+180+420+45+140+45+375+0</f>
        <v>1775</v>
      </c>
      <c r="AI127" s="6">
        <f t="shared" si="1"/>
        <v>5.17379679144385E-2</v>
      </c>
      <c r="AJ127" s="6">
        <f t="shared" si="2"/>
        <v>1.7112299465240642E-2</v>
      </c>
      <c r="AK127" s="6">
        <f t="shared" si="3"/>
        <v>1.8315508021390373E-2</v>
      </c>
      <c r="AL127" s="6">
        <f t="shared" si="4"/>
        <v>0.11149732620320855</v>
      </c>
      <c r="AM127" s="6">
        <f t="shared" si="5"/>
        <v>9.759358288770054E-3</v>
      </c>
      <c r="AN127" s="6">
        <f t="shared" si="6"/>
        <v>0.94919786096256686</v>
      </c>
      <c r="AO127" s="7">
        <v>4</v>
      </c>
      <c r="AP127" s="7">
        <v>1</v>
      </c>
      <c r="AQ127" s="7">
        <v>0</v>
      </c>
      <c r="AR127" s="10">
        <v>0</v>
      </c>
      <c r="AS127" s="7">
        <v>0</v>
      </c>
      <c r="AT127" s="7">
        <v>0</v>
      </c>
      <c r="AU127" s="7">
        <v>0</v>
      </c>
      <c r="AV127" s="7">
        <v>0</v>
      </c>
      <c r="AW127" s="7">
        <v>31</v>
      </c>
      <c r="AX127" s="7">
        <v>1</v>
      </c>
      <c r="AY127" s="5">
        <v>6</v>
      </c>
      <c r="AZ127" s="7">
        <v>0</v>
      </c>
      <c r="BA127" s="7">
        <v>1</v>
      </c>
      <c r="BB127" s="7">
        <v>0</v>
      </c>
      <c r="BC127" s="7">
        <v>1</v>
      </c>
      <c r="BD127" s="7">
        <v>1</v>
      </c>
      <c r="BE127" s="7">
        <v>0</v>
      </c>
      <c r="BF127" s="7">
        <v>0</v>
      </c>
      <c r="BG127" s="7">
        <v>0</v>
      </c>
      <c r="BH127" s="7">
        <v>0</v>
      </c>
      <c r="BI127" s="7">
        <v>0</v>
      </c>
      <c r="BJ127" s="7">
        <v>1</v>
      </c>
      <c r="BK127" s="11">
        <v>0</v>
      </c>
      <c r="BL127" s="7">
        <v>0</v>
      </c>
      <c r="BM127" s="3">
        <v>0</v>
      </c>
    </row>
    <row r="128" spans="1:65" ht="20.100000000000001" customHeight="1" x14ac:dyDescent="0.3">
      <c r="A128" s="3" t="s">
        <v>137</v>
      </c>
      <c r="B128" s="3">
        <v>21</v>
      </c>
      <c r="C128" s="8">
        <v>44337</v>
      </c>
      <c r="D128" s="9">
        <v>0.82847222222222217</v>
      </c>
      <c r="E128" s="4">
        <v>60</v>
      </c>
      <c r="F128" s="3">
        <v>0</v>
      </c>
      <c r="G128" s="3">
        <v>0</v>
      </c>
      <c r="H128" s="3">
        <v>0</v>
      </c>
      <c r="I128" s="3">
        <v>0</v>
      </c>
      <c r="J128" s="9">
        <v>0.81180555555555556</v>
      </c>
      <c r="K128" s="3">
        <v>143.4</v>
      </c>
      <c r="L128" s="11">
        <f t="shared" ref="L128" si="214">K128-K127</f>
        <v>0</v>
      </c>
      <c r="M128" s="5">
        <f t="shared" ref="M128" si="215">AB127</f>
        <v>1870</v>
      </c>
      <c r="N128" s="11">
        <v>31.25</v>
      </c>
      <c r="O128" s="11">
        <v>32</v>
      </c>
      <c r="P128" s="11">
        <v>10.5</v>
      </c>
      <c r="Q128" s="11">
        <v>10.5</v>
      </c>
      <c r="R128" s="11">
        <v>19.5</v>
      </c>
      <c r="S128" s="11">
        <v>19.5</v>
      </c>
      <c r="T128" s="11">
        <v>14</v>
      </c>
      <c r="U128" s="11">
        <v>13</v>
      </c>
      <c r="V128" s="11">
        <v>17</v>
      </c>
      <c r="W128" s="11">
        <v>16</v>
      </c>
      <c r="X128" s="11">
        <v>7</v>
      </c>
      <c r="Y128" s="11">
        <v>7</v>
      </c>
      <c r="Z128" s="3" t="s">
        <v>732</v>
      </c>
      <c r="AA128" s="10" t="s">
        <v>746</v>
      </c>
      <c r="AB128" s="5">
        <f>780+320+15+440+180+740+600+480+320+80+670</f>
        <v>4625</v>
      </c>
      <c r="AC128" s="6">
        <f>7.5+20+1.25+8+15+30+8+22+17+0+26</f>
        <v>154.75</v>
      </c>
      <c r="AD128" s="6">
        <f>4.5+14+0+8+10.5+30+3+11+10+0+8</f>
        <v>99</v>
      </c>
      <c r="AE128" s="6">
        <f>27+24+0.5+8+3+0+15+8+6+2+21</f>
        <v>114.5</v>
      </c>
      <c r="AF128" s="6">
        <f>144+4+0.5+80+6+120+120+56+35+16+88</f>
        <v>669.5</v>
      </c>
      <c r="AG128" s="6">
        <f>6+0+0.5+4+0+0+0+2+0+0+5</f>
        <v>17.5</v>
      </c>
      <c r="AH128" s="6">
        <f>1680+760+85+2280+45+50+600+390+430+30+1330</f>
        <v>7680</v>
      </c>
      <c r="AI128" s="6">
        <f t="shared" si="1"/>
        <v>3.345945945945946E-2</v>
      </c>
      <c r="AJ128" s="6">
        <f t="shared" si="2"/>
        <v>2.1405405405405406E-2</v>
      </c>
      <c r="AK128" s="6">
        <f t="shared" si="3"/>
        <v>2.4756756756756756E-2</v>
      </c>
      <c r="AL128" s="6">
        <f t="shared" si="4"/>
        <v>0.14475675675675675</v>
      </c>
      <c r="AM128" s="6">
        <f t="shared" si="5"/>
        <v>3.7837837837837837E-3</v>
      </c>
      <c r="AN128" s="6">
        <f t="shared" si="6"/>
        <v>1.6605405405405405</v>
      </c>
      <c r="AO128" s="7">
        <v>5</v>
      </c>
      <c r="AP128" s="7">
        <v>0</v>
      </c>
      <c r="AQ128" s="7">
        <v>0</v>
      </c>
      <c r="AR128" s="10">
        <v>0</v>
      </c>
      <c r="AS128" s="7">
        <v>0</v>
      </c>
      <c r="AT128" s="7">
        <v>0</v>
      </c>
      <c r="AU128" s="7">
        <v>0</v>
      </c>
      <c r="AV128" s="7">
        <v>0</v>
      </c>
      <c r="AW128" s="7">
        <v>31</v>
      </c>
      <c r="AX128" s="7">
        <v>1</v>
      </c>
      <c r="AY128" s="5">
        <v>4</v>
      </c>
      <c r="AZ128" s="7">
        <v>0</v>
      </c>
      <c r="BA128" s="7">
        <v>0</v>
      </c>
      <c r="BB128" s="7">
        <v>0</v>
      </c>
      <c r="BC128" s="7">
        <v>1</v>
      </c>
      <c r="BD128" s="7">
        <v>1</v>
      </c>
      <c r="BE128" s="7">
        <v>0</v>
      </c>
      <c r="BF128" s="7">
        <v>0</v>
      </c>
      <c r="BG128" s="7">
        <v>0</v>
      </c>
      <c r="BH128" s="7">
        <v>0</v>
      </c>
      <c r="BI128" s="7">
        <v>0</v>
      </c>
      <c r="BJ128" s="7">
        <v>1</v>
      </c>
      <c r="BK128" s="11">
        <v>1</v>
      </c>
      <c r="BL128" s="3" t="s">
        <v>976</v>
      </c>
      <c r="BM128" s="3">
        <v>0</v>
      </c>
    </row>
    <row r="129" spans="1:65" ht="20.100000000000001" customHeight="1" x14ac:dyDescent="0.3">
      <c r="A129" s="3" t="s">
        <v>19</v>
      </c>
      <c r="B129" s="3">
        <v>22</v>
      </c>
      <c r="C129" s="8">
        <v>44338</v>
      </c>
      <c r="D129" s="9">
        <v>0.28680555555555554</v>
      </c>
      <c r="E129" s="4">
        <v>53</v>
      </c>
      <c r="F129" s="3">
        <v>0</v>
      </c>
      <c r="G129" s="3">
        <v>0</v>
      </c>
      <c r="H129" s="3">
        <v>0</v>
      </c>
      <c r="I129" s="3">
        <v>0</v>
      </c>
      <c r="J129" s="9">
        <v>0.28611111111111115</v>
      </c>
      <c r="K129" s="3">
        <v>143.4</v>
      </c>
      <c r="L129" s="11">
        <f t="shared" ref="L129" si="216">K129-K128</f>
        <v>0</v>
      </c>
      <c r="M129" s="5">
        <f t="shared" ref="M129" si="217">AB128</f>
        <v>4625</v>
      </c>
      <c r="N129" s="11">
        <v>31</v>
      </c>
      <c r="O129" s="11">
        <v>32.5</v>
      </c>
      <c r="P129" s="11">
        <v>10.5</v>
      </c>
      <c r="Q129" s="11">
        <v>10.375</v>
      </c>
      <c r="R129" s="11">
        <v>19.625</v>
      </c>
      <c r="S129" s="11">
        <v>19.75</v>
      </c>
      <c r="T129" s="11">
        <v>14</v>
      </c>
      <c r="U129" s="11">
        <v>12</v>
      </c>
      <c r="V129" s="11">
        <v>15</v>
      </c>
      <c r="W129" s="11">
        <v>13</v>
      </c>
      <c r="X129" s="11">
        <v>7</v>
      </c>
      <c r="Y129" s="11">
        <v>7</v>
      </c>
      <c r="Z129" s="3" t="s">
        <v>736</v>
      </c>
      <c r="AA129" s="10" t="s">
        <v>744</v>
      </c>
      <c r="AB129" s="5">
        <f>55+100.75+175+90+120+204+267+480+300+160</f>
        <v>1951.75</v>
      </c>
      <c r="AC129" s="6">
        <f>3.25+7+8.75+0+0+20.4+16+12+24+10</f>
        <v>101.4</v>
      </c>
      <c r="AD129" s="6">
        <f>2+2.5+0.625+0+0+12.8+9.3+8+17.5+7</f>
        <v>59.725000000000001</v>
      </c>
      <c r="AE129" s="6">
        <f>0.5+5.04+2.5+0+3+4.4+4+8+5+12</f>
        <v>44.44</v>
      </c>
      <c r="AF129" s="6">
        <f>6+4.04+20+25+24+1.6+26.7+80+10+2</f>
        <v>199.33999999999997</v>
      </c>
      <c r="AG129" s="6">
        <f>0.5+1.29+1.25+0+0+0+0+4+0+0</f>
        <v>7.04</v>
      </c>
      <c r="AH129" s="6">
        <f>0+93.5+150+30+45+172+66.7+1640+75+380</f>
        <v>2652.2</v>
      </c>
      <c r="AI129" s="6">
        <f t="shared" ref="AI129:AI214" si="218">$AC129/$AB129</f>
        <v>5.1953375176123993E-2</v>
      </c>
      <c r="AJ129" s="6">
        <f t="shared" ref="AJ129:AJ214" si="219">$AD129/$AB129</f>
        <v>3.0600742923017805E-2</v>
      </c>
      <c r="AK129" s="6">
        <f t="shared" ref="AK129:AK214" si="220">$AE129/$AB129</f>
        <v>2.2769309593954144E-2</v>
      </c>
      <c r="AL129" s="6">
        <f t="shared" ref="AL129:AL214" si="221">$AF129/$AB129</f>
        <v>0.10213398232355576</v>
      </c>
      <c r="AM129" s="6">
        <f t="shared" ref="AM129:AM214" si="222">$AG129/$AB129</f>
        <v>3.607019341616498E-3</v>
      </c>
      <c r="AN129" s="6">
        <f t="shared" ref="AN129:AN214" si="223">$AH129/$AB129</f>
        <v>1.3588830536697833</v>
      </c>
      <c r="AO129" s="7">
        <v>3</v>
      </c>
      <c r="AP129" s="7">
        <v>1</v>
      </c>
      <c r="AQ129" s="7">
        <v>0</v>
      </c>
      <c r="AR129" s="10">
        <v>0</v>
      </c>
      <c r="AS129" s="7">
        <v>0</v>
      </c>
      <c r="AT129" s="7">
        <v>0</v>
      </c>
      <c r="AU129" s="7">
        <v>0</v>
      </c>
      <c r="AV129" s="7">
        <v>0</v>
      </c>
      <c r="AW129" s="7">
        <v>31</v>
      </c>
      <c r="AX129" s="7">
        <v>1</v>
      </c>
      <c r="AY129" s="5">
        <v>7</v>
      </c>
      <c r="AZ129" s="7">
        <v>0</v>
      </c>
      <c r="BA129" s="7">
        <v>0</v>
      </c>
      <c r="BB129" s="7">
        <v>0</v>
      </c>
      <c r="BC129" s="7">
        <v>1</v>
      </c>
      <c r="BD129" s="7">
        <v>1</v>
      </c>
      <c r="BE129" s="7">
        <v>0</v>
      </c>
      <c r="BF129" s="7">
        <v>0</v>
      </c>
      <c r="BG129" s="7">
        <v>0</v>
      </c>
      <c r="BH129" s="7">
        <v>0</v>
      </c>
      <c r="BI129" s="7">
        <v>0</v>
      </c>
      <c r="BJ129" s="7">
        <v>1</v>
      </c>
      <c r="BK129" s="11">
        <v>2</v>
      </c>
      <c r="BL129" s="3" t="s">
        <v>976</v>
      </c>
      <c r="BM129" s="3">
        <v>0</v>
      </c>
    </row>
    <row r="130" spans="1:65" ht="20.100000000000001" customHeight="1" x14ac:dyDescent="0.3">
      <c r="A130" s="3" t="s">
        <v>23</v>
      </c>
      <c r="B130" s="3">
        <v>23</v>
      </c>
      <c r="C130" s="8">
        <v>44339</v>
      </c>
      <c r="D130" s="9">
        <v>0.22222222222222221</v>
      </c>
      <c r="E130" s="4">
        <v>50</v>
      </c>
      <c r="F130" s="3">
        <v>0</v>
      </c>
      <c r="G130" s="3">
        <v>0</v>
      </c>
      <c r="H130" s="3">
        <v>0</v>
      </c>
      <c r="I130" s="3">
        <v>0</v>
      </c>
      <c r="J130" s="9">
        <v>0.28125</v>
      </c>
      <c r="K130" s="3">
        <v>142.6</v>
      </c>
      <c r="L130" s="11">
        <f t="shared" ref="L130" si="224">K130-K129</f>
        <v>-0.80000000000001137</v>
      </c>
      <c r="M130" s="5">
        <f t="shared" ref="M130" si="225">AB129</f>
        <v>1951.75</v>
      </c>
      <c r="N130" s="11">
        <v>31</v>
      </c>
      <c r="O130" s="11">
        <v>32</v>
      </c>
      <c r="P130" s="11">
        <v>10.5</v>
      </c>
      <c r="Q130" s="11">
        <v>10.5</v>
      </c>
      <c r="R130" s="11">
        <v>19.625</v>
      </c>
      <c r="S130" s="11">
        <v>19.75</v>
      </c>
      <c r="T130" s="11">
        <v>13</v>
      </c>
      <c r="U130" s="11">
        <v>11</v>
      </c>
      <c r="V130" s="11">
        <v>17</v>
      </c>
      <c r="W130" s="11">
        <v>15</v>
      </c>
      <c r="X130" s="11">
        <v>7</v>
      </c>
      <c r="Y130" s="11">
        <v>7</v>
      </c>
      <c r="Z130" s="3" t="s">
        <v>747</v>
      </c>
      <c r="AA130" s="10" t="s">
        <v>748</v>
      </c>
      <c r="AB130" s="5">
        <f>400+988.4+204+266.67+140+216+160</f>
        <v>2375.0700000000002</v>
      </c>
      <c r="AC130" s="6">
        <f>10+18.275+20.4+16+6+0+10</f>
        <v>80.674999999999997</v>
      </c>
      <c r="AD130" s="6">
        <f>5+3.3+12.8+9.3+0+0+7</f>
        <v>37.400000000000006</v>
      </c>
      <c r="AE130" s="6">
        <f>4+38.1+4+4+0+6+12</f>
        <v>68.099999999999994</v>
      </c>
      <c r="AF130" s="6">
        <f>74+132.5+1.6+26.7+20+42+2</f>
        <v>298.79999999999995</v>
      </c>
      <c r="AG130" s="6">
        <f>1+16.88+0+0+0+6+0</f>
        <v>23.88</v>
      </c>
      <c r="AH130" s="6">
        <f>240+2007+172+66.67+60+108+380</f>
        <v>3033.67</v>
      </c>
      <c r="AI130" s="6">
        <f t="shared" si="218"/>
        <v>3.3967419907623773E-2</v>
      </c>
      <c r="AJ130" s="6">
        <f t="shared" si="219"/>
        <v>1.574690430176795E-2</v>
      </c>
      <c r="AK130" s="6">
        <f t="shared" si="220"/>
        <v>2.8672839116320778E-2</v>
      </c>
      <c r="AL130" s="6">
        <f t="shared" si="221"/>
        <v>0.12580681832535459</v>
      </c>
      <c r="AM130" s="6">
        <f t="shared" si="222"/>
        <v>1.0054440500701031E-2</v>
      </c>
      <c r="AN130" s="6">
        <f t="shared" si="223"/>
        <v>1.2772970901910259</v>
      </c>
      <c r="AO130" s="7">
        <v>5</v>
      </c>
      <c r="AP130" s="7">
        <v>1</v>
      </c>
      <c r="AQ130" s="7">
        <v>0</v>
      </c>
      <c r="AR130" s="10">
        <v>0</v>
      </c>
      <c r="AS130" s="7">
        <v>0</v>
      </c>
      <c r="AT130" s="7">
        <v>0</v>
      </c>
      <c r="AU130" s="7">
        <v>0</v>
      </c>
      <c r="AV130" s="7">
        <v>0</v>
      </c>
      <c r="AW130" s="7">
        <v>31</v>
      </c>
      <c r="AX130" s="7">
        <v>1</v>
      </c>
      <c r="AY130" s="5">
        <v>7</v>
      </c>
      <c r="AZ130" s="7">
        <v>1</v>
      </c>
      <c r="BA130" s="7">
        <v>0</v>
      </c>
      <c r="BB130" s="7">
        <v>1</v>
      </c>
      <c r="BC130" s="7">
        <v>1</v>
      </c>
      <c r="BD130" s="7">
        <v>1</v>
      </c>
      <c r="BE130" s="7">
        <v>0</v>
      </c>
      <c r="BF130" s="7">
        <v>0</v>
      </c>
      <c r="BG130" s="7">
        <v>0</v>
      </c>
      <c r="BH130" s="7">
        <v>0</v>
      </c>
      <c r="BI130" s="7">
        <v>0</v>
      </c>
      <c r="BJ130" s="7">
        <v>1</v>
      </c>
      <c r="BK130" s="11">
        <v>1</v>
      </c>
      <c r="BL130" s="3" t="s">
        <v>976</v>
      </c>
      <c r="BM130" s="3">
        <v>0</v>
      </c>
    </row>
    <row r="131" spans="1:65" ht="20.100000000000001" customHeight="1" x14ac:dyDescent="0.3">
      <c r="A131" s="3" t="s">
        <v>15</v>
      </c>
      <c r="B131" s="3">
        <v>24</v>
      </c>
      <c r="C131" s="8">
        <v>44340</v>
      </c>
      <c r="D131" s="9">
        <v>0.54722222222222217</v>
      </c>
      <c r="E131" s="4">
        <v>91</v>
      </c>
      <c r="F131" s="3">
        <v>0</v>
      </c>
      <c r="G131" s="3">
        <v>0</v>
      </c>
      <c r="H131" s="3">
        <v>0</v>
      </c>
      <c r="I131" s="3">
        <v>0</v>
      </c>
      <c r="J131" s="9">
        <v>0.58611111111111114</v>
      </c>
      <c r="K131" s="3">
        <v>142.6</v>
      </c>
      <c r="L131" s="11">
        <f t="shared" ref="L131" si="226">K131-K130</f>
        <v>0</v>
      </c>
      <c r="M131" s="5">
        <f t="shared" ref="M131" si="227">AB130</f>
        <v>2375.0700000000002</v>
      </c>
      <c r="N131" s="11">
        <v>30</v>
      </c>
      <c r="O131" s="11">
        <v>31.75</v>
      </c>
      <c r="P131" s="11">
        <v>10.5</v>
      </c>
      <c r="Q131" s="11">
        <v>10.5</v>
      </c>
      <c r="R131" s="11">
        <v>20</v>
      </c>
      <c r="S131" s="11">
        <v>20</v>
      </c>
      <c r="T131" s="11">
        <v>15</v>
      </c>
      <c r="U131" s="11">
        <v>11</v>
      </c>
      <c r="V131" s="11">
        <v>16</v>
      </c>
      <c r="W131" s="11">
        <v>13</v>
      </c>
      <c r="X131" s="11">
        <v>7</v>
      </c>
      <c r="Y131" s="11">
        <v>7</v>
      </c>
      <c r="Z131" s="3" t="s">
        <v>752</v>
      </c>
      <c r="AA131" s="10" t="s">
        <v>751</v>
      </c>
      <c r="AB131" s="5">
        <f>160+240+360+140+144+160+160+100+30+240+267+110+7.5+988.4+204+140+140</f>
        <v>3590.9</v>
      </c>
      <c r="AC131" s="6">
        <f>4+15+30+10+0+10+160+8+0+14+16+6.5+0.63+18.275+20.4+7+6</f>
        <v>325.80499999999995</v>
      </c>
      <c r="AD131" s="6">
        <f>2.67+10.5+21+3+0+1.5+160+4.5+0+8+9.3+4+0+3.3+12.8+0.5+0</f>
        <v>241.07000000000005</v>
      </c>
      <c r="AE131" s="6">
        <f>2.67+18+6+12+4+1+160+5+0+19+4+1+0.25+38.1+4.4+2+0</f>
        <v>277.42</v>
      </c>
      <c r="AF131" s="6">
        <f>26.67+3+12+0+28+15+160+2+8+9+26.7+12+0.25+132.5+1.6+16+20</f>
        <v>472.72</v>
      </c>
      <c r="AG131" s="6">
        <f>1.33+0+0+0+4+1+160+0+1+3+0+1+0.25+16.9+0+1+0</f>
        <v>189.48000000000002</v>
      </c>
      <c r="AH131" s="6">
        <f>546.7+570+90+140+72+115+160+360+150+370+66.7+0+42.5+2007+172+120+60</f>
        <v>5041.8999999999996</v>
      </c>
      <c r="AI131" s="6">
        <f t="shared" si="218"/>
        <v>9.0730736027179806E-2</v>
      </c>
      <c r="AJ131" s="6">
        <f t="shared" si="219"/>
        <v>6.7133587679968826E-2</v>
      </c>
      <c r="AK131" s="6">
        <f t="shared" si="220"/>
        <v>7.7256398117463584E-2</v>
      </c>
      <c r="AL131" s="6">
        <f t="shared" si="221"/>
        <v>0.13164387757943691</v>
      </c>
      <c r="AM131" s="6">
        <f t="shared" si="222"/>
        <v>5.276671586510346E-2</v>
      </c>
      <c r="AN131" s="6">
        <f t="shared" si="223"/>
        <v>1.4040769723467652</v>
      </c>
      <c r="AO131" s="7">
        <v>4</v>
      </c>
      <c r="AP131" s="7">
        <v>2</v>
      </c>
      <c r="AQ131" s="7">
        <v>0</v>
      </c>
      <c r="AR131" s="10">
        <v>0</v>
      </c>
      <c r="AS131" s="7">
        <v>0</v>
      </c>
      <c r="AT131" s="7">
        <v>0</v>
      </c>
      <c r="AU131" s="7">
        <v>0</v>
      </c>
      <c r="AV131" s="7">
        <v>0</v>
      </c>
      <c r="AW131" s="7">
        <v>31</v>
      </c>
      <c r="AX131" s="7">
        <v>1</v>
      </c>
      <c r="AY131" s="5">
        <v>6</v>
      </c>
      <c r="AZ131" s="7">
        <v>1</v>
      </c>
      <c r="BA131" s="7">
        <v>0</v>
      </c>
      <c r="BB131" s="7">
        <v>1</v>
      </c>
      <c r="BC131" s="7">
        <v>1</v>
      </c>
      <c r="BD131" s="7">
        <v>1</v>
      </c>
      <c r="BE131" s="7">
        <v>0</v>
      </c>
      <c r="BF131" s="7">
        <v>0</v>
      </c>
      <c r="BG131" s="7">
        <v>0</v>
      </c>
      <c r="BH131" s="7">
        <v>0</v>
      </c>
      <c r="BI131" s="7">
        <v>0</v>
      </c>
      <c r="BJ131" s="7">
        <v>1</v>
      </c>
      <c r="BK131" s="11">
        <v>2</v>
      </c>
      <c r="BL131" s="3" t="s">
        <v>976</v>
      </c>
      <c r="BM131" s="3">
        <v>0</v>
      </c>
    </row>
    <row r="132" spans="1:65" ht="20.100000000000001" customHeight="1" x14ac:dyDescent="0.3">
      <c r="A132" s="3" t="s">
        <v>16</v>
      </c>
      <c r="B132" s="3">
        <v>0</v>
      </c>
      <c r="C132" s="8">
        <v>44341</v>
      </c>
      <c r="D132" s="9">
        <v>0.92013888888888884</v>
      </c>
      <c r="E132" s="4">
        <v>72</v>
      </c>
      <c r="F132" s="3">
        <v>0</v>
      </c>
      <c r="G132" s="3">
        <v>0</v>
      </c>
      <c r="H132" s="3">
        <v>0</v>
      </c>
      <c r="I132" s="3">
        <v>0</v>
      </c>
      <c r="J132" s="9">
        <v>0.45624999999999999</v>
      </c>
      <c r="K132" s="3">
        <v>140.80000000000001</v>
      </c>
      <c r="L132" s="11">
        <f t="shared" ref="L132" si="228">K132-K131</f>
        <v>-1.7999999999999829</v>
      </c>
      <c r="M132" s="5">
        <f t="shared" ref="M132" si="229">AB131</f>
        <v>3590.9</v>
      </c>
      <c r="N132" s="11">
        <v>30.75</v>
      </c>
      <c r="O132" s="11">
        <v>31.75</v>
      </c>
      <c r="P132" s="11">
        <v>10.625</v>
      </c>
      <c r="Q132" s="11">
        <v>10.625</v>
      </c>
      <c r="R132" s="11">
        <v>19.75</v>
      </c>
      <c r="S132" s="11">
        <v>19.75</v>
      </c>
      <c r="T132" s="11">
        <v>15</v>
      </c>
      <c r="U132" s="11">
        <v>12</v>
      </c>
      <c r="V132" s="11">
        <v>17</v>
      </c>
      <c r="W132" s="11">
        <v>15</v>
      </c>
      <c r="X132" s="11">
        <v>7</v>
      </c>
      <c r="Y132" s="11">
        <v>7</v>
      </c>
      <c r="Z132" s="3" t="s">
        <v>755</v>
      </c>
      <c r="AA132" s="10" t="s">
        <v>754</v>
      </c>
      <c r="AB132" s="5">
        <f>640+160+120+240+240+160+576+200+360+400+50+220</f>
        <v>3366</v>
      </c>
      <c r="AC132" s="6">
        <f>8+10+0+6+20+10+33.6+16+0+24+3+13</f>
        <v>143.6</v>
      </c>
      <c r="AD132" s="6">
        <f>0+7+0+4+14+1.5+19.2+9+0+14+3+8</f>
        <v>79.7</v>
      </c>
      <c r="AE132" s="6">
        <f>8+12+0+4+4+1+45.5+10+0+6+0+2</f>
        <v>92.5</v>
      </c>
      <c r="AF132" s="6">
        <f>128+2+32+40+8+15+21.6+4+100+40+6+24</f>
        <v>420.6</v>
      </c>
      <c r="AG132" s="6">
        <f>20+0+4+2+0+1+7.2+2+0+0+0+2</f>
        <v>38.200000000000003</v>
      </c>
      <c r="AH132" s="6">
        <f>800+380+600+820+60+115+888+720+120+100+0+0</f>
        <v>4603</v>
      </c>
      <c r="AI132" s="6">
        <f t="shared" si="218"/>
        <v>4.2661913250148543E-2</v>
      </c>
      <c r="AJ132" s="6">
        <f t="shared" si="219"/>
        <v>2.3677956030897208E-2</v>
      </c>
      <c r="AK132" s="6">
        <f t="shared" si="220"/>
        <v>2.7480689245395127E-2</v>
      </c>
      <c r="AL132" s="6">
        <f t="shared" si="221"/>
        <v>0.12495543672014262</v>
      </c>
      <c r="AM132" s="6">
        <f t="shared" si="222"/>
        <v>1.1348781937017232E-2</v>
      </c>
      <c r="AN132" s="6">
        <f t="shared" si="223"/>
        <v>1.3674985145573382</v>
      </c>
      <c r="AO132" s="7">
        <v>5</v>
      </c>
      <c r="AP132" s="7">
        <v>1</v>
      </c>
      <c r="AQ132" s="7">
        <v>1</v>
      </c>
      <c r="AR132" s="10">
        <v>0</v>
      </c>
      <c r="AS132" s="7">
        <v>0</v>
      </c>
      <c r="AT132" s="7">
        <v>0</v>
      </c>
      <c r="AU132" s="7">
        <v>0</v>
      </c>
      <c r="AV132" s="7">
        <v>0</v>
      </c>
      <c r="AW132" s="7">
        <v>0</v>
      </c>
      <c r="AX132" s="7">
        <v>1</v>
      </c>
      <c r="AY132" s="5">
        <v>5.5</v>
      </c>
      <c r="AZ132" s="7">
        <v>1</v>
      </c>
      <c r="BA132" s="7">
        <v>0</v>
      </c>
      <c r="BB132" s="7">
        <v>0</v>
      </c>
      <c r="BC132" s="7">
        <v>1</v>
      </c>
      <c r="BD132" s="7">
        <v>1</v>
      </c>
      <c r="BE132" s="7">
        <v>0</v>
      </c>
      <c r="BF132" s="7">
        <v>0</v>
      </c>
      <c r="BG132" s="7">
        <v>0</v>
      </c>
      <c r="BH132" s="7">
        <v>0</v>
      </c>
      <c r="BI132" s="7">
        <v>0</v>
      </c>
      <c r="BJ132" s="7">
        <v>1</v>
      </c>
      <c r="BK132" s="11">
        <v>3</v>
      </c>
      <c r="BL132" s="3" t="s">
        <v>976</v>
      </c>
      <c r="BM132" s="3">
        <v>0</v>
      </c>
    </row>
    <row r="133" spans="1:65" ht="20.100000000000001" customHeight="1" x14ac:dyDescent="0.3">
      <c r="A133" s="3" t="s">
        <v>17</v>
      </c>
      <c r="B133" s="3">
        <v>1</v>
      </c>
      <c r="C133" s="8">
        <v>44342</v>
      </c>
      <c r="D133" s="9">
        <v>0.87430555555555556</v>
      </c>
      <c r="E133" s="4">
        <v>66</v>
      </c>
      <c r="F133" s="3">
        <v>0</v>
      </c>
      <c r="G133" s="3">
        <v>0</v>
      </c>
      <c r="H133" s="3">
        <v>0</v>
      </c>
      <c r="I133" s="3">
        <v>0</v>
      </c>
      <c r="J133" s="9">
        <v>0.32361111111111113</v>
      </c>
      <c r="K133" s="3">
        <v>143.6</v>
      </c>
      <c r="L133" s="11">
        <f t="shared" ref="L133" si="230">K133-K132</f>
        <v>2.7999999999999829</v>
      </c>
      <c r="M133" s="5">
        <f t="shared" ref="M133" si="231">AB132</f>
        <v>3366</v>
      </c>
      <c r="N133" s="11">
        <v>31</v>
      </c>
      <c r="O133" s="11">
        <v>32</v>
      </c>
      <c r="P133" s="11">
        <v>10.625</v>
      </c>
      <c r="Q133" s="11">
        <v>10.625</v>
      </c>
      <c r="R133" s="11">
        <v>19.5</v>
      </c>
      <c r="S133" s="11">
        <v>19.875</v>
      </c>
      <c r="T133" s="11">
        <v>13</v>
      </c>
      <c r="U133" s="11">
        <v>10</v>
      </c>
      <c r="V133" s="11">
        <v>15</v>
      </c>
      <c r="W133" s="11">
        <v>15</v>
      </c>
      <c r="X133" s="11">
        <v>7</v>
      </c>
      <c r="Y133" s="11">
        <v>7</v>
      </c>
      <c r="Z133" s="3" t="s">
        <v>763</v>
      </c>
      <c r="AA133" s="10" t="s">
        <v>762</v>
      </c>
      <c r="AB133" s="5">
        <f>266.7+220+40+240+640+330+220+230+180+100+140+130+80+30+50+160+180</f>
        <v>3236.7</v>
      </c>
      <c r="AC133" s="6">
        <f>16+13+3+5+34+17+14+9+15+8+7+5+1+0+4+10+15</f>
        <v>176</v>
      </c>
      <c r="AD133" s="6">
        <f>9.3+8+0+0+20+10+8+2+10.5+4.5+0.5+0.5+0+0+2.25+1.5+10.5</f>
        <v>87.55</v>
      </c>
      <c r="AE133" s="6">
        <f>4+2+1+40+12+10+1+9+3+5+2+16+1+0+2.5+1+3</f>
        <v>112.5</v>
      </c>
      <c r="AF133" s="6">
        <f>26.7+24+2+10+70+34+34+40+6+2+16+8+16+8+1+15+6</f>
        <v>318.7</v>
      </c>
      <c r="AG133" s="6">
        <f>0+2+1+4+0+1+0+5+0+0+1+4+2.5+1+0+1+0</f>
        <v>22.5</v>
      </c>
      <c r="AH133" s="6">
        <f>66.7+0+180+680+860+270+180+580+45+360+120+390+100+150+180+115+45</f>
        <v>4321.7</v>
      </c>
      <c r="AI133" s="6">
        <f t="shared" si="218"/>
        <v>5.4376370995149387E-2</v>
      </c>
      <c r="AJ133" s="6">
        <f t="shared" si="219"/>
        <v>2.7049155003553003E-2</v>
      </c>
      <c r="AK133" s="6">
        <f t="shared" si="220"/>
        <v>3.4757623505422192E-2</v>
      </c>
      <c r="AL133" s="6">
        <f t="shared" si="221"/>
        <v>9.8464485432693802E-2</v>
      </c>
      <c r="AM133" s="6">
        <f t="shared" si="222"/>
        <v>6.9515247010844385E-3</v>
      </c>
      <c r="AN133" s="6">
        <f t="shared" si="223"/>
        <v>1.3352179689189607</v>
      </c>
      <c r="AO133" s="7">
        <v>5</v>
      </c>
      <c r="AP133" s="7">
        <v>2</v>
      </c>
      <c r="AQ133" s="7">
        <v>1</v>
      </c>
      <c r="AR133" s="10">
        <v>0</v>
      </c>
      <c r="AS133" s="7">
        <v>0</v>
      </c>
      <c r="AT133" s="7">
        <v>0</v>
      </c>
      <c r="AU133" s="7">
        <v>0</v>
      </c>
      <c r="AV133" s="7">
        <v>0</v>
      </c>
      <c r="AW133" s="7">
        <v>31</v>
      </c>
      <c r="AX133" s="7">
        <v>1</v>
      </c>
      <c r="AY133" s="5">
        <v>5.5</v>
      </c>
      <c r="AZ133" s="7">
        <v>0</v>
      </c>
      <c r="BA133" s="7">
        <v>0</v>
      </c>
      <c r="BB133" s="7">
        <v>0</v>
      </c>
      <c r="BC133" s="7">
        <v>1</v>
      </c>
      <c r="BD133" s="7">
        <v>1</v>
      </c>
      <c r="BE133" s="7">
        <v>2</v>
      </c>
      <c r="BF133" s="7">
        <v>0</v>
      </c>
      <c r="BG133" s="7">
        <v>0</v>
      </c>
      <c r="BH133" s="7">
        <v>0</v>
      </c>
      <c r="BI133" s="7">
        <v>0</v>
      </c>
      <c r="BJ133" s="7">
        <v>1</v>
      </c>
      <c r="BK133" s="11">
        <v>2</v>
      </c>
      <c r="BL133" s="3" t="s">
        <v>976</v>
      </c>
      <c r="BM133" s="3">
        <v>0</v>
      </c>
    </row>
    <row r="134" spans="1:65" ht="20.100000000000001" customHeight="1" x14ac:dyDescent="0.3">
      <c r="A134" s="3" t="s">
        <v>18</v>
      </c>
      <c r="B134" s="3">
        <v>2</v>
      </c>
      <c r="C134" s="8">
        <v>44343</v>
      </c>
      <c r="D134" s="9">
        <v>0.42291666666666666</v>
      </c>
      <c r="E134" s="4">
        <v>63</v>
      </c>
      <c r="F134" s="3">
        <v>0</v>
      </c>
      <c r="G134" s="3">
        <v>0</v>
      </c>
      <c r="H134" s="3">
        <v>0</v>
      </c>
      <c r="I134" s="3">
        <v>0</v>
      </c>
      <c r="J134" s="9">
        <v>0.83263888888888893</v>
      </c>
      <c r="K134" s="3">
        <v>142</v>
      </c>
      <c r="L134" s="11">
        <f t="shared" ref="L134" si="232">K134-K133</f>
        <v>-1.5999999999999943</v>
      </c>
      <c r="M134" s="5">
        <f t="shared" ref="M134" si="233">AB133</f>
        <v>3236.7</v>
      </c>
      <c r="N134" s="11">
        <v>31</v>
      </c>
      <c r="O134" s="11">
        <v>32</v>
      </c>
      <c r="P134" s="11">
        <v>10.5</v>
      </c>
      <c r="Q134" s="11">
        <v>10.625</v>
      </c>
      <c r="R134" s="11">
        <v>19.75</v>
      </c>
      <c r="S134" s="11">
        <v>19.875</v>
      </c>
      <c r="T134" s="11">
        <v>11</v>
      </c>
      <c r="U134" s="11">
        <v>16</v>
      </c>
      <c r="V134" s="11">
        <v>17</v>
      </c>
      <c r="W134" s="11">
        <v>15</v>
      </c>
      <c r="X134" s="11">
        <v>7</v>
      </c>
      <c r="Y134" s="11">
        <v>7</v>
      </c>
      <c r="Z134" s="3" t="s">
        <v>766</v>
      </c>
      <c r="AA134" s="10" t="s">
        <v>765</v>
      </c>
      <c r="AB134" s="5">
        <f>160+280+160+100+75+560+400+120+220+320+360</f>
        <v>2755</v>
      </c>
      <c r="AC134" s="6">
        <f>32+52+2+2+20+94+40+5+29+30+12</f>
        <v>318</v>
      </c>
      <c r="AD134" s="6">
        <f>0+0+7+4.5+0+6+14+0+7+3+21</f>
        <v>62.5</v>
      </c>
      <c r="AE134" s="6">
        <f>2+12+12+5+0+14+6+20+3+2+6</f>
        <v>82</v>
      </c>
      <c r="AF134" s="6">
        <f>32+52+2+2+20+94+40+5+29+30+12</f>
        <v>318</v>
      </c>
      <c r="AG134" s="6">
        <f>5+8+0+1+2.5+6+0+2+0+2+0</f>
        <v>26.5</v>
      </c>
      <c r="AH134" s="6">
        <f>200+420+380+375+1060+100+340+75+230+90</f>
        <v>3270</v>
      </c>
      <c r="AI134" s="6">
        <f t="shared" si="218"/>
        <v>0.11542649727767695</v>
      </c>
      <c r="AJ134" s="6">
        <f t="shared" si="219"/>
        <v>2.2686025408348458E-2</v>
      </c>
      <c r="AK134" s="6">
        <f t="shared" si="220"/>
        <v>2.9764065335753175E-2</v>
      </c>
      <c r="AL134" s="6">
        <f t="shared" si="221"/>
        <v>0.11542649727767695</v>
      </c>
      <c r="AM134" s="6">
        <f t="shared" si="222"/>
        <v>9.6188747731397461E-3</v>
      </c>
      <c r="AN134" s="6">
        <f t="shared" si="223"/>
        <v>1.1869328493647913</v>
      </c>
      <c r="AO134" s="7">
        <v>4</v>
      </c>
      <c r="AP134" s="7">
        <v>1</v>
      </c>
      <c r="AQ134" s="7">
        <v>1</v>
      </c>
      <c r="AR134" s="10">
        <v>0</v>
      </c>
      <c r="AS134" s="7">
        <v>0</v>
      </c>
      <c r="AT134" s="7">
        <v>0</v>
      </c>
      <c r="AU134" s="7">
        <v>0</v>
      </c>
      <c r="AV134" s="7">
        <v>0</v>
      </c>
      <c r="AW134" s="7">
        <v>0</v>
      </c>
      <c r="AX134" s="7">
        <v>0</v>
      </c>
      <c r="AY134" s="5">
        <v>6</v>
      </c>
      <c r="AZ134" s="7">
        <v>0</v>
      </c>
      <c r="BA134" s="7">
        <v>0</v>
      </c>
      <c r="BB134" s="7">
        <v>0</v>
      </c>
      <c r="BC134" s="7">
        <v>1</v>
      </c>
      <c r="BD134" s="7">
        <v>1</v>
      </c>
      <c r="BE134" s="7">
        <v>1</v>
      </c>
      <c r="BF134" s="7">
        <v>0</v>
      </c>
      <c r="BG134" s="7">
        <v>0</v>
      </c>
      <c r="BH134" s="7">
        <v>0</v>
      </c>
      <c r="BI134" s="7">
        <v>0</v>
      </c>
      <c r="BJ134" s="7">
        <v>1</v>
      </c>
      <c r="BK134" s="11">
        <v>2</v>
      </c>
      <c r="BL134" s="3" t="s">
        <v>976</v>
      </c>
      <c r="BM134" s="3">
        <v>0</v>
      </c>
    </row>
    <row r="135" spans="1:65" ht="20.100000000000001" customHeight="1" x14ac:dyDescent="0.3">
      <c r="A135" s="3" t="s">
        <v>137</v>
      </c>
      <c r="B135" s="3">
        <v>3</v>
      </c>
      <c r="C135" s="8">
        <v>44344</v>
      </c>
      <c r="D135" s="9">
        <v>0.78819444444444453</v>
      </c>
      <c r="E135" s="4">
        <v>76</v>
      </c>
      <c r="F135" s="3">
        <v>0</v>
      </c>
      <c r="G135" s="3">
        <v>0</v>
      </c>
      <c r="H135" s="3">
        <v>0</v>
      </c>
      <c r="I135" s="3">
        <v>0</v>
      </c>
      <c r="J135" s="9">
        <v>0.3125</v>
      </c>
      <c r="K135" s="3">
        <v>142</v>
      </c>
      <c r="L135" s="11">
        <f t="shared" ref="L135" si="234">K135-K134</f>
        <v>0</v>
      </c>
      <c r="M135" s="5">
        <f t="shared" ref="M135" si="235">AB134</f>
        <v>2755</v>
      </c>
      <c r="N135" s="11">
        <v>39.75</v>
      </c>
      <c r="O135" s="11">
        <v>32.25</v>
      </c>
      <c r="P135" s="11">
        <v>10.625</v>
      </c>
      <c r="Q135" s="11">
        <v>10.625</v>
      </c>
      <c r="R135" s="11">
        <v>19.875</v>
      </c>
      <c r="S135" s="11">
        <v>19.75</v>
      </c>
      <c r="T135" s="11">
        <v>14</v>
      </c>
      <c r="U135" s="11">
        <v>11</v>
      </c>
      <c r="V135" s="11">
        <v>16</v>
      </c>
      <c r="W135" s="11">
        <v>16</v>
      </c>
      <c r="X135" s="11">
        <v>7</v>
      </c>
      <c r="Y135" s="11">
        <v>7</v>
      </c>
      <c r="Z135" s="3" t="s">
        <v>767</v>
      </c>
      <c r="AA135" s="10" t="s">
        <v>773</v>
      </c>
      <c r="AB135" s="5">
        <f>120+220+30+410+150+140+100+40+160+180</f>
        <v>1550</v>
      </c>
      <c r="AC135" s="6">
        <f>2.5+13+2.5+28+8+2+8+2.5+10+15</f>
        <v>91.5</v>
      </c>
      <c r="AD135" s="6">
        <f>0+8+0+13.5+1+0+4.5+1.75+1.5+10.5</f>
        <v>40.75</v>
      </c>
      <c r="AE135" s="6">
        <f>20+3+1+19+16+6+5+3+1+3</f>
        <v>77</v>
      </c>
      <c r="AF135" s="6">
        <f>5+26+1+19+6+26+2+0.5+15+6</f>
        <v>106.5</v>
      </c>
      <c r="AG135" s="6">
        <f>2+1+1+6+3+4+0+0+1+0</f>
        <v>18</v>
      </c>
      <c r="AH135" s="6">
        <f>340+35+170+990+400+210+360+95+115+45</f>
        <v>2760</v>
      </c>
      <c r="AI135" s="6">
        <f t="shared" si="218"/>
        <v>5.9032258064516126E-2</v>
      </c>
      <c r="AJ135" s="6">
        <f t="shared" si="219"/>
        <v>2.6290322580645162E-2</v>
      </c>
      <c r="AK135" s="6">
        <f t="shared" si="220"/>
        <v>4.9677419354838707E-2</v>
      </c>
      <c r="AL135" s="6">
        <f t="shared" si="221"/>
        <v>6.8709677419354839E-2</v>
      </c>
      <c r="AM135" s="6">
        <f t="shared" si="222"/>
        <v>1.1612903225806452E-2</v>
      </c>
      <c r="AN135" s="6">
        <f t="shared" si="223"/>
        <v>1.7806451612903227</v>
      </c>
      <c r="AO135" s="7">
        <v>4</v>
      </c>
      <c r="AP135" s="7">
        <v>1</v>
      </c>
      <c r="AQ135" s="7">
        <v>1</v>
      </c>
      <c r="AR135" s="10">
        <v>0</v>
      </c>
      <c r="AS135" s="7">
        <v>0</v>
      </c>
      <c r="AT135" s="7">
        <v>0</v>
      </c>
      <c r="AU135" s="7">
        <v>0</v>
      </c>
      <c r="AV135" s="7">
        <v>0</v>
      </c>
      <c r="AW135" s="7">
        <v>31</v>
      </c>
      <c r="AX135" s="7">
        <v>1</v>
      </c>
      <c r="AY135" s="5">
        <v>6.5</v>
      </c>
      <c r="AZ135" s="7">
        <v>0</v>
      </c>
      <c r="BA135" s="7">
        <v>0</v>
      </c>
      <c r="BB135" s="7">
        <v>0</v>
      </c>
      <c r="BC135" s="7">
        <v>1</v>
      </c>
      <c r="BD135" s="7">
        <v>1</v>
      </c>
      <c r="BE135" s="7">
        <v>1</v>
      </c>
      <c r="BF135" s="7">
        <v>0</v>
      </c>
      <c r="BG135" s="7">
        <v>0</v>
      </c>
      <c r="BH135" s="7">
        <v>0</v>
      </c>
      <c r="BI135" s="7">
        <v>0</v>
      </c>
      <c r="BJ135" s="7">
        <v>1</v>
      </c>
      <c r="BK135" s="11">
        <v>2</v>
      </c>
      <c r="BL135" s="3" t="s">
        <v>976</v>
      </c>
      <c r="BM135" s="3">
        <v>0</v>
      </c>
    </row>
    <row r="136" spans="1:65" ht="20.100000000000001" customHeight="1" x14ac:dyDescent="0.3">
      <c r="A136" s="3" t="s">
        <v>19</v>
      </c>
      <c r="B136" s="3">
        <v>4</v>
      </c>
      <c r="C136" s="8">
        <v>44345</v>
      </c>
      <c r="D136" s="9">
        <v>0.81041666666666667</v>
      </c>
      <c r="E136" s="4">
        <v>71</v>
      </c>
      <c r="F136" s="3">
        <v>0</v>
      </c>
      <c r="G136" s="3">
        <v>0</v>
      </c>
      <c r="H136" s="3">
        <v>0</v>
      </c>
      <c r="I136" s="3">
        <v>0</v>
      </c>
      <c r="J136" s="9">
        <v>0.28819444444444448</v>
      </c>
      <c r="K136" s="3">
        <v>142</v>
      </c>
      <c r="L136" s="11">
        <f t="shared" ref="L136" si="236">K136-K135</f>
        <v>0</v>
      </c>
      <c r="M136" s="5">
        <f t="shared" ref="M136" si="237">AB135</f>
        <v>1550</v>
      </c>
      <c r="N136" s="11">
        <v>30.25</v>
      </c>
      <c r="O136" s="11">
        <v>31.75</v>
      </c>
      <c r="P136" s="11">
        <v>10.5</v>
      </c>
      <c r="Q136" s="11">
        <v>10.625</v>
      </c>
      <c r="R136" s="11">
        <v>19.625</v>
      </c>
      <c r="S136" s="11">
        <v>19.625</v>
      </c>
      <c r="T136" s="11">
        <v>15</v>
      </c>
      <c r="U136" s="11">
        <v>11</v>
      </c>
      <c r="V136" s="11">
        <v>17</v>
      </c>
      <c r="W136" s="11">
        <v>17</v>
      </c>
      <c r="X136" s="11">
        <v>7</v>
      </c>
      <c r="Y136" s="11">
        <v>7</v>
      </c>
      <c r="Z136" s="3" t="s">
        <v>777</v>
      </c>
      <c r="AA136" s="10" t="s">
        <v>776</v>
      </c>
      <c r="AB136" s="5">
        <f>400+320+330+480+105+160+150+580+100+80+75+210</f>
        <v>2990</v>
      </c>
      <c r="AC136" s="6">
        <f>10+17+21+26+4.5+6+8+7+8+5+0+9.5</f>
        <v>122</v>
      </c>
      <c r="AD136" s="6">
        <f>5+10+12+5+0+1+1+0+4.5+3.5+0+7.25</f>
        <v>49.25</v>
      </c>
      <c r="AE136" s="6">
        <f>4+6+5+6+0+9+16+8+5+6+0+6</f>
        <v>71</v>
      </c>
      <c r="AF136" s="6">
        <f>74+35+30+59+15+19+6+120+2+1+20+22.5</f>
        <v>403.5</v>
      </c>
      <c r="AG136" s="6">
        <f>1+0+2+0+0+3+3+14+1+0+2.5+1</f>
        <v>27.5</v>
      </c>
      <c r="AH136" s="6">
        <f>240+430+280+590+45+320+400+1420+360+190+375+680</f>
        <v>5330</v>
      </c>
      <c r="AI136" s="6">
        <f t="shared" si="218"/>
        <v>4.0802675585284283E-2</v>
      </c>
      <c r="AJ136" s="6">
        <f t="shared" si="219"/>
        <v>1.6471571906354517E-2</v>
      </c>
      <c r="AK136" s="6">
        <f t="shared" si="220"/>
        <v>2.374581939799331E-2</v>
      </c>
      <c r="AL136" s="6">
        <f t="shared" si="221"/>
        <v>0.13494983277591974</v>
      </c>
      <c r="AM136" s="6">
        <f t="shared" si="222"/>
        <v>9.1973244147157199E-3</v>
      </c>
      <c r="AN136" s="6">
        <f t="shared" si="223"/>
        <v>1.7826086956521738</v>
      </c>
      <c r="AO136" s="7">
        <v>5</v>
      </c>
      <c r="AP136" s="7">
        <v>1</v>
      </c>
      <c r="AQ136" s="7">
        <v>1</v>
      </c>
      <c r="AR136" s="10">
        <v>0</v>
      </c>
      <c r="AS136" s="7">
        <v>0</v>
      </c>
      <c r="AT136" s="7">
        <v>0</v>
      </c>
      <c r="AU136" s="7">
        <v>0</v>
      </c>
      <c r="AV136" s="7">
        <v>0</v>
      </c>
      <c r="AW136" s="7">
        <v>31</v>
      </c>
      <c r="AX136" s="7">
        <v>1</v>
      </c>
      <c r="AY136" s="5">
        <v>6</v>
      </c>
      <c r="AZ136" s="7">
        <v>0</v>
      </c>
      <c r="BA136" s="7">
        <v>0</v>
      </c>
      <c r="BB136" s="7">
        <v>0</v>
      </c>
      <c r="BC136" s="7">
        <v>1</v>
      </c>
      <c r="BD136" s="7">
        <v>1</v>
      </c>
      <c r="BE136" s="7">
        <v>0</v>
      </c>
      <c r="BF136" s="7">
        <v>0</v>
      </c>
      <c r="BG136" s="7">
        <v>0</v>
      </c>
      <c r="BH136" s="7">
        <v>0</v>
      </c>
      <c r="BI136" s="7">
        <v>0</v>
      </c>
      <c r="BJ136" s="7">
        <v>1</v>
      </c>
      <c r="BK136" s="11">
        <v>2</v>
      </c>
      <c r="BL136" s="3" t="s">
        <v>979</v>
      </c>
      <c r="BM136" s="3">
        <v>0</v>
      </c>
    </row>
    <row r="137" spans="1:65" ht="20.100000000000001" customHeight="1" x14ac:dyDescent="0.3">
      <c r="A137" s="3" t="s">
        <v>23</v>
      </c>
      <c r="B137" s="3">
        <v>5</v>
      </c>
      <c r="C137" s="8">
        <v>44346</v>
      </c>
      <c r="D137" s="9">
        <v>0.27083333333333331</v>
      </c>
      <c r="E137" s="4">
        <v>60</v>
      </c>
      <c r="F137" s="3">
        <v>0</v>
      </c>
      <c r="G137" s="3">
        <v>0</v>
      </c>
      <c r="H137" s="3">
        <v>0</v>
      </c>
      <c r="I137" s="3">
        <v>0</v>
      </c>
      <c r="J137" s="9">
        <v>0.27083333333333331</v>
      </c>
      <c r="K137" s="3">
        <v>142.80000000000001</v>
      </c>
      <c r="L137" s="11">
        <f t="shared" ref="L137" si="238">K137-K136</f>
        <v>0.80000000000001137</v>
      </c>
      <c r="M137" s="5">
        <f t="shared" ref="M137" si="239">AB136</f>
        <v>2990</v>
      </c>
      <c r="N137" s="11">
        <v>31</v>
      </c>
      <c r="O137" s="11">
        <v>32.5</v>
      </c>
      <c r="P137" s="11">
        <v>10.5</v>
      </c>
      <c r="Q137" s="11">
        <v>10.625</v>
      </c>
      <c r="R137" s="11">
        <v>19.75</v>
      </c>
      <c r="S137" s="11">
        <v>19.75</v>
      </c>
      <c r="T137" s="11">
        <v>15</v>
      </c>
      <c r="U137" s="11">
        <v>11</v>
      </c>
      <c r="V137" s="11">
        <v>17</v>
      </c>
      <c r="W137" s="11">
        <v>17</v>
      </c>
      <c r="X137" s="11">
        <v>7</v>
      </c>
      <c r="Y137" s="11">
        <v>7</v>
      </c>
      <c r="Z137" s="3" t="s">
        <v>783</v>
      </c>
      <c r="AA137" s="10" t="s">
        <v>782</v>
      </c>
      <c r="AB137" s="5">
        <f>210+320+30+290+160+75+120+670+450+170+80+20</f>
        <v>2595</v>
      </c>
      <c r="AC137" s="6">
        <f>9.5+12+0+3.5+10+0+8.5+26+30+2+1+0</f>
        <v>102.5</v>
      </c>
      <c r="AD137" s="6">
        <f>7.25+2+0+0+7+0+0+8+12.5+0+0+0</f>
        <v>36.75</v>
      </c>
      <c r="AE137" s="6">
        <f>6+18+2+4+12+0+2+21+10+2+1+0</f>
        <v>78</v>
      </c>
      <c r="AF137" s="6">
        <f>22.5+38+6+60+2+20+22+88+35+37+16+0</f>
        <v>346.5</v>
      </c>
      <c r="AG137" s="6">
        <f>1+6+2+7+0+2.5+1+5+5+4+2.5+0</f>
        <v>36</v>
      </c>
      <c r="AH137" s="6">
        <f>680+640+5+710+380+375+160+1330+50+340+100+200</f>
        <v>4970</v>
      </c>
      <c r="AI137" s="6">
        <f t="shared" si="218"/>
        <v>3.9499036608863197E-2</v>
      </c>
      <c r="AJ137" s="6">
        <f t="shared" si="219"/>
        <v>1.4161849710982659E-2</v>
      </c>
      <c r="AK137" s="6">
        <f t="shared" si="220"/>
        <v>3.0057803468208091E-2</v>
      </c>
      <c r="AL137" s="6">
        <f t="shared" si="221"/>
        <v>0.13352601156069363</v>
      </c>
      <c r="AM137" s="6">
        <f t="shared" si="222"/>
        <v>1.3872832369942197E-2</v>
      </c>
      <c r="AN137" s="6">
        <f t="shared" si="223"/>
        <v>1.9152215799614642</v>
      </c>
      <c r="AO137" s="7">
        <v>4</v>
      </c>
      <c r="AP137" s="7">
        <v>1</v>
      </c>
      <c r="AQ137" s="7">
        <v>1</v>
      </c>
      <c r="AR137" s="10">
        <v>0</v>
      </c>
      <c r="AS137" s="7">
        <v>0</v>
      </c>
      <c r="AT137" s="7">
        <v>0</v>
      </c>
      <c r="AU137" s="7">
        <v>0</v>
      </c>
      <c r="AV137" s="7">
        <v>0</v>
      </c>
      <c r="AW137" s="7">
        <v>31</v>
      </c>
      <c r="AX137" s="7">
        <v>1</v>
      </c>
      <c r="AY137" s="5">
        <v>7</v>
      </c>
      <c r="AZ137" s="7">
        <v>0</v>
      </c>
      <c r="BA137" s="7">
        <v>0</v>
      </c>
      <c r="BB137" s="7">
        <v>0</v>
      </c>
      <c r="BC137" s="7">
        <v>1</v>
      </c>
      <c r="BD137" s="7">
        <v>1</v>
      </c>
      <c r="BE137" s="7">
        <v>0</v>
      </c>
      <c r="BF137" s="7">
        <v>0</v>
      </c>
      <c r="BG137" s="7">
        <v>0</v>
      </c>
      <c r="BH137" s="7">
        <v>0</v>
      </c>
      <c r="BI137" s="7">
        <v>0</v>
      </c>
      <c r="BJ137" s="7">
        <v>1</v>
      </c>
      <c r="BK137" s="11">
        <v>4</v>
      </c>
      <c r="BL137" s="3" t="s">
        <v>979</v>
      </c>
      <c r="BM137" s="3">
        <v>0</v>
      </c>
    </row>
    <row r="138" spans="1:65" ht="20.100000000000001" customHeight="1" x14ac:dyDescent="0.3">
      <c r="A138" s="3" t="s">
        <v>15</v>
      </c>
      <c r="B138" s="3">
        <v>6</v>
      </c>
      <c r="C138" s="8">
        <v>44347</v>
      </c>
      <c r="D138" s="9">
        <v>0.81805555555555554</v>
      </c>
      <c r="E138" s="4">
        <v>74</v>
      </c>
      <c r="F138" s="3">
        <v>0</v>
      </c>
      <c r="G138" s="3">
        <v>0</v>
      </c>
      <c r="H138" s="3">
        <v>0</v>
      </c>
      <c r="I138" s="3">
        <v>0</v>
      </c>
      <c r="J138" s="9">
        <v>0.58819444444444446</v>
      </c>
      <c r="K138" s="3">
        <v>144.19999999999999</v>
      </c>
      <c r="L138" s="11">
        <f t="shared" ref="L138:L139" si="240">K138-K137</f>
        <v>1.3999999999999773</v>
      </c>
      <c r="M138" s="5">
        <f t="shared" ref="M138:M139" si="241">AB137</f>
        <v>2595</v>
      </c>
      <c r="N138" s="11">
        <v>30.5</v>
      </c>
      <c r="O138" s="11">
        <v>31.75</v>
      </c>
      <c r="P138" s="11">
        <v>10.5</v>
      </c>
      <c r="Q138" s="11">
        <v>10.5</v>
      </c>
      <c r="R138" s="11">
        <v>20.25</v>
      </c>
      <c r="S138" s="11">
        <v>20.25</v>
      </c>
      <c r="T138" s="11">
        <v>15</v>
      </c>
      <c r="U138" s="11">
        <v>12</v>
      </c>
      <c r="V138" s="11">
        <v>18</v>
      </c>
      <c r="W138" s="11">
        <v>15</v>
      </c>
      <c r="X138" s="11">
        <v>7</v>
      </c>
      <c r="Y138" s="11">
        <v>7</v>
      </c>
      <c r="Z138" s="3" t="s">
        <v>789</v>
      </c>
      <c r="AA138" s="10" t="s">
        <v>785</v>
      </c>
      <c r="AB138" s="5">
        <f>145+40+40+30+360+502.5+577.5+105+120+170+80+40+30+20+360</f>
        <v>2620</v>
      </c>
      <c r="AC138" s="6">
        <f>1.75+0.5+2.5+0+24+19.5+16.5+0+10+2+1+2.5+0+0+24</f>
        <v>104.25</v>
      </c>
      <c r="AD138" s="6">
        <f>0+0+1.75+0+10+6+2.75+0+7+0+0+1.75+0+0+10</f>
        <v>39.25</v>
      </c>
      <c r="AE138" s="6">
        <f>2+0.5+3+0+8+15.75+13.75+0+2+2+1+3+0+0+8</f>
        <v>59</v>
      </c>
      <c r="AF138" s="6">
        <f>30+8+0.5+8+28+66+88+27+4+37+16+0.5+8+0+28</f>
        <v>349</v>
      </c>
      <c r="AG138" s="6">
        <f>3.5+1.25+0+1+4+3.75+3.5+1.25+0+1+4+3.75+5.5+0+0+4+2.5+0+1+0+4+5.5+0+0</f>
        <v>49.5</v>
      </c>
      <c r="AH138" s="6">
        <f>355+50+95+150+40+997.5+1485+260+30+340+100+95+150+200+40</f>
        <v>4387.5</v>
      </c>
      <c r="AI138" s="6">
        <f t="shared" si="218"/>
        <v>3.9790076335877861E-2</v>
      </c>
      <c r="AJ138" s="6">
        <f t="shared" si="219"/>
        <v>1.4980916030534351E-2</v>
      </c>
      <c r="AK138" s="6">
        <f t="shared" si="220"/>
        <v>2.2519083969465649E-2</v>
      </c>
      <c r="AL138" s="6">
        <f t="shared" si="221"/>
        <v>0.13320610687022902</v>
      </c>
      <c r="AM138" s="6">
        <f t="shared" si="222"/>
        <v>1.8893129770992365E-2</v>
      </c>
      <c r="AN138" s="6">
        <f t="shared" si="223"/>
        <v>1.6746183206106871</v>
      </c>
      <c r="AO138" s="7">
        <v>3</v>
      </c>
      <c r="AP138" s="7">
        <v>1</v>
      </c>
      <c r="AQ138" s="7">
        <v>0</v>
      </c>
      <c r="AR138" s="10">
        <v>0</v>
      </c>
      <c r="AS138" s="7">
        <v>0</v>
      </c>
      <c r="AT138" s="7">
        <v>0</v>
      </c>
      <c r="AU138" s="7">
        <v>0</v>
      </c>
      <c r="AV138" s="7">
        <v>0</v>
      </c>
      <c r="AW138" s="7">
        <v>31</v>
      </c>
      <c r="AX138" s="7">
        <v>1</v>
      </c>
      <c r="AY138" s="5">
        <v>7.5</v>
      </c>
      <c r="AZ138" s="7">
        <v>0</v>
      </c>
      <c r="BA138" s="7">
        <v>0</v>
      </c>
      <c r="BB138" s="7">
        <v>0</v>
      </c>
      <c r="BC138" s="7">
        <v>1</v>
      </c>
      <c r="BD138" s="7">
        <v>1</v>
      </c>
      <c r="BE138" s="7">
        <v>0</v>
      </c>
      <c r="BF138" s="7">
        <v>1</v>
      </c>
      <c r="BG138" s="7">
        <v>15</v>
      </c>
      <c r="BH138" s="7">
        <v>0</v>
      </c>
      <c r="BI138" s="7">
        <v>0</v>
      </c>
      <c r="BJ138" s="7">
        <v>1</v>
      </c>
      <c r="BK138" s="11">
        <v>2</v>
      </c>
      <c r="BL138" s="3" t="s">
        <v>979</v>
      </c>
      <c r="BM138" s="3">
        <v>0</v>
      </c>
    </row>
    <row r="139" spans="1:65" ht="20.100000000000001" customHeight="1" x14ac:dyDescent="0.3">
      <c r="A139" s="3" t="s">
        <v>16</v>
      </c>
      <c r="B139" s="3">
        <v>7</v>
      </c>
      <c r="C139" s="8">
        <v>44348</v>
      </c>
      <c r="D139" s="9">
        <v>0.87986111111111109</v>
      </c>
      <c r="E139" s="4">
        <v>69</v>
      </c>
      <c r="F139" s="3">
        <v>0</v>
      </c>
      <c r="G139" s="3">
        <v>0</v>
      </c>
      <c r="H139" s="3">
        <v>0</v>
      </c>
      <c r="I139" s="3">
        <v>0</v>
      </c>
      <c r="J139" s="9">
        <v>0.63194444444444442</v>
      </c>
      <c r="K139" s="3">
        <v>144.19999999999999</v>
      </c>
      <c r="L139" s="11">
        <f t="shared" si="240"/>
        <v>0</v>
      </c>
      <c r="M139" s="5">
        <f t="shared" si="241"/>
        <v>2620</v>
      </c>
      <c r="N139" s="11">
        <v>32</v>
      </c>
      <c r="O139" s="11">
        <v>33.5</v>
      </c>
      <c r="P139" s="11">
        <v>10.5</v>
      </c>
      <c r="Q139" s="11">
        <v>10.5</v>
      </c>
      <c r="R139" s="11">
        <v>19.625</v>
      </c>
      <c r="S139" s="11">
        <v>19.75</v>
      </c>
      <c r="T139" s="11">
        <v>15</v>
      </c>
      <c r="U139" s="11">
        <v>15</v>
      </c>
      <c r="V139" s="11">
        <v>16</v>
      </c>
      <c r="W139" s="11">
        <v>13</v>
      </c>
      <c r="X139" s="11">
        <v>7</v>
      </c>
      <c r="Y139" s="11">
        <v>7</v>
      </c>
      <c r="Z139" s="3" t="s">
        <v>790</v>
      </c>
      <c r="AA139" s="10" t="s">
        <v>788</v>
      </c>
      <c r="AB139" s="5">
        <f>27.5+42.5+40+30+170+70+160+220+525+105+400+780+200+53.3</f>
        <v>2823.3</v>
      </c>
      <c r="AC139" s="6">
        <f>1.1+0.5+2.5+0+2+2.5+10+11+15+0+24+7.5+16.7+3.3</f>
        <v>96.1</v>
      </c>
      <c r="AD139" s="6">
        <f>0.1+0+1.75+0+0+0+7+7+2.5+0+14+4.5+11.7+2.3</f>
        <v>50.849999999999994</v>
      </c>
      <c r="AE139" s="6">
        <f>2.75+0.5+3+0+2+10+12+3+12.5+0+6+27+3.3+4</f>
        <v>86.05</v>
      </c>
      <c r="AF139" s="6">
        <f>2.25+9.25+0.5+8+37+4+2+29+80+27+40+144+6.67+0.67</f>
        <v>390.34000000000003</v>
      </c>
      <c r="AG139" s="6">
        <f>1+1+0+1+4+3+0+0+5+0+0+6+0+0</f>
        <v>21</v>
      </c>
      <c r="AH139" s="6">
        <f>97.5+85+95+150+340+210+380+75+1350+260+100+1680+50+126.7</f>
        <v>4999.2</v>
      </c>
      <c r="AI139" s="6">
        <f t="shared" si="218"/>
        <v>3.4038182268976015E-2</v>
      </c>
      <c r="AJ139" s="6">
        <f t="shared" si="219"/>
        <v>1.8010838380618423E-2</v>
      </c>
      <c r="AK139" s="6">
        <f t="shared" si="220"/>
        <v>3.0478518046257921E-2</v>
      </c>
      <c r="AL139" s="6">
        <f t="shared" si="221"/>
        <v>0.13825665001948076</v>
      </c>
      <c r="AM139" s="6">
        <f t="shared" si="222"/>
        <v>7.4381043459781099E-3</v>
      </c>
      <c r="AN139" s="6">
        <f t="shared" si="223"/>
        <v>1.7706938688768461</v>
      </c>
      <c r="AO139" s="7">
        <v>4</v>
      </c>
      <c r="AP139" s="7">
        <v>2</v>
      </c>
      <c r="AQ139" s="7">
        <v>0</v>
      </c>
      <c r="AR139" s="10">
        <v>0</v>
      </c>
      <c r="AS139" s="7">
        <v>0</v>
      </c>
      <c r="AT139" s="7">
        <v>0</v>
      </c>
      <c r="AU139" s="7">
        <v>0</v>
      </c>
      <c r="AV139" s="7">
        <v>0</v>
      </c>
      <c r="AW139" s="7">
        <v>0</v>
      </c>
      <c r="AX139" s="7">
        <v>0</v>
      </c>
      <c r="AY139" s="5">
        <v>7.5</v>
      </c>
      <c r="AZ139" s="7">
        <v>0</v>
      </c>
      <c r="BA139" s="7">
        <v>0</v>
      </c>
      <c r="BB139" s="7">
        <v>0</v>
      </c>
      <c r="BC139" s="7">
        <v>1</v>
      </c>
      <c r="BD139" s="7">
        <v>1</v>
      </c>
      <c r="BE139" s="7">
        <v>0</v>
      </c>
      <c r="BF139" s="7">
        <v>1</v>
      </c>
      <c r="BG139" s="7">
        <v>15</v>
      </c>
      <c r="BH139" s="7">
        <v>0</v>
      </c>
      <c r="BI139" s="7">
        <v>0</v>
      </c>
      <c r="BJ139" s="7">
        <v>1</v>
      </c>
      <c r="BK139" s="11">
        <v>2</v>
      </c>
      <c r="BL139" s="3" t="s">
        <v>979</v>
      </c>
      <c r="BM139" s="3">
        <v>0</v>
      </c>
    </row>
    <row r="140" spans="1:65" ht="20.100000000000001" customHeight="1" x14ac:dyDescent="0.3">
      <c r="A140" s="3" t="s">
        <v>17</v>
      </c>
      <c r="B140" s="3">
        <v>8</v>
      </c>
      <c r="C140" s="8">
        <v>44349</v>
      </c>
      <c r="D140" s="9">
        <v>0.91319444444444453</v>
      </c>
      <c r="E140" s="4">
        <v>67</v>
      </c>
      <c r="F140" s="3">
        <v>0</v>
      </c>
      <c r="G140" s="3">
        <v>0</v>
      </c>
      <c r="H140" s="3">
        <v>0</v>
      </c>
      <c r="I140" s="3">
        <v>0</v>
      </c>
      <c r="J140" s="9">
        <v>0.32083333333333336</v>
      </c>
      <c r="K140" s="3">
        <v>141.6</v>
      </c>
      <c r="L140" s="11">
        <f t="shared" ref="L140" si="242">K140-K139</f>
        <v>-2.5999999999999943</v>
      </c>
      <c r="M140" s="5">
        <f t="shared" ref="M140" si="243">AB139</f>
        <v>2823.3</v>
      </c>
      <c r="N140" s="11">
        <v>31</v>
      </c>
      <c r="O140" s="11">
        <v>32.25</v>
      </c>
      <c r="P140" s="11">
        <v>10.5</v>
      </c>
      <c r="Q140" s="11">
        <v>10.625</v>
      </c>
      <c r="R140" s="11">
        <v>19.75</v>
      </c>
      <c r="S140" s="11">
        <v>19.75</v>
      </c>
      <c r="T140" s="11">
        <v>14</v>
      </c>
      <c r="U140" s="11">
        <v>11</v>
      </c>
      <c r="V140" s="11">
        <v>16</v>
      </c>
      <c r="W140" s="11">
        <v>14</v>
      </c>
      <c r="X140" s="11">
        <v>7</v>
      </c>
      <c r="Y140" s="11">
        <v>7</v>
      </c>
      <c r="Z140" s="3" t="s">
        <v>791</v>
      </c>
      <c r="AA140" s="10" t="s">
        <v>795</v>
      </c>
      <c r="AB140" s="5">
        <f>513+70+979+220+220+204+670+240+140+140+540</f>
        <v>3936</v>
      </c>
      <c r="AC140" s="6">
        <f>22.5+2.5+13.9+11+13+20.4+26+20+6+7+16.8</f>
        <v>159.10000000000002</v>
      </c>
      <c r="AD140" s="6">
        <f>15.5+0+2.8+7+8+12.8+8+14+0+5+10.5</f>
        <v>83.6</v>
      </c>
      <c r="AE140" s="6">
        <f>16.3+10+29.9+3+3+4.4+21+4+0+2+12.5</f>
        <v>106.10000000000001</v>
      </c>
      <c r="AF140" s="6">
        <f>55.33+4+125.45+29+26+1.6+88+8+20+18+82.5</f>
        <v>457.88</v>
      </c>
      <c r="AG140" s="6">
        <f>2+3+14.1+0+1+0+5+0+0+2+1.75</f>
        <v>28.85</v>
      </c>
      <c r="AH140" s="6">
        <f>736.7+210+1997.5+75+35+172+1330+60+60+90+132.5</f>
        <v>4898.7</v>
      </c>
      <c r="AI140" s="6">
        <f t="shared" si="218"/>
        <v>4.0421747967479681E-2</v>
      </c>
      <c r="AJ140" s="6">
        <f t="shared" si="219"/>
        <v>2.1239837398373981E-2</v>
      </c>
      <c r="AK140" s="6">
        <f t="shared" si="220"/>
        <v>2.6956300813008132E-2</v>
      </c>
      <c r="AL140" s="6">
        <f t="shared" si="221"/>
        <v>0.11633130081300813</v>
      </c>
      <c r="AM140" s="6">
        <f t="shared" si="222"/>
        <v>7.3297764227642278E-3</v>
      </c>
      <c r="AN140" s="6">
        <f t="shared" si="223"/>
        <v>1.2445884146341464</v>
      </c>
      <c r="AO140" s="7">
        <v>4</v>
      </c>
      <c r="AP140" s="7">
        <v>1</v>
      </c>
      <c r="AQ140" s="7">
        <v>0</v>
      </c>
      <c r="AR140" s="10">
        <v>0</v>
      </c>
      <c r="AS140" s="7">
        <v>0</v>
      </c>
      <c r="AT140" s="7">
        <v>0</v>
      </c>
      <c r="AU140" s="7">
        <v>0</v>
      </c>
      <c r="AV140" s="7">
        <v>0</v>
      </c>
      <c r="AW140" s="7">
        <v>31</v>
      </c>
      <c r="AX140" s="7">
        <v>1</v>
      </c>
      <c r="AY140" s="5">
        <v>7</v>
      </c>
      <c r="AZ140" s="7">
        <v>1</v>
      </c>
      <c r="BA140" s="7">
        <v>0</v>
      </c>
      <c r="BB140" s="7">
        <v>0</v>
      </c>
      <c r="BC140" s="7">
        <v>1</v>
      </c>
      <c r="BD140" s="7">
        <v>1</v>
      </c>
      <c r="BE140" s="7">
        <v>0</v>
      </c>
      <c r="BF140" s="7">
        <v>0</v>
      </c>
      <c r="BG140" s="7">
        <v>0</v>
      </c>
      <c r="BH140" s="7">
        <v>0</v>
      </c>
      <c r="BI140" s="7">
        <v>0</v>
      </c>
      <c r="BJ140" s="7">
        <v>1</v>
      </c>
      <c r="BK140" s="11">
        <v>4</v>
      </c>
      <c r="BL140" s="3" t="s">
        <v>979</v>
      </c>
      <c r="BM140" s="3">
        <v>0</v>
      </c>
    </row>
    <row r="141" spans="1:65" ht="20.100000000000001" customHeight="1" x14ac:dyDescent="0.3">
      <c r="A141" s="3" t="s">
        <v>18</v>
      </c>
      <c r="B141" s="3">
        <v>9</v>
      </c>
      <c r="C141" s="8">
        <v>44350</v>
      </c>
      <c r="D141" s="9">
        <v>0.29652777777777778</v>
      </c>
      <c r="E141" s="4">
        <v>63</v>
      </c>
      <c r="F141" s="3">
        <v>0</v>
      </c>
      <c r="G141" s="3">
        <v>0</v>
      </c>
      <c r="H141" s="3">
        <v>0</v>
      </c>
      <c r="I141" s="3">
        <v>0</v>
      </c>
      <c r="J141" s="9">
        <v>0.52361111111111114</v>
      </c>
      <c r="K141" s="3">
        <v>142.4</v>
      </c>
      <c r="L141" s="11">
        <f t="shared" ref="L141" si="244">K141-K140</f>
        <v>0.80000000000001137</v>
      </c>
      <c r="M141" s="5">
        <f t="shared" ref="M141" si="245">AB140</f>
        <v>3936</v>
      </c>
      <c r="N141" s="11">
        <v>30.75</v>
      </c>
      <c r="O141" s="11">
        <v>32.5</v>
      </c>
      <c r="P141" s="11">
        <v>10.5</v>
      </c>
      <c r="Q141" s="11">
        <v>10.75</v>
      </c>
      <c r="R141" s="11">
        <v>19.875</v>
      </c>
      <c r="S141" s="11">
        <v>20</v>
      </c>
      <c r="T141" s="11">
        <v>14</v>
      </c>
      <c r="U141" s="11">
        <v>11</v>
      </c>
      <c r="V141" s="11">
        <v>17</v>
      </c>
      <c r="W141" s="11">
        <v>15</v>
      </c>
      <c r="X141" s="11">
        <v>7</v>
      </c>
      <c r="Y141" s="11">
        <v>7</v>
      </c>
      <c r="Z141" s="3" t="s">
        <v>799</v>
      </c>
      <c r="AA141" s="10" t="s">
        <v>798</v>
      </c>
      <c r="AB141" s="5">
        <f>1080+180+40+630+180+50+218</f>
        <v>2378</v>
      </c>
      <c r="AC141" s="6">
        <f>33.5+5+3+22+0+0.5+23.1</f>
        <v>87.1</v>
      </c>
      <c r="AD141" s="6">
        <f>21+1+2+7+0+0+3.6</f>
        <v>34.6</v>
      </c>
      <c r="AE141" s="6">
        <f>25+4+4+20+0+0+0.5</f>
        <v>53.5</v>
      </c>
      <c r="AF141" s="6">
        <f>165+20+0+86+50+11+3</f>
        <v>335</v>
      </c>
      <c r="AG141" s="6">
        <f>3.5+4+0+6+0+0+0.3</f>
        <v>13.8</v>
      </c>
      <c r="AH141" s="6">
        <f>265+1020+200+1390+60+25+367</f>
        <v>3327</v>
      </c>
      <c r="AI141" s="6">
        <f t="shared" si="218"/>
        <v>3.662741799831791E-2</v>
      </c>
      <c r="AJ141" s="6">
        <f t="shared" si="219"/>
        <v>1.4550042052144659E-2</v>
      </c>
      <c r="AK141" s="6">
        <f t="shared" si="220"/>
        <v>2.249789739276703E-2</v>
      </c>
      <c r="AL141" s="6">
        <f t="shared" si="221"/>
        <v>0.14087468460891506</v>
      </c>
      <c r="AM141" s="6">
        <f t="shared" si="222"/>
        <v>5.803195962994113E-3</v>
      </c>
      <c r="AN141" s="6">
        <f t="shared" si="223"/>
        <v>1.3990748528174937</v>
      </c>
      <c r="AO141" s="7">
        <v>5</v>
      </c>
      <c r="AP141" s="7">
        <v>1</v>
      </c>
      <c r="AQ141" s="7">
        <v>0</v>
      </c>
      <c r="AR141" s="10">
        <v>0</v>
      </c>
      <c r="AS141" s="7">
        <v>0</v>
      </c>
      <c r="AT141" s="7">
        <v>0</v>
      </c>
      <c r="AU141" s="7">
        <v>0</v>
      </c>
      <c r="AV141" s="7">
        <v>0</v>
      </c>
      <c r="AW141" s="7">
        <v>0</v>
      </c>
      <c r="AX141" s="7">
        <v>0</v>
      </c>
      <c r="AY141" s="5">
        <v>6.75</v>
      </c>
      <c r="AZ141" s="7">
        <v>0</v>
      </c>
      <c r="BA141" s="7">
        <v>1</v>
      </c>
      <c r="BB141" s="7">
        <v>0</v>
      </c>
      <c r="BC141" s="7">
        <v>1</v>
      </c>
      <c r="BD141" s="7">
        <v>1</v>
      </c>
      <c r="BE141" s="7">
        <v>0</v>
      </c>
      <c r="BF141" s="7">
        <v>1</v>
      </c>
      <c r="BG141" s="7">
        <v>20</v>
      </c>
      <c r="BH141" s="7">
        <v>0</v>
      </c>
      <c r="BI141" s="7">
        <v>0</v>
      </c>
      <c r="BJ141" s="7">
        <v>1</v>
      </c>
      <c r="BK141" s="11">
        <v>0</v>
      </c>
      <c r="BL141" s="7">
        <v>0</v>
      </c>
      <c r="BM141" s="3">
        <v>0</v>
      </c>
    </row>
    <row r="142" spans="1:65" ht="20.100000000000001" customHeight="1" x14ac:dyDescent="0.3">
      <c r="A142" s="3" t="s">
        <v>137</v>
      </c>
      <c r="B142" s="3">
        <v>10</v>
      </c>
      <c r="C142" s="8">
        <v>44351</v>
      </c>
      <c r="D142" s="9">
        <v>0.28819444444444448</v>
      </c>
      <c r="E142" s="4">
        <v>61</v>
      </c>
      <c r="F142" s="3">
        <v>0</v>
      </c>
      <c r="G142" s="3">
        <v>0</v>
      </c>
      <c r="H142" s="3">
        <v>0</v>
      </c>
      <c r="I142" s="3">
        <v>0</v>
      </c>
      <c r="J142" s="9">
        <v>0.2986111111111111</v>
      </c>
      <c r="K142" s="3">
        <v>141.4</v>
      </c>
      <c r="L142" s="11">
        <f t="shared" ref="L142" si="246">K142-K141</f>
        <v>-1</v>
      </c>
      <c r="M142" s="5">
        <f t="shared" ref="M142" si="247">AB141</f>
        <v>2378</v>
      </c>
      <c r="N142" s="11">
        <v>30.75</v>
      </c>
      <c r="O142" s="11">
        <v>32.25</v>
      </c>
      <c r="P142" s="11">
        <v>10.5</v>
      </c>
      <c r="Q142" s="11">
        <v>10.625</v>
      </c>
      <c r="R142" s="11">
        <v>19.625</v>
      </c>
      <c r="S142" s="11">
        <v>19.625</v>
      </c>
      <c r="T142" s="11">
        <v>13</v>
      </c>
      <c r="U142" s="11">
        <v>11</v>
      </c>
      <c r="V142" s="11">
        <v>17</v>
      </c>
      <c r="W142" s="11">
        <v>15</v>
      </c>
      <c r="X142" s="11">
        <v>7</v>
      </c>
      <c r="Y142" s="11">
        <v>7</v>
      </c>
      <c r="Z142" s="3" t="s">
        <v>804</v>
      </c>
      <c r="AA142" s="10" t="s">
        <v>806</v>
      </c>
      <c r="AB142" s="5">
        <f>540+70+90+20+80+1350+320+180+218+675+218+180+100</f>
        <v>4041</v>
      </c>
      <c r="AC142" s="6">
        <f>16.75+2.5+2.5+1.5+4+770+17+5+23.1+22.5+23.1+0+6</f>
        <v>893.95</v>
      </c>
      <c r="AD142" s="6">
        <f>10.5+0+0.5+1+0+132+10+2.5+3.6+11.25+3.6+0+3.3</f>
        <v>178.25</v>
      </c>
      <c r="AE142" s="6">
        <f>12.5+10+2+2+0+31+6+8+0.5+36+0.5+0+1.3</f>
        <v>109.8</v>
      </c>
      <c r="AF142" s="6">
        <f>82.5+4+10+0+8+13+35+25+3+83.25+3+50+11.3</f>
        <v>328.05</v>
      </c>
      <c r="AG142" s="6">
        <f>1.75+3+2+0+0+37+0+4+0.3+2.25+0.3+0+0.67</f>
        <v>51.269999999999996</v>
      </c>
      <c r="AH142" s="6">
        <f>132.5+210+510+100+0+215+430+310+367+1575+367+60+33.3</f>
        <v>4309.8</v>
      </c>
      <c r="AI142" s="6">
        <f t="shared" si="218"/>
        <v>0.22121999505073003</v>
      </c>
      <c r="AJ142" s="6">
        <f t="shared" si="219"/>
        <v>4.4110368720613712E-2</v>
      </c>
      <c r="AK142" s="6">
        <f t="shared" si="220"/>
        <v>2.7171492204899776E-2</v>
      </c>
      <c r="AL142" s="6">
        <f t="shared" si="221"/>
        <v>8.1180400890868601E-2</v>
      </c>
      <c r="AM142" s="6">
        <f t="shared" si="222"/>
        <v>1.2687453600593911E-2</v>
      </c>
      <c r="AN142" s="6">
        <f t="shared" si="223"/>
        <v>1.0665181885671864</v>
      </c>
      <c r="AO142" s="7">
        <v>4</v>
      </c>
      <c r="AP142" s="7">
        <v>1</v>
      </c>
      <c r="AQ142" s="7">
        <v>0</v>
      </c>
      <c r="AR142" s="10">
        <v>0</v>
      </c>
      <c r="AS142" s="7">
        <v>0</v>
      </c>
      <c r="AT142" s="7">
        <v>0</v>
      </c>
      <c r="AU142" s="7">
        <v>0</v>
      </c>
      <c r="AV142" s="7">
        <v>0</v>
      </c>
      <c r="AW142" s="7">
        <v>31</v>
      </c>
      <c r="AX142" s="7">
        <v>1</v>
      </c>
      <c r="AY142" s="5">
        <v>5</v>
      </c>
      <c r="AZ142" s="7">
        <v>0</v>
      </c>
      <c r="BA142" s="7">
        <v>0</v>
      </c>
      <c r="BB142" s="7">
        <v>0</v>
      </c>
      <c r="BC142" s="7">
        <v>1</v>
      </c>
      <c r="BD142" s="7">
        <v>1</v>
      </c>
      <c r="BE142" s="7">
        <v>0</v>
      </c>
      <c r="BF142" s="7">
        <v>0</v>
      </c>
      <c r="BG142" s="7">
        <v>0</v>
      </c>
      <c r="BH142" s="7">
        <v>0</v>
      </c>
      <c r="BI142" s="7">
        <v>0</v>
      </c>
      <c r="BJ142" s="7">
        <v>1</v>
      </c>
      <c r="BK142" s="11">
        <v>1</v>
      </c>
      <c r="BL142" s="3" t="s">
        <v>980</v>
      </c>
      <c r="BM142" s="3">
        <v>0</v>
      </c>
    </row>
    <row r="143" spans="1:65" ht="20.100000000000001" customHeight="1" x14ac:dyDescent="0.3">
      <c r="A143" s="3" t="s">
        <v>19</v>
      </c>
      <c r="B143" s="3">
        <v>11</v>
      </c>
      <c r="C143" s="8">
        <v>44352</v>
      </c>
      <c r="D143" s="9">
        <v>0.25</v>
      </c>
      <c r="E143" s="4">
        <v>60</v>
      </c>
      <c r="F143" s="3">
        <v>0</v>
      </c>
      <c r="G143" s="3">
        <v>0</v>
      </c>
      <c r="H143" s="3">
        <v>0</v>
      </c>
      <c r="I143" s="3">
        <v>0</v>
      </c>
      <c r="J143" s="9">
        <v>0.27083333333333331</v>
      </c>
      <c r="K143" s="3">
        <v>141.4</v>
      </c>
      <c r="L143" s="11">
        <f t="shared" ref="L143" si="248">K143-K142</f>
        <v>0</v>
      </c>
      <c r="M143" s="5">
        <f t="shared" ref="M143" si="249">AB142</f>
        <v>4041</v>
      </c>
      <c r="N143" s="11">
        <v>30.5</v>
      </c>
      <c r="O143" s="11">
        <v>32.25</v>
      </c>
      <c r="P143" s="11">
        <v>10.625</v>
      </c>
      <c r="Q143" s="11">
        <v>10.625</v>
      </c>
      <c r="R143" s="11">
        <v>19.75</v>
      </c>
      <c r="S143" s="11">
        <v>19.75</v>
      </c>
      <c r="T143" s="11">
        <v>15</v>
      </c>
      <c r="U143" s="11">
        <v>12</v>
      </c>
      <c r="V143" s="11">
        <v>16</v>
      </c>
      <c r="W143" s="11">
        <v>16</v>
      </c>
      <c r="X143" s="11">
        <v>7</v>
      </c>
      <c r="Y143" s="11">
        <v>7</v>
      </c>
      <c r="Z143" s="3" t="s">
        <v>812</v>
      </c>
      <c r="AA143" s="10" t="s">
        <v>811</v>
      </c>
      <c r="AB143" s="5">
        <f>1125+1090+574+100+40+110+180+70</f>
        <v>3289</v>
      </c>
      <c r="AC143" s="6">
        <f>37.5+115.5+29.6+0+0+0+0+5</f>
        <v>187.6</v>
      </c>
      <c r="AD143" s="6">
        <f>18.75+18+13.1+0+0+0+0+3.5</f>
        <v>53.35</v>
      </c>
      <c r="AE143" s="6">
        <f>60+2.5+26.8+25+4+0+0+1</f>
        <v>119.3</v>
      </c>
      <c r="AF143" s="6">
        <f>138.75+15+50.2+0+8+28+50+4</f>
        <v>293.95</v>
      </c>
      <c r="AG143" s="6">
        <f>3.75+1.5+3.8+0+6+0+0+0</f>
        <v>15.05</v>
      </c>
      <c r="AH143" s="6">
        <f>2625+1835+1098+150+40+175+60+20</f>
        <v>6003</v>
      </c>
      <c r="AI143" s="6">
        <f t="shared" si="218"/>
        <v>5.703861356035269E-2</v>
      </c>
      <c r="AJ143" s="6">
        <f t="shared" si="219"/>
        <v>1.6220735785953178E-2</v>
      </c>
      <c r="AK143" s="6">
        <f t="shared" si="220"/>
        <v>3.6272423228944965E-2</v>
      </c>
      <c r="AL143" s="6">
        <f t="shared" si="221"/>
        <v>8.9373669808452419E-2</v>
      </c>
      <c r="AM143" s="6">
        <f t="shared" si="222"/>
        <v>4.5758589236850108E-3</v>
      </c>
      <c r="AN143" s="6">
        <f t="shared" si="223"/>
        <v>1.8251748251748252</v>
      </c>
      <c r="AO143" s="7">
        <v>4</v>
      </c>
      <c r="AP143" s="7">
        <v>1</v>
      </c>
      <c r="AQ143" s="7">
        <v>0</v>
      </c>
      <c r="AR143" s="10">
        <v>0</v>
      </c>
      <c r="AS143" s="7">
        <v>0</v>
      </c>
      <c r="AT143" s="7">
        <v>0</v>
      </c>
      <c r="AU143" s="7">
        <v>0</v>
      </c>
      <c r="AV143" s="7">
        <v>0</v>
      </c>
      <c r="AW143" s="7">
        <v>31</v>
      </c>
      <c r="AX143" s="7">
        <v>1</v>
      </c>
      <c r="AY143" s="5">
        <v>7.5</v>
      </c>
      <c r="AZ143" s="7">
        <v>0</v>
      </c>
      <c r="BA143" s="7">
        <v>0</v>
      </c>
      <c r="BB143" s="7">
        <v>0</v>
      </c>
      <c r="BC143" s="7">
        <v>1</v>
      </c>
      <c r="BD143" s="7">
        <v>1</v>
      </c>
      <c r="BE143" s="7">
        <v>0</v>
      </c>
      <c r="BF143" s="7">
        <v>0</v>
      </c>
      <c r="BG143" s="7">
        <v>0</v>
      </c>
      <c r="BH143" s="7">
        <v>0</v>
      </c>
      <c r="BI143" s="7">
        <v>0</v>
      </c>
      <c r="BJ143" s="7">
        <v>1</v>
      </c>
      <c r="BK143" s="11">
        <v>2</v>
      </c>
      <c r="BL143" s="3" t="s">
        <v>981</v>
      </c>
      <c r="BM143" s="3">
        <v>0</v>
      </c>
    </row>
    <row r="144" spans="1:65" ht="20.100000000000001" customHeight="1" x14ac:dyDescent="0.3">
      <c r="A144" s="3" t="s">
        <v>23</v>
      </c>
      <c r="B144" s="3">
        <v>12</v>
      </c>
      <c r="C144" s="8">
        <v>44353</v>
      </c>
      <c r="D144" s="9">
        <v>0.26805555555555555</v>
      </c>
      <c r="E144" s="4">
        <v>60</v>
      </c>
      <c r="F144" s="3">
        <v>0</v>
      </c>
      <c r="G144" s="3">
        <v>0</v>
      </c>
      <c r="H144" s="3">
        <v>0</v>
      </c>
      <c r="I144" s="3">
        <v>0</v>
      </c>
      <c r="J144" s="9">
        <v>0.31805555555555554</v>
      </c>
      <c r="K144" s="3">
        <v>141.4</v>
      </c>
      <c r="L144" s="11">
        <f t="shared" ref="L144" si="250">K144-K143</f>
        <v>0</v>
      </c>
      <c r="M144" s="5">
        <f t="shared" ref="M144" si="251">AB143</f>
        <v>3289</v>
      </c>
      <c r="N144" s="11">
        <v>30.75</v>
      </c>
      <c r="O144" s="11">
        <v>31.75</v>
      </c>
      <c r="P144" s="11">
        <v>10.625</v>
      </c>
      <c r="Q144" s="11">
        <v>10.625</v>
      </c>
      <c r="R144" s="11">
        <v>19.75</v>
      </c>
      <c r="S144" s="11">
        <v>19.75</v>
      </c>
      <c r="T144" s="11">
        <v>15</v>
      </c>
      <c r="U144" s="11">
        <v>12</v>
      </c>
      <c r="V144" s="11">
        <v>17</v>
      </c>
      <c r="W144" s="11">
        <v>15</v>
      </c>
      <c r="X144" s="11">
        <v>7</v>
      </c>
      <c r="Y144" s="11">
        <v>7</v>
      </c>
      <c r="Z144" s="3" t="s">
        <v>813</v>
      </c>
      <c r="AA144" s="10" t="s">
        <v>819</v>
      </c>
      <c r="AB144" s="5">
        <f>1026.7+700+70+180+698+218+80</f>
        <v>2972.7</v>
      </c>
      <c r="AC144" s="6">
        <f>45+20+1.5+0+20.3+23+4</f>
        <v>113.8</v>
      </c>
      <c r="AD144" s="6">
        <f>31+5+1+0+10.1+3.6+0</f>
        <v>50.7</v>
      </c>
      <c r="AE144" s="6">
        <f>32.7+15+3+0+31.5+0.5+0</f>
        <v>82.7</v>
      </c>
      <c r="AF144" s="6">
        <f>110.67+110+13+50+94.5+3+8</f>
        <v>389.17</v>
      </c>
      <c r="AG144" s="6">
        <f>4+5+0+0+4.5+0.3+0</f>
        <v>13.8</v>
      </c>
      <c r="AH144" s="6">
        <f>1473.3+1200+45+60+1530+367+0</f>
        <v>4675.3</v>
      </c>
      <c r="AI144" s="6">
        <f t="shared" si="218"/>
        <v>3.8281696773976519E-2</v>
      </c>
      <c r="AJ144" s="6">
        <f t="shared" si="219"/>
        <v>1.7055202341305885E-2</v>
      </c>
      <c r="AK144" s="6">
        <f t="shared" si="220"/>
        <v>2.7819827093214924E-2</v>
      </c>
      <c r="AL144" s="6">
        <f t="shared" si="221"/>
        <v>0.13091465670938879</v>
      </c>
      <c r="AM144" s="6">
        <f t="shared" si="222"/>
        <v>4.6422444242607734E-3</v>
      </c>
      <c r="AN144" s="6">
        <f t="shared" si="223"/>
        <v>1.5727453157062605</v>
      </c>
      <c r="AO144" s="7">
        <v>4</v>
      </c>
      <c r="AP144" s="7">
        <v>1</v>
      </c>
      <c r="AQ144" s="7">
        <v>0</v>
      </c>
      <c r="AR144" s="10">
        <v>0</v>
      </c>
      <c r="AS144" s="7">
        <v>0</v>
      </c>
      <c r="AT144" s="7">
        <v>0</v>
      </c>
      <c r="AU144" s="7">
        <v>0</v>
      </c>
      <c r="AV144" s="7">
        <v>0</v>
      </c>
      <c r="AW144" s="7">
        <v>31</v>
      </c>
      <c r="AX144" s="7">
        <v>1</v>
      </c>
      <c r="AY144" s="5">
        <v>6.5</v>
      </c>
      <c r="AZ144" s="7">
        <v>0</v>
      </c>
      <c r="BA144" s="7">
        <v>0</v>
      </c>
      <c r="BB144" s="7">
        <v>0</v>
      </c>
      <c r="BC144" s="7">
        <v>1</v>
      </c>
      <c r="BD144" s="7">
        <v>1</v>
      </c>
      <c r="BE144" s="7">
        <v>0</v>
      </c>
      <c r="BF144" s="7">
        <v>0</v>
      </c>
      <c r="BG144" s="7">
        <v>0</v>
      </c>
      <c r="BH144" s="7">
        <v>0</v>
      </c>
      <c r="BI144" s="7">
        <v>0</v>
      </c>
      <c r="BJ144" s="7">
        <v>1</v>
      </c>
      <c r="BK144" s="11">
        <v>1</v>
      </c>
      <c r="BL144" s="3" t="s">
        <v>982</v>
      </c>
      <c r="BM144" s="3">
        <v>0</v>
      </c>
    </row>
    <row r="145" spans="1:65" ht="20.100000000000001" customHeight="1" x14ac:dyDescent="0.3">
      <c r="A145" s="3" t="s">
        <v>15</v>
      </c>
      <c r="B145" s="3">
        <v>13</v>
      </c>
      <c r="C145" s="8">
        <v>44354</v>
      </c>
      <c r="D145" s="9">
        <v>0.50902777777777775</v>
      </c>
      <c r="E145" s="4">
        <v>64</v>
      </c>
      <c r="F145" s="3">
        <v>0</v>
      </c>
      <c r="G145" s="3">
        <v>0</v>
      </c>
      <c r="H145" s="3">
        <v>0</v>
      </c>
      <c r="I145" s="3">
        <v>0</v>
      </c>
      <c r="J145" s="9">
        <v>0.52013888888888882</v>
      </c>
      <c r="K145" s="3">
        <v>143.80000000000001</v>
      </c>
      <c r="L145" s="11">
        <f t="shared" ref="L145" si="252">K145-K144</f>
        <v>2.4000000000000057</v>
      </c>
      <c r="M145" s="5">
        <f t="shared" ref="M145" si="253">AB144</f>
        <v>2972.7</v>
      </c>
      <c r="N145" s="11">
        <v>31.5</v>
      </c>
      <c r="O145" s="11">
        <v>32.625</v>
      </c>
      <c r="P145" s="11">
        <v>10.5</v>
      </c>
      <c r="Q145" s="11">
        <v>10.5</v>
      </c>
      <c r="R145" s="11">
        <v>19.875</v>
      </c>
      <c r="S145" s="11">
        <v>19.75</v>
      </c>
      <c r="T145" s="11">
        <v>14</v>
      </c>
      <c r="U145" s="11">
        <v>12</v>
      </c>
      <c r="V145" s="11">
        <v>16</v>
      </c>
      <c r="W145" s="11">
        <v>15</v>
      </c>
      <c r="X145" s="11">
        <v>7</v>
      </c>
      <c r="Y145" s="11">
        <v>7</v>
      </c>
      <c r="Z145" s="3" t="s">
        <v>821</v>
      </c>
      <c r="AA145" s="10" t="s">
        <v>820</v>
      </c>
      <c r="AB145" s="5">
        <f>1046.25+363.3+375+90+200+375+90+160+180</f>
        <v>2879.55</v>
      </c>
      <c r="AC145" s="6">
        <f>30.4+38.5+7.5+3.5+12+7.5+3.5+10+0</f>
        <v>112.9</v>
      </c>
      <c r="AD145" s="6">
        <f>15.19+6+3.75+1+7+3.75+1+7+0</f>
        <v>44.69</v>
      </c>
      <c r="AE145" s="6">
        <f>47.3+5+15+3+3+15+3+12+0</f>
        <v>103.3</v>
      </c>
      <c r="AF145" s="6">
        <f>141.8+5+63+12+20+63+12+2+50</f>
        <v>368.8</v>
      </c>
      <c r="AG145" s="6">
        <f>6.8+0.5+1.5+3+0+1.5+3+0+0</f>
        <v>16.3</v>
      </c>
      <c r="AH145" s="6">
        <f>2295+611.7+510+460+50+510+460+380+60</f>
        <v>5336.7</v>
      </c>
      <c r="AI145" s="6">
        <f t="shared" si="218"/>
        <v>3.9207515063117503E-2</v>
      </c>
      <c r="AJ145" s="6">
        <f t="shared" si="219"/>
        <v>1.5519786077685747E-2</v>
      </c>
      <c r="AK145" s="6">
        <f t="shared" si="220"/>
        <v>3.5873660815057905E-2</v>
      </c>
      <c r="AL145" s="6">
        <f t="shared" si="221"/>
        <v>0.128075567362956</v>
      </c>
      <c r="AM145" s="6">
        <f t="shared" si="222"/>
        <v>5.6606066920178496E-3</v>
      </c>
      <c r="AN145" s="6">
        <f t="shared" si="223"/>
        <v>1.8533104130853777</v>
      </c>
      <c r="AO145" s="7">
        <v>4</v>
      </c>
      <c r="AP145" s="7">
        <v>0</v>
      </c>
      <c r="AQ145" s="7">
        <v>0</v>
      </c>
      <c r="AR145" s="10">
        <v>0</v>
      </c>
      <c r="AS145" s="7">
        <v>0</v>
      </c>
      <c r="AT145" s="7">
        <v>0</v>
      </c>
      <c r="AU145" s="7">
        <v>0</v>
      </c>
      <c r="AV145" s="7">
        <v>0</v>
      </c>
      <c r="AW145" s="7">
        <v>31</v>
      </c>
      <c r="AX145" s="7">
        <v>1</v>
      </c>
      <c r="AY145" s="5">
        <v>7.5</v>
      </c>
      <c r="AZ145" s="7">
        <v>0</v>
      </c>
      <c r="BA145" s="7">
        <v>0</v>
      </c>
      <c r="BB145" s="7">
        <v>0</v>
      </c>
      <c r="BC145" s="7">
        <v>1</v>
      </c>
      <c r="BD145" s="7">
        <v>1</v>
      </c>
      <c r="BE145" s="7">
        <v>0</v>
      </c>
      <c r="BF145" s="7">
        <v>2</v>
      </c>
      <c r="BG145" s="7">
        <v>35</v>
      </c>
      <c r="BH145" s="7">
        <v>0</v>
      </c>
      <c r="BI145" s="7">
        <v>0</v>
      </c>
      <c r="BJ145" s="7">
        <v>1</v>
      </c>
      <c r="BK145" s="11">
        <v>1</v>
      </c>
      <c r="BL145" s="3" t="s">
        <v>982</v>
      </c>
      <c r="BM145" s="3">
        <v>0</v>
      </c>
    </row>
    <row r="146" spans="1:65" ht="20.100000000000001" customHeight="1" x14ac:dyDescent="0.3">
      <c r="A146" s="3" t="s">
        <v>16</v>
      </c>
      <c r="B146" s="3">
        <v>14</v>
      </c>
      <c r="C146" s="8">
        <v>44355</v>
      </c>
      <c r="D146" s="9">
        <v>0.40208333333333335</v>
      </c>
      <c r="E146" s="4">
        <v>63</v>
      </c>
      <c r="F146" s="3">
        <v>0</v>
      </c>
      <c r="G146" s="3">
        <v>0</v>
      </c>
      <c r="H146" s="3">
        <v>0</v>
      </c>
      <c r="I146" s="3">
        <v>0</v>
      </c>
      <c r="J146" s="9">
        <v>0.39999999999999997</v>
      </c>
      <c r="K146" s="3">
        <v>142.4</v>
      </c>
      <c r="L146" s="11">
        <f t="shared" ref="L146" si="254">K146-K145</f>
        <v>-1.4000000000000057</v>
      </c>
      <c r="M146" s="5">
        <f t="shared" ref="M146" si="255">AB145</f>
        <v>2879.55</v>
      </c>
      <c r="N146" s="11">
        <v>30.75</v>
      </c>
      <c r="O146" s="11">
        <v>31.75</v>
      </c>
      <c r="P146" s="11">
        <v>10.5</v>
      </c>
      <c r="Q146" s="11">
        <v>10.5</v>
      </c>
      <c r="R146" s="11">
        <v>19.875</v>
      </c>
      <c r="S146" s="11">
        <v>19.75</v>
      </c>
      <c r="T146" s="11">
        <v>15</v>
      </c>
      <c r="U146" s="11">
        <v>13</v>
      </c>
      <c r="V146" s="11">
        <v>16</v>
      </c>
      <c r="W146" s="11">
        <v>15</v>
      </c>
      <c r="X146" s="11">
        <v>7</v>
      </c>
      <c r="Y146" s="11">
        <v>7</v>
      </c>
      <c r="Z146" s="3" t="s">
        <v>823</v>
      </c>
      <c r="AA146" s="10" t="s">
        <v>825</v>
      </c>
      <c r="AB146" s="6">
        <f>700+140+260+120+80+20+250+90+700+110</f>
        <v>2470</v>
      </c>
      <c r="AC146" s="6">
        <f>20+10+28+10+5+1.5+5+3.5+0+6.5</f>
        <v>89.5</v>
      </c>
      <c r="AD146" s="6">
        <f>5+3+4+7+3.5+1+2.5+1+0+4</f>
        <v>31</v>
      </c>
      <c r="AE146" s="6">
        <f>15+12+0+2+6+2+10+3+10+1.5</f>
        <v>61.5</v>
      </c>
      <c r="AF146" s="6">
        <f>110+0+0+4+1+0+42+12+170+13</f>
        <v>352</v>
      </c>
      <c r="AG146" s="6">
        <f>5+0+0+0+0+0+1+3+0+0.5</f>
        <v>9.5</v>
      </c>
      <c r="AH146" s="6">
        <f>1200+140+0+30+190+100+340+460+250+17.5</f>
        <v>2727.5</v>
      </c>
      <c r="AI146" s="6">
        <f t="shared" si="218"/>
        <v>3.6234817813765183E-2</v>
      </c>
      <c r="AJ146" s="6">
        <f t="shared" si="219"/>
        <v>1.2550607287449392E-2</v>
      </c>
      <c r="AK146" s="6">
        <f t="shared" si="220"/>
        <v>2.4898785425101214E-2</v>
      </c>
      <c r="AL146" s="6">
        <f t="shared" si="221"/>
        <v>0.14251012145748987</v>
      </c>
      <c r="AM146" s="6">
        <f t="shared" si="222"/>
        <v>3.8461538461538464E-3</v>
      </c>
      <c r="AN146" s="6">
        <f t="shared" si="223"/>
        <v>1.1042510121457489</v>
      </c>
      <c r="AO146" s="7">
        <v>4</v>
      </c>
      <c r="AP146" s="7">
        <v>1</v>
      </c>
      <c r="AQ146" s="7">
        <v>0</v>
      </c>
      <c r="AR146" s="10">
        <v>0</v>
      </c>
      <c r="AS146" s="7">
        <v>0</v>
      </c>
      <c r="AT146" s="7">
        <v>0</v>
      </c>
      <c r="AU146" s="7">
        <v>0</v>
      </c>
      <c r="AV146" s="7">
        <v>0</v>
      </c>
      <c r="AW146" s="7">
        <v>0</v>
      </c>
      <c r="AX146" s="7">
        <v>0</v>
      </c>
      <c r="AY146" s="5">
        <v>7</v>
      </c>
      <c r="AZ146" s="7">
        <v>0</v>
      </c>
      <c r="BA146" s="7">
        <v>0</v>
      </c>
      <c r="BB146" s="7">
        <v>0</v>
      </c>
      <c r="BC146" s="7">
        <v>1</v>
      </c>
      <c r="BD146" s="7">
        <v>1</v>
      </c>
      <c r="BE146" s="7">
        <v>0</v>
      </c>
      <c r="BF146" s="7">
        <v>0</v>
      </c>
      <c r="BG146" s="7">
        <v>0</v>
      </c>
      <c r="BH146" s="7">
        <v>0</v>
      </c>
      <c r="BI146" s="7">
        <v>0</v>
      </c>
      <c r="BJ146" s="7">
        <v>1</v>
      </c>
      <c r="BK146" s="11">
        <v>2</v>
      </c>
      <c r="BL146" s="3" t="s">
        <v>982</v>
      </c>
      <c r="BM146" s="3">
        <v>0</v>
      </c>
    </row>
    <row r="147" spans="1:65" ht="20.100000000000001" customHeight="1" x14ac:dyDescent="0.3">
      <c r="A147" s="3" t="s">
        <v>17</v>
      </c>
      <c r="B147" s="3">
        <v>15</v>
      </c>
      <c r="C147" s="8">
        <v>44356</v>
      </c>
      <c r="D147" s="9">
        <v>0.31805555555555554</v>
      </c>
      <c r="E147" s="4">
        <v>61</v>
      </c>
      <c r="F147" s="3">
        <v>0</v>
      </c>
      <c r="G147" s="3">
        <v>0</v>
      </c>
      <c r="H147" s="3">
        <v>0</v>
      </c>
      <c r="I147" s="3">
        <v>0</v>
      </c>
      <c r="J147" s="9">
        <v>0.31875000000000003</v>
      </c>
      <c r="K147" s="3">
        <v>140.6</v>
      </c>
      <c r="L147" s="11">
        <f t="shared" ref="L147" si="256">K147-K146</f>
        <v>-1.8000000000000114</v>
      </c>
      <c r="M147" s="5">
        <f t="shared" ref="M147" si="257">AB146</f>
        <v>2470</v>
      </c>
      <c r="N147" s="11">
        <v>30.75</v>
      </c>
      <c r="O147" s="11">
        <v>31.75</v>
      </c>
      <c r="P147" s="11">
        <v>10.5</v>
      </c>
      <c r="Q147" s="11">
        <v>10.5</v>
      </c>
      <c r="R147" s="11">
        <v>19.75</v>
      </c>
      <c r="S147" s="11">
        <v>19.75</v>
      </c>
      <c r="T147" s="11">
        <v>15</v>
      </c>
      <c r="U147" s="11">
        <v>12</v>
      </c>
      <c r="V147" s="11">
        <v>16</v>
      </c>
      <c r="W147" s="11">
        <v>17</v>
      </c>
      <c r="X147" s="11">
        <v>7</v>
      </c>
      <c r="Y147" s="11">
        <v>7</v>
      </c>
      <c r="Z147" s="3" t="s">
        <v>826</v>
      </c>
      <c r="AA147" s="10" t="s">
        <v>824</v>
      </c>
      <c r="AB147" s="5">
        <f>840+1125+270+160+40+600+110+180</f>
        <v>3325</v>
      </c>
      <c r="AC147" s="6">
        <f>0+22.5+10.5+10+3+36+6.5+0</f>
        <v>88.5</v>
      </c>
      <c r="AD147" s="6">
        <f>0+11.25+3+7+2+21+4+0</f>
        <v>48.25</v>
      </c>
      <c r="AE147" s="6">
        <f>12+45+9+12+4+9+1.5+0</f>
        <v>92.5</v>
      </c>
      <c r="AF147" s="6">
        <f>204+189+36+2+0+60+13+50</f>
        <v>554</v>
      </c>
      <c r="AG147" s="6">
        <f>0+4.5+9+0+0+0+0.5+0</f>
        <v>14</v>
      </c>
      <c r="AH147" s="6">
        <f>300+1530+1380+380+200+150+17.5+60</f>
        <v>4017.5</v>
      </c>
      <c r="AI147" s="6">
        <f t="shared" si="218"/>
        <v>2.6616541353383458E-2</v>
      </c>
      <c r="AJ147" s="6">
        <f t="shared" si="219"/>
        <v>1.4511278195488721E-2</v>
      </c>
      <c r="AK147" s="6">
        <f t="shared" si="220"/>
        <v>2.7819548872180452E-2</v>
      </c>
      <c r="AL147" s="6">
        <f t="shared" si="221"/>
        <v>0.16661654135338347</v>
      </c>
      <c r="AM147" s="6">
        <f t="shared" si="222"/>
        <v>4.2105263157894736E-3</v>
      </c>
      <c r="AN147" s="6">
        <f t="shared" si="223"/>
        <v>1.2082706766917293</v>
      </c>
      <c r="AO147" s="7">
        <v>3</v>
      </c>
      <c r="AP147" s="7">
        <v>1</v>
      </c>
      <c r="AQ147" s="7">
        <v>0</v>
      </c>
      <c r="AR147" s="10">
        <v>0</v>
      </c>
      <c r="AS147" s="7">
        <v>0</v>
      </c>
      <c r="AT147" s="7">
        <v>0</v>
      </c>
      <c r="AU147" s="7">
        <v>0</v>
      </c>
      <c r="AV147" s="7">
        <v>0</v>
      </c>
      <c r="AW147" s="7">
        <v>0</v>
      </c>
      <c r="AX147" s="7">
        <v>0</v>
      </c>
      <c r="AY147" s="5">
        <v>6</v>
      </c>
      <c r="AZ147" s="7">
        <v>0</v>
      </c>
      <c r="BA147" s="7">
        <v>0</v>
      </c>
      <c r="BB147" s="7">
        <v>0</v>
      </c>
      <c r="BC147" s="7">
        <v>1</v>
      </c>
      <c r="BD147" s="7">
        <v>1</v>
      </c>
      <c r="BE147" s="7">
        <v>0</v>
      </c>
      <c r="BF147" s="7">
        <v>2</v>
      </c>
      <c r="BG147" s="7">
        <v>15</v>
      </c>
      <c r="BH147" s="7">
        <v>0</v>
      </c>
      <c r="BI147" s="7">
        <v>0</v>
      </c>
      <c r="BJ147" s="7">
        <v>1</v>
      </c>
      <c r="BK147" s="11">
        <v>2</v>
      </c>
      <c r="BL147" s="3" t="s">
        <v>982</v>
      </c>
      <c r="BM147" s="3">
        <v>0</v>
      </c>
    </row>
    <row r="148" spans="1:65" ht="20.100000000000001" customHeight="1" x14ac:dyDescent="0.3">
      <c r="A148" s="3" t="s">
        <v>18</v>
      </c>
      <c r="B148" s="3">
        <v>16</v>
      </c>
      <c r="C148" s="8">
        <v>44357</v>
      </c>
      <c r="D148" s="9">
        <v>0.61944444444444446</v>
      </c>
      <c r="E148" s="4">
        <v>82</v>
      </c>
      <c r="F148" s="3">
        <v>0</v>
      </c>
      <c r="G148" s="3">
        <v>0</v>
      </c>
      <c r="H148" s="3">
        <v>0</v>
      </c>
      <c r="I148" s="3">
        <v>0</v>
      </c>
      <c r="J148" s="9">
        <v>0.91527777777777775</v>
      </c>
      <c r="K148" s="3">
        <v>144.19999999999999</v>
      </c>
      <c r="L148" s="11">
        <f t="shared" ref="L148" si="258">K148-K147</f>
        <v>3.5999999999999943</v>
      </c>
      <c r="M148" s="5">
        <f t="shared" ref="M148" si="259">AB147</f>
        <v>3325</v>
      </c>
      <c r="N148" s="11">
        <v>31.25</v>
      </c>
      <c r="O148" s="11">
        <v>32.25</v>
      </c>
      <c r="P148" s="11">
        <v>10.5</v>
      </c>
      <c r="Q148" s="11">
        <v>10.625</v>
      </c>
      <c r="R148" s="11">
        <v>19.875</v>
      </c>
      <c r="S148" s="11">
        <v>19.625</v>
      </c>
      <c r="T148" s="11">
        <v>14</v>
      </c>
      <c r="U148" s="11">
        <v>11</v>
      </c>
      <c r="V148" s="11">
        <v>17</v>
      </c>
      <c r="W148" s="11">
        <v>16</v>
      </c>
      <c r="X148" s="11">
        <v>7</v>
      </c>
      <c r="Y148" s="11">
        <v>7</v>
      </c>
      <c r="Z148" s="3" t="s">
        <v>827</v>
      </c>
      <c r="AA148" s="10" t="s">
        <v>828</v>
      </c>
      <c r="AB148" s="5">
        <f>480+780+70+360+160+15+400+110+910+180</f>
        <v>3465</v>
      </c>
      <c r="AC148" s="6">
        <f>12+7.5+2.5+30+10+1.25+24+6.5+0+0</f>
        <v>93.75</v>
      </c>
      <c r="AD148" s="6">
        <f>8+4.5+0+21+7+0+14+4+0+0</f>
        <v>58.5</v>
      </c>
      <c r="AE148" s="6">
        <f>8+27+10+6+12+0.5+6+1.5+13+0</f>
        <v>84</v>
      </c>
      <c r="AF148" s="6">
        <f>80+144+4+12+2+0.5+40+13+221+48</f>
        <v>564.5</v>
      </c>
      <c r="AG148" s="6">
        <f>4+6+3+0+0+0.5+0+0.5+0+6</f>
        <v>20</v>
      </c>
      <c r="AH148" s="6">
        <f>1640+1680+210+90+380+85+100+17.5+325+900</f>
        <v>5427.5</v>
      </c>
      <c r="AI148" s="6">
        <f t="shared" si="218"/>
        <v>2.7056277056277056E-2</v>
      </c>
      <c r="AJ148" s="6">
        <f t="shared" si="219"/>
        <v>1.6883116883116882E-2</v>
      </c>
      <c r="AK148" s="6">
        <f t="shared" si="220"/>
        <v>2.4242424242424242E-2</v>
      </c>
      <c r="AL148" s="6">
        <f t="shared" si="221"/>
        <v>0.1629148629148629</v>
      </c>
      <c r="AM148" s="6">
        <f t="shared" si="222"/>
        <v>5.772005772005772E-3</v>
      </c>
      <c r="AN148" s="6">
        <f t="shared" si="223"/>
        <v>1.5663780663780664</v>
      </c>
      <c r="AO148" s="7">
        <v>4</v>
      </c>
      <c r="AP148" s="7">
        <v>1</v>
      </c>
      <c r="AQ148" s="7">
        <v>0</v>
      </c>
      <c r="AR148" s="10">
        <v>0</v>
      </c>
      <c r="AS148" s="7">
        <v>0</v>
      </c>
      <c r="AT148" s="7">
        <v>0</v>
      </c>
      <c r="AU148" s="7">
        <v>0</v>
      </c>
      <c r="AV148" s="7">
        <v>0</v>
      </c>
      <c r="AW148" s="7">
        <v>1</v>
      </c>
      <c r="AX148" s="7">
        <v>1</v>
      </c>
      <c r="AY148" s="5">
        <v>8.25</v>
      </c>
      <c r="AZ148" s="7">
        <v>0</v>
      </c>
      <c r="BA148" s="7">
        <v>0</v>
      </c>
      <c r="BB148" s="7">
        <v>0</v>
      </c>
      <c r="BC148" s="7">
        <v>1</v>
      </c>
      <c r="BD148" s="7">
        <v>1</v>
      </c>
      <c r="BE148" s="7">
        <v>0</v>
      </c>
      <c r="BF148" s="7">
        <v>1</v>
      </c>
      <c r="BG148" s="7">
        <v>15</v>
      </c>
      <c r="BH148" s="7">
        <v>0</v>
      </c>
      <c r="BI148" s="7">
        <v>0</v>
      </c>
      <c r="BJ148" s="7">
        <v>1</v>
      </c>
      <c r="BK148" s="11">
        <v>3</v>
      </c>
      <c r="BL148" s="3" t="s">
        <v>982</v>
      </c>
      <c r="BM148" s="3">
        <v>0</v>
      </c>
    </row>
    <row r="149" spans="1:65" ht="20.100000000000001" customHeight="1" x14ac:dyDescent="0.3">
      <c r="A149" s="3" t="s">
        <v>137</v>
      </c>
      <c r="B149" s="3">
        <v>17</v>
      </c>
      <c r="C149" s="8">
        <v>44358</v>
      </c>
      <c r="D149" s="9">
        <v>0.25555555555555559</v>
      </c>
      <c r="E149" s="4">
        <v>59</v>
      </c>
      <c r="F149" s="3">
        <v>0</v>
      </c>
      <c r="G149" s="3">
        <v>0</v>
      </c>
      <c r="H149" s="3">
        <v>0</v>
      </c>
      <c r="I149" s="3">
        <v>0</v>
      </c>
      <c r="J149" s="9">
        <v>0.2902777777777778</v>
      </c>
      <c r="K149" s="3">
        <v>142.19999999999999</v>
      </c>
      <c r="L149" s="11">
        <f t="shared" ref="L149" si="260">K149-K148</f>
        <v>-2</v>
      </c>
      <c r="M149" s="5">
        <f t="shared" ref="M149" si="261">AB148</f>
        <v>3465</v>
      </c>
      <c r="N149" s="11">
        <v>30.75</v>
      </c>
      <c r="O149" s="11">
        <v>31.75</v>
      </c>
      <c r="P149" s="11">
        <v>10.625</v>
      </c>
      <c r="Q149" s="11">
        <v>10.75</v>
      </c>
      <c r="R149" s="11">
        <v>20.125</v>
      </c>
      <c r="S149" s="11">
        <v>19.875</v>
      </c>
      <c r="T149" s="11">
        <v>13</v>
      </c>
      <c r="U149" s="11">
        <v>13</v>
      </c>
      <c r="V149" s="11">
        <v>17</v>
      </c>
      <c r="W149" s="11">
        <v>17</v>
      </c>
      <c r="X149" s="11">
        <v>7</v>
      </c>
      <c r="Y149" s="11">
        <v>7</v>
      </c>
      <c r="Z149" s="3" t="s">
        <v>830</v>
      </c>
      <c r="AA149" s="10" t="s">
        <v>831</v>
      </c>
      <c r="AB149" s="5">
        <f>570+225+70+120+260+180+80+20+35+210+220</f>
        <v>1990</v>
      </c>
      <c r="AC149" s="6">
        <f>13.5+8.75+5+3+2.5+5+1.5+1.25+0+0</f>
        <v>40.5</v>
      </c>
      <c r="AD149" s="6">
        <f>6+2.5+3.5+2+1.5+10.5+3.5+1+0+0+0</f>
        <v>30.5</v>
      </c>
      <c r="AE149" s="6">
        <f>33+7.5+1+2+9+3+6+2+5+3+0</f>
        <v>71.5</v>
      </c>
      <c r="AF149" s="6">
        <f>72+30+4+20+48+6+1+0+2+51+56</f>
        <v>290</v>
      </c>
      <c r="AG149" s="6">
        <f>3+7.5+0+1+2+0+0+0+1.5+0+0</f>
        <v>15</v>
      </c>
      <c r="AH149" s="6">
        <f>1290+1150+20+410+560+45+190+100+105+75+350</f>
        <v>4295</v>
      </c>
      <c r="AI149" s="6">
        <f t="shared" si="218"/>
        <v>2.0351758793969849E-2</v>
      </c>
      <c r="AJ149" s="6">
        <f t="shared" si="219"/>
        <v>1.5326633165829147E-2</v>
      </c>
      <c r="AK149" s="6">
        <f t="shared" si="220"/>
        <v>3.5929648241206029E-2</v>
      </c>
      <c r="AL149" s="6">
        <f t="shared" si="221"/>
        <v>0.14572864321608039</v>
      </c>
      <c r="AM149" s="6">
        <f t="shared" si="222"/>
        <v>7.537688442211055E-3</v>
      </c>
      <c r="AN149" s="6">
        <f t="shared" si="223"/>
        <v>2.158291457286432</v>
      </c>
      <c r="AO149" s="7">
        <v>4</v>
      </c>
      <c r="AP149" s="7">
        <v>1</v>
      </c>
      <c r="AQ149" s="7">
        <v>0</v>
      </c>
      <c r="AR149" s="10">
        <v>0</v>
      </c>
      <c r="AS149" s="7">
        <v>0</v>
      </c>
      <c r="AT149" s="7">
        <v>0</v>
      </c>
      <c r="AU149" s="7">
        <v>0</v>
      </c>
      <c r="AV149" s="7">
        <v>0</v>
      </c>
      <c r="AW149" s="7">
        <v>1</v>
      </c>
      <c r="AX149" s="7">
        <v>1</v>
      </c>
      <c r="AY149" s="5">
        <v>7.5</v>
      </c>
      <c r="AZ149" s="7">
        <v>0</v>
      </c>
      <c r="BA149" s="7">
        <v>0</v>
      </c>
      <c r="BB149" s="7">
        <v>0</v>
      </c>
      <c r="BC149" s="7">
        <v>1</v>
      </c>
      <c r="BD149" s="7">
        <v>1</v>
      </c>
      <c r="BE149" s="7">
        <v>0</v>
      </c>
      <c r="BF149" s="7">
        <v>0</v>
      </c>
      <c r="BG149" s="7">
        <v>0</v>
      </c>
      <c r="BH149" s="7">
        <v>0</v>
      </c>
      <c r="BI149" s="7">
        <v>0</v>
      </c>
      <c r="BJ149" s="7">
        <v>1</v>
      </c>
      <c r="BK149" s="11">
        <v>2</v>
      </c>
      <c r="BL149" s="3" t="s">
        <v>981</v>
      </c>
      <c r="BM149" s="3">
        <v>0</v>
      </c>
    </row>
    <row r="150" spans="1:65" ht="20.100000000000001" customHeight="1" x14ac:dyDescent="0.3">
      <c r="A150" s="3" t="s">
        <v>19</v>
      </c>
      <c r="B150" s="3">
        <v>18</v>
      </c>
      <c r="C150" s="8">
        <v>44359</v>
      </c>
      <c r="D150" s="9">
        <v>0.12083333333333333</v>
      </c>
      <c r="E150" s="4">
        <v>94</v>
      </c>
      <c r="F150" s="3">
        <v>0</v>
      </c>
      <c r="G150" s="3">
        <v>0</v>
      </c>
      <c r="H150" s="3">
        <v>0</v>
      </c>
      <c r="I150" s="3">
        <v>0</v>
      </c>
      <c r="J150" s="9">
        <v>0.29375000000000001</v>
      </c>
      <c r="K150" s="3">
        <v>141</v>
      </c>
      <c r="L150" s="11">
        <f t="shared" ref="L150" si="262">K150-K149</f>
        <v>-1.1999999999999886</v>
      </c>
      <c r="M150" s="5">
        <f t="shared" ref="M150" si="263">AB149</f>
        <v>1990</v>
      </c>
      <c r="N150" s="11">
        <v>30.25</v>
      </c>
      <c r="O150" s="11">
        <v>31.75</v>
      </c>
      <c r="P150" s="11">
        <v>10.625</v>
      </c>
      <c r="Q150" s="11">
        <v>10.625</v>
      </c>
      <c r="R150" s="11">
        <v>20</v>
      </c>
      <c r="S150" s="11">
        <v>20.25</v>
      </c>
      <c r="T150" s="11">
        <v>17</v>
      </c>
      <c r="U150" s="11">
        <v>13</v>
      </c>
      <c r="V150" s="11">
        <v>17</v>
      </c>
      <c r="W150" s="11">
        <v>17</v>
      </c>
      <c r="X150" s="11">
        <v>7</v>
      </c>
      <c r="Y150" s="11">
        <v>7</v>
      </c>
      <c r="Z150" s="3" t="s">
        <v>835</v>
      </c>
      <c r="AA150" s="10" t="s">
        <v>834</v>
      </c>
      <c r="AB150" s="5">
        <f>613.3+560+320+190+140+613+140</f>
        <v>2576.3000000000002</v>
      </c>
      <c r="AC150" s="6">
        <f>19.58+0+17+10+6+19.58+0</f>
        <v>72.16</v>
      </c>
      <c r="AD150" s="6">
        <f>12.75+0+10+6+0+12.75+0</f>
        <v>41.5</v>
      </c>
      <c r="AE150" s="6">
        <f>24.83+8+6+7+0+24.83+2</f>
        <v>72.66</v>
      </c>
      <c r="AF150" s="6">
        <f>78.33+136+35+34+20+78.33+34</f>
        <v>415.65999999999997</v>
      </c>
      <c r="AG150" s="6">
        <f>4+0+0+0+0+4+0</f>
        <v>8</v>
      </c>
      <c r="AH150" s="6">
        <f>1130+200+430+15+60+1130+50</f>
        <v>3015</v>
      </c>
      <c r="AI150" s="6">
        <f t="shared" si="218"/>
        <v>2.8009160423863678E-2</v>
      </c>
      <c r="AJ150" s="6">
        <f t="shared" si="219"/>
        <v>1.6108372472149982E-2</v>
      </c>
      <c r="AK150" s="6">
        <f t="shared" si="220"/>
        <v>2.8203237200636569E-2</v>
      </c>
      <c r="AL150" s="6">
        <f t="shared" si="221"/>
        <v>0.16133990606684001</v>
      </c>
      <c r="AM150" s="6">
        <f t="shared" si="222"/>
        <v>3.1052284283662615E-3</v>
      </c>
      <c r="AN150" s="6">
        <f t="shared" si="223"/>
        <v>1.1702829639405348</v>
      </c>
      <c r="AO150" s="7">
        <v>5</v>
      </c>
      <c r="AP150" s="7">
        <v>1</v>
      </c>
      <c r="AQ150" s="7">
        <v>0</v>
      </c>
      <c r="AR150" s="10">
        <v>0</v>
      </c>
      <c r="AS150" s="7">
        <v>0</v>
      </c>
      <c r="AT150" s="7">
        <v>0</v>
      </c>
      <c r="AU150" s="7">
        <v>0</v>
      </c>
      <c r="AV150" s="7">
        <v>0</v>
      </c>
      <c r="AW150" s="7">
        <v>31</v>
      </c>
      <c r="AX150" s="7">
        <v>1</v>
      </c>
      <c r="AY150" s="5">
        <v>5.5</v>
      </c>
      <c r="AZ150" s="7">
        <v>0</v>
      </c>
      <c r="BA150" s="7">
        <v>0</v>
      </c>
      <c r="BB150" s="7">
        <v>0</v>
      </c>
      <c r="BC150" s="7">
        <v>1</v>
      </c>
      <c r="BD150" s="7">
        <v>1</v>
      </c>
      <c r="BE150" s="7">
        <v>0</v>
      </c>
      <c r="BF150" s="7">
        <v>2</v>
      </c>
      <c r="BG150" s="7">
        <v>35</v>
      </c>
      <c r="BH150" s="7">
        <v>0</v>
      </c>
      <c r="BI150" s="7">
        <v>0</v>
      </c>
      <c r="BJ150" s="7">
        <v>0</v>
      </c>
      <c r="BK150" s="11">
        <v>1</v>
      </c>
      <c r="BL150" s="3" t="s">
        <v>981</v>
      </c>
      <c r="BM150" s="3">
        <v>0</v>
      </c>
    </row>
    <row r="151" spans="1:65" ht="20.100000000000001" customHeight="1" x14ac:dyDescent="0.3">
      <c r="A151" s="3" t="s">
        <v>23</v>
      </c>
      <c r="B151" s="3">
        <v>19</v>
      </c>
      <c r="C151" s="8">
        <v>44360</v>
      </c>
      <c r="D151" s="9">
        <v>0.25694444444444448</v>
      </c>
      <c r="E151" s="4">
        <v>64</v>
      </c>
      <c r="F151" s="3">
        <v>0</v>
      </c>
      <c r="G151" s="3">
        <v>0</v>
      </c>
      <c r="H151" s="3">
        <v>0</v>
      </c>
      <c r="I151" s="3">
        <v>0</v>
      </c>
      <c r="J151" s="9">
        <v>0.30624999999999997</v>
      </c>
      <c r="K151" s="3">
        <v>143.4</v>
      </c>
      <c r="L151" s="11">
        <f t="shared" ref="L151" si="264">K151-K150</f>
        <v>2.4000000000000057</v>
      </c>
      <c r="M151" s="5">
        <f t="shared" ref="M151" si="265">AB150</f>
        <v>2576.3000000000002</v>
      </c>
      <c r="N151" s="11">
        <v>31</v>
      </c>
      <c r="O151" s="11">
        <v>32</v>
      </c>
      <c r="P151" s="11">
        <v>10.5</v>
      </c>
      <c r="Q151" s="11">
        <v>10.625</v>
      </c>
      <c r="R151" s="11">
        <v>19.75</v>
      </c>
      <c r="S151" s="11">
        <v>19.75</v>
      </c>
      <c r="T151" s="11">
        <v>19</v>
      </c>
      <c r="U151" s="11">
        <v>20</v>
      </c>
      <c r="V151" s="11">
        <v>17</v>
      </c>
      <c r="W151" s="11">
        <v>15</v>
      </c>
      <c r="X151" s="11">
        <v>7</v>
      </c>
      <c r="Y151" s="11">
        <v>8</v>
      </c>
      <c r="Z151" s="3" t="s">
        <v>836</v>
      </c>
      <c r="AA151" s="10" t="s">
        <v>838</v>
      </c>
      <c r="AB151" s="5">
        <f>560+140+988.4+106+153+700+218+110</f>
        <v>2975.4</v>
      </c>
      <c r="AC151" s="6">
        <f>0+6+18.3+0.4+15.3+22+23.1+0</f>
        <v>85.1</v>
      </c>
      <c r="AD151" s="19">
        <f>0+0+3.3+0.1+9.6+12+3.6+0</f>
        <v>28.6</v>
      </c>
      <c r="AE151" s="6">
        <f>8+0+8+3.3+28+0.5+0</f>
        <v>47.8</v>
      </c>
      <c r="AF151" s="6">
        <f>136+20+132.45+16.7+1.2+102+3+28</f>
        <v>439.34999999999997</v>
      </c>
      <c r="AG151" s="6">
        <f>0+0+16.9+0.6+0+10+0.3+0</f>
        <v>27.8</v>
      </c>
      <c r="AH151" s="6">
        <f>200+60+2007+186+129+1560+367+175</f>
        <v>4684</v>
      </c>
      <c r="AI151" s="6">
        <f t="shared" si="218"/>
        <v>2.8601196477784498E-2</v>
      </c>
      <c r="AJ151" s="6">
        <f t="shared" si="219"/>
        <v>9.612152987833569E-3</v>
      </c>
      <c r="AK151" s="6">
        <f t="shared" si="220"/>
        <v>1.6065066881763793E-2</v>
      </c>
      <c r="AL151" s="6">
        <f t="shared" si="221"/>
        <v>0.14766081871345027</v>
      </c>
      <c r="AM151" s="6">
        <f t="shared" si="222"/>
        <v>9.3432815755864762E-3</v>
      </c>
      <c r="AN151" s="6">
        <f t="shared" si="223"/>
        <v>1.5742421187067284</v>
      </c>
      <c r="AO151" s="7">
        <v>4</v>
      </c>
      <c r="AP151" s="7">
        <v>1</v>
      </c>
      <c r="AQ151" s="7">
        <v>0</v>
      </c>
      <c r="AR151" s="10">
        <v>0</v>
      </c>
      <c r="AS151" s="7">
        <v>0</v>
      </c>
      <c r="AT151" s="7">
        <v>0</v>
      </c>
      <c r="AU151" s="7">
        <v>0</v>
      </c>
      <c r="AV151" s="7">
        <v>0</v>
      </c>
      <c r="AW151" s="7">
        <v>31</v>
      </c>
      <c r="AX151" s="7">
        <v>1</v>
      </c>
      <c r="AY151" s="5">
        <v>7.166666666666667</v>
      </c>
      <c r="AZ151" s="7">
        <v>0</v>
      </c>
      <c r="BA151" s="7">
        <v>0</v>
      </c>
      <c r="BB151" s="7">
        <v>0</v>
      </c>
      <c r="BC151" s="7">
        <v>1</v>
      </c>
      <c r="BD151" s="7">
        <v>1</v>
      </c>
      <c r="BE151" s="7">
        <v>0</v>
      </c>
      <c r="BF151" s="7">
        <v>0</v>
      </c>
      <c r="BG151" s="7">
        <v>0</v>
      </c>
      <c r="BH151" s="7">
        <v>0</v>
      </c>
      <c r="BI151" s="7">
        <v>0</v>
      </c>
      <c r="BJ151" s="7">
        <v>0</v>
      </c>
      <c r="BK151" s="11">
        <v>2</v>
      </c>
      <c r="BL151" s="3" t="s">
        <v>981</v>
      </c>
      <c r="BM151" s="3">
        <v>0</v>
      </c>
    </row>
    <row r="152" spans="1:65" ht="20.100000000000001" customHeight="1" x14ac:dyDescent="0.3">
      <c r="A152" s="3" t="s">
        <v>15</v>
      </c>
      <c r="B152" s="3">
        <v>20</v>
      </c>
      <c r="C152" s="8">
        <v>44361</v>
      </c>
      <c r="D152" s="9">
        <v>0.30972222222222223</v>
      </c>
      <c r="E152" s="4">
        <v>71</v>
      </c>
      <c r="F152" s="3">
        <v>0</v>
      </c>
      <c r="G152" s="3">
        <v>0</v>
      </c>
      <c r="H152" s="3">
        <v>0</v>
      </c>
      <c r="I152" s="3">
        <v>0</v>
      </c>
      <c r="J152" s="9">
        <v>0.31111111111111112</v>
      </c>
      <c r="K152" s="3">
        <v>144.4</v>
      </c>
      <c r="L152" s="11">
        <f t="shared" ref="L152" si="266">K152-K151</f>
        <v>1</v>
      </c>
      <c r="M152" s="5">
        <f t="shared" ref="M152" si="267">AB151</f>
        <v>2975.4</v>
      </c>
      <c r="N152" s="11">
        <v>31</v>
      </c>
      <c r="O152" s="11">
        <v>32.25</v>
      </c>
      <c r="P152" s="11">
        <v>10.5</v>
      </c>
      <c r="Q152" s="11">
        <v>10.625</v>
      </c>
      <c r="R152" s="11">
        <v>19.75</v>
      </c>
      <c r="S152" s="11">
        <v>19.75</v>
      </c>
      <c r="T152" s="11">
        <v>15</v>
      </c>
      <c r="U152" s="11">
        <v>15</v>
      </c>
      <c r="V152" s="11">
        <v>17</v>
      </c>
      <c r="W152" s="11">
        <v>16</v>
      </c>
      <c r="X152" s="11">
        <v>7</v>
      </c>
      <c r="Y152" s="11">
        <v>7</v>
      </c>
      <c r="Z152" s="3" t="s">
        <v>841</v>
      </c>
      <c r="AA152" s="10" t="s">
        <v>842</v>
      </c>
      <c r="AB152" s="5">
        <f>1050+436+175+142+80+110</f>
        <v>1993</v>
      </c>
      <c r="AC152" s="6">
        <f>33+46.2+5.5+3+6+0</f>
        <v>93.7</v>
      </c>
      <c r="AD152" s="6">
        <f>18+7.2+0.75+1.88+4+0</f>
        <v>31.83</v>
      </c>
      <c r="AE152" s="6">
        <f>42+1+4.5+5.25+8+0</f>
        <v>60.75</v>
      </c>
      <c r="AF152" s="6">
        <f>153+6+27.5+24+0+28</f>
        <v>238.5</v>
      </c>
      <c r="AG152" s="6">
        <f>15+0.6+1.5+0+0+0</f>
        <v>17.100000000000001</v>
      </c>
      <c r="AH152" s="6">
        <f>2340+734+285+75+400+175</f>
        <v>4009</v>
      </c>
      <c r="AI152" s="6">
        <f t="shared" si="218"/>
        <v>4.7014550928248876E-2</v>
      </c>
      <c r="AJ152" s="6">
        <f t="shared" si="219"/>
        <v>1.5970898143502256E-2</v>
      </c>
      <c r="AK152" s="6">
        <f t="shared" si="220"/>
        <v>3.0481685900652283E-2</v>
      </c>
      <c r="AL152" s="6">
        <f t="shared" si="221"/>
        <v>0.11966884094330156</v>
      </c>
      <c r="AM152" s="6">
        <f t="shared" si="222"/>
        <v>8.5800301053687907E-3</v>
      </c>
      <c r="AN152" s="6">
        <f t="shared" si="223"/>
        <v>2.0115403913697945</v>
      </c>
      <c r="AO152" s="7">
        <v>5</v>
      </c>
      <c r="AP152" s="7">
        <v>2</v>
      </c>
      <c r="AQ152" s="7">
        <v>0</v>
      </c>
      <c r="AR152" s="10">
        <v>0</v>
      </c>
      <c r="AS152" s="7">
        <v>0</v>
      </c>
      <c r="AT152" s="7">
        <v>0</v>
      </c>
      <c r="AU152" s="7">
        <v>0</v>
      </c>
      <c r="AV152" s="7">
        <v>0</v>
      </c>
      <c r="AW152" s="7">
        <v>31</v>
      </c>
      <c r="AX152" s="7">
        <v>1</v>
      </c>
      <c r="AY152" s="5">
        <v>8</v>
      </c>
      <c r="AZ152" s="7">
        <v>0</v>
      </c>
      <c r="BA152" s="7">
        <v>0</v>
      </c>
      <c r="BB152" s="7">
        <v>0</v>
      </c>
      <c r="BC152" s="7">
        <v>1</v>
      </c>
      <c r="BD152" s="7">
        <v>1</v>
      </c>
      <c r="BE152" s="7">
        <v>0</v>
      </c>
      <c r="BF152" s="7">
        <v>0</v>
      </c>
      <c r="BG152" s="7">
        <v>0</v>
      </c>
      <c r="BH152" s="7">
        <v>0</v>
      </c>
      <c r="BI152" s="7">
        <v>0</v>
      </c>
      <c r="BJ152" s="7">
        <v>0</v>
      </c>
      <c r="BK152" s="11">
        <v>2</v>
      </c>
      <c r="BL152" s="3" t="s">
        <v>981</v>
      </c>
      <c r="BM152" s="3">
        <v>0</v>
      </c>
    </row>
    <row r="153" spans="1:65" ht="20.100000000000001" customHeight="1" x14ac:dyDescent="0.3">
      <c r="A153" s="3" t="s">
        <v>16</v>
      </c>
      <c r="B153" s="3">
        <v>21</v>
      </c>
      <c r="C153" s="8">
        <v>44362</v>
      </c>
      <c r="D153" s="9">
        <v>0.28888888888888892</v>
      </c>
      <c r="E153" s="4">
        <v>70</v>
      </c>
      <c r="F153" s="3">
        <v>0</v>
      </c>
      <c r="G153" s="3">
        <v>0</v>
      </c>
      <c r="H153" s="3">
        <v>0</v>
      </c>
      <c r="I153" s="3">
        <v>0</v>
      </c>
      <c r="J153" s="9">
        <v>0.32569444444444445</v>
      </c>
      <c r="K153" s="3">
        <v>145.19999999999999</v>
      </c>
      <c r="L153" s="11">
        <f t="shared" ref="L153" si="268">K153-K152</f>
        <v>0.79999999999998295</v>
      </c>
      <c r="M153" s="5">
        <f t="shared" ref="M153" si="269">AB152</f>
        <v>1993</v>
      </c>
      <c r="N153" s="11">
        <v>31.5</v>
      </c>
      <c r="O153" s="11">
        <v>32.75</v>
      </c>
      <c r="P153" s="11">
        <v>10.5</v>
      </c>
      <c r="Q153" s="11">
        <v>10.625</v>
      </c>
      <c r="R153" s="11">
        <v>20.125</v>
      </c>
      <c r="S153" s="11">
        <v>20.125</v>
      </c>
      <c r="T153" s="11">
        <v>15</v>
      </c>
      <c r="U153" s="11">
        <v>15</v>
      </c>
      <c r="V153" s="11">
        <v>17</v>
      </c>
      <c r="W153" s="11">
        <v>15</v>
      </c>
      <c r="X153" s="11">
        <v>7</v>
      </c>
      <c r="Y153" s="11">
        <v>7</v>
      </c>
      <c r="Z153" s="3" t="s">
        <v>845</v>
      </c>
      <c r="AA153" s="10" t="s">
        <v>844</v>
      </c>
      <c r="AB153" s="5">
        <f>1050+436+40+80+60+350+140+110+190</f>
        <v>2456</v>
      </c>
      <c r="AC153" s="6">
        <f>33+46.2+3+5+0+11+2+0+4</f>
        <v>104.2</v>
      </c>
      <c r="AD153" s="6">
        <f>18+7.2+2+3.5+0+1.5+0+0+2.5</f>
        <v>34.700000000000003</v>
      </c>
      <c r="AE153" s="6">
        <f>42+1+4+6+0+0+6+0+7</f>
        <v>66</v>
      </c>
      <c r="AF153" s="6">
        <f>153+6+0+1+16+55+26+28+32</f>
        <v>317</v>
      </c>
      <c r="AG153" s="6">
        <f>15+0.6+0+0+2+3+4+0+0</f>
        <v>24.6</v>
      </c>
      <c r="AH153" s="6">
        <f>2340+734+200+190+300+570+210+175+100</f>
        <v>4819</v>
      </c>
      <c r="AI153" s="6">
        <f t="shared" si="218"/>
        <v>4.2426710097719873E-2</v>
      </c>
      <c r="AJ153" s="6">
        <f t="shared" si="219"/>
        <v>1.4128664495114008E-2</v>
      </c>
      <c r="AK153" s="6">
        <f t="shared" si="220"/>
        <v>2.6872964169381109E-2</v>
      </c>
      <c r="AL153" s="6">
        <f t="shared" si="221"/>
        <v>0.12907166123778502</v>
      </c>
      <c r="AM153" s="6">
        <f t="shared" si="222"/>
        <v>1.001628664495114E-2</v>
      </c>
      <c r="AN153" s="6">
        <f t="shared" si="223"/>
        <v>1.9621335504885993</v>
      </c>
      <c r="AO153" s="7">
        <v>4</v>
      </c>
      <c r="AP153" s="7">
        <v>1</v>
      </c>
      <c r="AQ153" s="7">
        <v>0</v>
      </c>
      <c r="AR153" s="10">
        <v>0</v>
      </c>
      <c r="AS153" s="7">
        <v>0</v>
      </c>
      <c r="AT153" s="7">
        <v>0</v>
      </c>
      <c r="AU153" s="7">
        <v>0</v>
      </c>
      <c r="AV153" s="7">
        <v>0</v>
      </c>
      <c r="AW153" s="7">
        <v>31</v>
      </c>
      <c r="AX153" s="7">
        <v>1</v>
      </c>
      <c r="AY153" s="5">
        <v>6</v>
      </c>
      <c r="AZ153" s="7">
        <v>0</v>
      </c>
      <c r="BA153" s="7">
        <v>0</v>
      </c>
      <c r="BB153" s="7">
        <v>0</v>
      </c>
      <c r="BC153" s="7">
        <v>1</v>
      </c>
      <c r="BD153" s="7">
        <v>1</v>
      </c>
      <c r="BE153" s="7">
        <v>0</v>
      </c>
      <c r="BF153" s="7">
        <v>0</v>
      </c>
      <c r="BG153" s="7">
        <v>0</v>
      </c>
      <c r="BH153" s="7">
        <v>0</v>
      </c>
      <c r="BI153" s="7">
        <v>0</v>
      </c>
      <c r="BJ153" s="7">
        <v>0</v>
      </c>
      <c r="BK153" s="11">
        <v>3</v>
      </c>
      <c r="BL153" s="3" t="s">
        <v>983</v>
      </c>
      <c r="BM153" s="3">
        <v>0</v>
      </c>
    </row>
    <row r="154" spans="1:65" ht="20.100000000000001" customHeight="1" x14ac:dyDescent="0.3">
      <c r="A154" s="3" t="s">
        <v>17</v>
      </c>
      <c r="B154" s="3">
        <v>22</v>
      </c>
      <c r="C154" s="8">
        <v>44363</v>
      </c>
      <c r="D154" s="9">
        <v>0.26874999999999999</v>
      </c>
      <c r="E154" s="4">
        <v>75</v>
      </c>
      <c r="F154" s="3">
        <v>0</v>
      </c>
      <c r="G154" s="3">
        <v>0</v>
      </c>
      <c r="H154" s="3">
        <v>0</v>
      </c>
      <c r="I154" s="3">
        <v>0</v>
      </c>
      <c r="J154" s="9">
        <v>0.29444444444444445</v>
      </c>
      <c r="K154" s="3">
        <v>146.4</v>
      </c>
      <c r="L154" s="11">
        <f t="shared" ref="L154" si="270">K154-K153</f>
        <v>1.2000000000000171</v>
      </c>
      <c r="M154" s="5">
        <f t="shared" ref="M154" si="271">AB153</f>
        <v>2456</v>
      </c>
      <c r="N154" s="11">
        <v>31.75</v>
      </c>
      <c r="O154" s="11">
        <v>32.75</v>
      </c>
      <c r="P154" s="11">
        <v>10.625</v>
      </c>
      <c r="Q154" s="11">
        <v>11</v>
      </c>
      <c r="R154" s="11">
        <v>20</v>
      </c>
      <c r="S154" s="11">
        <v>19.75</v>
      </c>
      <c r="T154" s="11">
        <v>15</v>
      </c>
      <c r="U154" s="11">
        <v>15</v>
      </c>
      <c r="V154" s="11">
        <v>16</v>
      </c>
      <c r="W154" s="11">
        <v>15</v>
      </c>
      <c r="X154" s="11">
        <v>7</v>
      </c>
      <c r="Y154" s="11">
        <v>7</v>
      </c>
      <c r="Z154" s="3" t="s">
        <v>846</v>
      </c>
      <c r="AA154" s="10" t="s">
        <v>849</v>
      </c>
      <c r="AB154" s="5">
        <f>200+160+90+280+991+180+142.5</f>
        <v>2043.5</v>
      </c>
      <c r="AC154" s="6">
        <f>2+10+0+4+83.5+0+3</f>
        <v>102.5</v>
      </c>
      <c r="AD154" s="6">
        <f>0+7+0+0+19+0+1.88</f>
        <v>27.88</v>
      </c>
      <c r="AE154" s="6">
        <f>32+12+0+12+13+0+5.25</f>
        <v>74.25</v>
      </c>
      <c r="AF154" s="6">
        <f>12+2+24+52+52.5+50+24</f>
        <v>216.5</v>
      </c>
      <c r="AG154" s="6">
        <f>8+0+3+0+9.5+0+0</f>
        <v>20.5</v>
      </c>
      <c r="AH154" s="6">
        <f>640+380+450+420+802+60+75</f>
        <v>2827</v>
      </c>
      <c r="AI154" s="6">
        <f t="shared" si="218"/>
        <v>5.0159040861267434E-2</v>
      </c>
      <c r="AJ154" s="6">
        <f t="shared" si="219"/>
        <v>1.3643259114264741E-2</v>
      </c>
      <c r="AK154" s="6">
        <f t="shared" si="220"/>
        <v>3.6334719843405923E-2</v>
      </c>
      <c r="AL154" s="6">
        <f t="shared" si="221"/>
        <v>0.10594568142892097</v>
      </c>
      <c r="AM154" s="6">
        <f t="shared" si="222"/>
        <v>1.0031808172253487E-2</v>
      </c>
      <c r="AN154" s="6">
        <f t="shared" si="223"/>
        <v>1.3834108147785662</v>
      </c>
      <c r="AO154" s="7">
        <v>5</v>
      </c>
      <c r="AP154" s="7">
        <v>1</v>
      </c>
      <c r="AQ154" s="7">
        <v>0</v>
      </c>
      <c r="AR154" s="10">
        <v>0</v>
      </c>
      <c r="AS154" s="7">
        <v>0</v>
      </c>
      <c r="AT154" s="7">
        <v>0</v>
      </c>
      <c r="AU154" s="7">
        <v>0</v>
      </c>
      <c r="AV154" s="7">
        <v>0</v>
      </c>
      <c r="AW154" s="7">
        <v>31</v>
      </c>
      <c r="AX154" s="7">
        <v>1</v>
      </c>
      <c r="AY154" s="5">
        <v>6.5</v>
      </c>
      <c r="AZ154" s="7">
        <v>0</v>
      </c>
      <c r="BA154" s="7">
        <v>0</v>
      </c>
      <c r="BB154" s="7">
        <v>0</v>
      </c>
      <c r="BC154" s="7">
        <v>1</v>
      </c>
      <c r="BD154" s="7">
        <v>1</v>
      </c>
      <c r="BE154" s="7">
        <v>0</v>
      </c>
      <c r="BF154" s="7">
        <v>0</v>
      </c>
      <c r="BG154" s="7">
        <v>0</v>
      </c>
      <c r="BH154" s="7">
        <v>0</v>
      </c>
      <c r="BI154" s="7">
        <v>0</v>
      </c>
      <c r="BJ154" s="7">
        <v>1</v>
      </c>
      <c r="BK154" s="11">
        <v>1</v>
      </c>
      <c r="BL154" s="3" t="s">
        <v>976</v>
      </c>
      <c r="BM154" s="3">
        <v>0</v>
      </c>
    </row>
    <row r="155" spans="1:65" ht="20.100000000000001" customHeight="1" x14ac:dyDescent="0.3">
      <c r="A155" s="3" t="s">
        <v>18</v>
      </c>
      <c r="B155" s="3">
        <v>0</v>
      </c>
      <c r="C155" s="8">
        <v>44364</v>
      </c>
      <c r="D155" s="9">
        <v>0.29583333333333334</v>
      </c>
      <c r="E155" s="4">
        <v>71</v>
      </c>
      <c r="F155" s="3">
        <v>0</v>
      </c>
      <c r="G155" s="3">
        <v>0</v>
      </c>
      <c r="H155" s="3">
        <v>0</v>
      </c>
      <c r="I155" s="3">
        <v>0</v>
      </c>
      <c r="J155" s="9">
        <v>0.48819444444444443</v>
      </c>
      <c r="K155" s="3">
        <v>143.4</v>
      </c>
      <c r="L155" s="11">
        <f t="shared" ref="L155" si="272">K155-K154</f>
        <v>-3</v>
      </c>
      <c r="M155" s="5">
        <f t="shared" ref="M155" si="273">AB154</f>
        <v>2043.5</v>
      </c>
      <c r="N155" s="11">
        <v>30.625</v>
      </c>
      <c r="O155" s="11">
        <v>31.625</v>
      </c>
      <c r="P155" s="11">
        <v>10.625</v>
      </c>
      <c r="Q155" s="11">
        <v>10.625</v>
      </c>
      <c r="R155" s="11">
        <v>19.75</v>
      </c>
      <c r="S155" s="11">
        <v>19.75</v>
      </c>
      <c r="T155" s="11">
        <v>15</v>
      </c>
      <c r="U155" s="11">
        <v>13</v>
      </c>
      <c r="V155" s="11">
        <v>15</v>
      </c>
      <c r="W155" s="11">
        <v>15</v>
      </c>
      <c r="X155" s="11">
        <v>7</v>
      </c>
      <c r="Y155" s="11">
        <v>7</v>
      </c>
      <c r="Z155" s="3" t="s">
        <v>851</v>
      </c>
      <c r="AA155" s="10" t="s">
        <v>852</v>
      </c>
      <c r="AB155" s="5">
        <f>100+40+60+140+625+90+410+120+80</f>
        <v>1665</v>
      </c>
      <c r="AC155" s="6">
        <f>1+2.5+0+2+12.5+3.5+14+0+5</f>
        <v>40.5</v>
      </c>
      <c r="AD155" s="6">
        <f>0+1.75+0+0+6.25+1+8+0+3.5</f>
        <v>20.5</v>
      </c>
      <c r="AE155" s="6">
        <f>16+3+0+6+25+3+12+0+6</f>
        <v>71</v>
      </c>
      <c r="AF155" s="6">
        <f>6+0.5+16+26+105+12+60+32+1</f>
        <v>258.5</v>
      </c>
      <c r="AG155" s="6">
        <f>4+0+2+4+2.5+3+0+4+0</f>
        <v>19.5</v>
      </c>
      <c r="AH155" s="6">
        <f>320+95+300+210+850+460+340+600+190</f>
        <v>3365</v>
      </c>
      <c r="AI155" s="6">
        <f t="shared" si="218"/>
        <v>2.4324324324324326E-2</v>
      </c>
      <c r="AJ155" s="6">
        <f t="shared" si="219"/>
        <v>1.2312312312312312E-2</v>
      </c>
      <c r="AK155" s="6">
        <f t="shared" si="220"/>
        <v>4.2642642642642642E-2</v>
      </c>
      <c r="AL155" s="6">
        <f t="shared" si="221"/>
        <v>0.15525525525525524</v>
      </c>
      <c r="AM155" s="6">
        <f t="shared" si="222"/>
        <v>1.1711711711711712E-2</v>
      </c>
      <c r="AN155" s="6">
        <f t="shared" si="223"/>
        <v>2.0210210210210211</v>
      </c>
      <c r="AO155" s="7">
        <v>5</v>
      </c>
      <c r="AP155" s="7">
        <v>2</v>
      </c>
      <c r="AQ155" s="7">
        <v>1</v>
      </c>
      <c r="AR155" s="10">
        <v>0</v>
      </c>
      <c r="AS155" s="7">
        <v>0</v>
      </c>
      <c r="AT155" s="7">
        <v>0</v>
      </c>
      <c r="AU155" s="7">
        <v>0</v>
      </c>
      <c r="AV155" s="7">
        <v>0</v>
      </c>
      <c r="AW155" s="7">
        <v>31</v>
      </c>
      <c r="AX155" s="7">
        <v>1</v>
      </c>
      <c r="AY155" s="5">
        <v>8.25</v>
      </c>
      <c r="AZ155" s="7">
        <v>0</v>
      </c>
      <c r="BA155" s="7">
        <v>0</v>
      </c>
      <c r="BB155" s="7">
        <v>0</v>
      </c>
      <c r="BC155" s="7">
        <v>1</v>
      </c>
      <c r="BD155" s="7">
        <v>1</v>
      </c>
      <c r="BE155" s="7">
        <v>0</v>
      </c>
      <c r="BF155" s="7">
        <v>1</v>
      </c>
      <c r="BG155" s="7">
        <v>15</v>
      </c>
      <c r="BH155" s="7">
        <v>0</v>
      </c>
      <c r="BI155" s="7">
        <v>0</v>
      </c>
      <c r="BJ155" s="7">
        <v>1</v>
      </c>
      <c r="BK155" s="11">
        <v>2</v>
      </c>
      <c r="BL155" s="3" t="s">
        <v>976</v>
      </c>
      <c r="BM155" s="3">
        <v>0</v>
      </c>
    </row>
    <row r="156" spans="1:65" ht="20.100000000000001" customHeight="1" x14ac:dyDescent="0.3">
      <c r="A156" s="3" t="s">
        <v>137</v>
      </c>
      <c r="B156" s="3">
        <v>1</v>
      </c>
      <c r="C156" s="8">
        <v>44365</v>
      </c>
      <c r="D156" s="9">
        <v>0.26111111111111113</v>
      </c>
      <c r="E156" s="4">
        <v>70</v>
      </c>
      <c r="F156" s="3">
        <v>0</v>
      </c>
      <c r="G156" s="3">
        <v>0</v>
      </c>
      <c r="H156" s="3">
        <v>0</v>
      </c>
      <c r="I156" s="3">
        <v>0</v>
      </c>
      <c r="J156" s="9">
        <v>0.30138888888888887</v>
      </c>
      <c r="K156" s="3">
        <v>143.4</v>
      </c>
      <c r="L156" s="11">
        <f t="shared" ref="L156" si="274">K156-K155</f>
        <v>0</v>
      </c>
      <c r="M156" s="5">
        <f t="shared" ref="M156" si="275">AB155</f>
        <v>1665</v>
      </c>
      <c r="N156" s="11">
        <v>31.875</v>
      </c>
      <c r="O156" s="11">
        <v>32.25</v>
      </c>
      <c r="P156" s="11">
        <v>10.625</v>
      </c>
      <c r="Q156" s="11">
        <v>10.875</v>
      </c>
      <c r="R156" s="11">
        <v>20</v>
      </c>
      <c r="S156" s="11">
        <v>20.25</v>
      </c>
      <c r="T156" s="11">
        <v>16</v>
      </c>
      <c r="U156" s="11">
        <v>15</v>
      </c>
      <c r="V156" s="11">
        <v>16</v>
      </c>
      <c r="W156" s="11">
        <v>16</v>
      </c>
      <c r="X156" s="11">
        <v>7</v>
      </c>
      <c r="Y156" s="11">
        <v>7</v>
      </c>
      <c r="Z156" s="3" t="s">
        <v>854</v>
      </c>
      <c r="AA156" s="10" t="s">
        <v>853</v>
      </c>
      <c r="AB156" s="5">
        <f>250+45+80+30+70+277+140</f>
        <v>892</v>
      </c>
      <c r="AC156" s="6">
        <f>5+1.75+5+2.25+5+5.59+7</f>
        <v>31.59</v>
      </c>
      <c r="AD156" s="6">
        <f>2.5+1+4+2+4+1+5</f>
        <v>19.5</v>
      </c>
      <c r="AE156" s="6">
        <f>10+2+6+3+1+9+2</f>
        <v>33</v>
      </c>
      <c r="AF156" s="6">
        <f>42+6+1+0+4+48+18</f>
        <v>119</v>
      </c>
      <c r="AG156" s="6">
        <f>1+2+0+0+0+4+2</f>
        <v>9</v>
      </c>
      <c r="AH156" s="6">
        <f>340+230+190+150+20+451+90</f>
        <v>1471</v>
      </c>
      <c r="AI156" s="6">
        <f t="shared" si="218"/>
        <v>3.5414798206278027E-2</v>
      </c>
      <c r="AJ156" s="6">
        <f t="shared" si="219"/>
        <v>2.1860986547085202E-2</v>
      </c>
      <c r="AK156" s="6">
        <f t="shared" si="220"/>
        <v>3.6995515695067267E-2</v>
      </c>
      <c r="AL156" s="6">
        <f t="shared" si="221"/>
        <v>0.13340807174887892</v>
      </c>
      <c r="AM156" s="6">
        <f t="shared" si="222"/>
        <v>1.0089686098654708E-2</v>
      </c>
      <c r="AN156" s="6">
        <f t="shared" si="223"/>
        <v>1.649103139013453</v>
      </c>
      <c r="AO156" s="7">
        <v>4</v>
      </c>
      <c r="AP156" s="7">
        <v>1</v>
      </c>
      <c r="AQ156" s="7">
        <v>1</v>
      </c>
      <c r="AR156" s="10">
        <v>0</v>
      </c>
      <c r="AS156" s="7">
        <v>0</v>
      </c>
      <c r="AT156" s="7">
        <v>0</v>
      </c>
      <c r="AU156" s="7">
        <v>0</v>
      </c>
      <c r="AV156" s="7">
        <v>0</v>
      </c>
      <c r="AW156" s="7">
        <v>31</v>
      </c>
      <c r="AX156" s="7">
        <v>1</v>
      </c>
      <c r="AY156" s="5">
        <v>6</v>
      </c>
      <c r="AZ156" s="7">
        <v>0</v>
      </c>
      <c r="BA156" s="7">
        <v>1</v>
      </c>
      <c r="BB156" s="7">
        <v>0</v>
      </c>
      <c r="BC156" s="7">
        <v>1</v>
      </c>
      <c r="BD156" s="7">
        <v>1</v>
      </c>
      <c r="BE156" s="7">
        <v>0</v>
      </c>
      <c r="BF156" s="7">
        <v>0</v>
      </c>
      <c r="BG156" s="7">
        <v>0</v>
      </c>
      <c r="BH156" s="7">
        <v>0</v>
      </c>
      <c r="BI156" s="7">
        <v>0</v>
      </c>
      <c r="BJ156" s="7">
        <v>1</v>
      </c>
      <c r="BK156" s="11">
        <v>0</v>
      </c>
      <c r="BL156" s="7">
        <v>0</v>
      </c>
      <c r="BM156" s="3">
        <v>0</v>
      </c>
    </row>
    <row r="157" spans="1:65" ht="20.100000000000001" customHeight="1" x14ac:dyDescent="0.3">
      <c r="A157" s="3" t="s">
        <v>19</v>
      </c>
      <c r="B157" s="3">
        <v>2</v>
      </c>
      <c r="C157" s="8">
        <v>44366</v>
      </c>
      <c r="D157" s="9">
        <v>0.2638888888888889</v>
      </c>
      <c r="E157" s="4">
        <v>66</v>
      </c>
      <c r="F157" s="3">
        <v>0</v>
      </c>
      <c r="G157" s="3">
        <v>0</v>
      </c>
      <c r="H157" s="3">
        <v>0</v>
      </c>
      <c r="I157" s="3">
        <v>0</v>
      </c>
      <c r="J157" s="9">
        <v>0.27916666666666667</v>
      </c>
      <c r="K157" s="3">
        <v>140</v>
      </c>
      <c r="L157" s="11">
        <f t="shared" ref="L157" si="276">K157-K156</f>
        <v>-3.4000000000000057</v>
      </c>
      <c r="M157" s="5">
        <f t="shared" ref="M157" si="277">AB156</f>
        <v>892</v>
      </c>
      <c r="N157" s="11">
        <v>30.5</v>
      </c>
      <c r="O157" s="11">
        <v>32.25</v>
      </c>
      <c r="P157" s="11">
        <v>10.75</v>
      </c>
      <c r="Q157" s="11">
        <v>10.75</v>
      </c>
      <c r="R157" s="11">
        <v>19.75</v>
      </c>
      <c r="S157" s="11">
        <v>19.75</v>
      </c>
      <c r="T157" s="11">
        <v>15</v>
      </c>
      <c r="U157" s="11">
        <v>13</v>
      </c>
      <c r="V157" s="11">
        <v>16</v>
      </c>
      <c r="W157" s="11">
        <v>16</v>
      </c>
      <c r="X157" s="11">
        <v>7</v>
      </c>
      <c r="Y157" s="11">
        <v>7</v>
      </c>
      <c r="Z157" s="3" t="s">
        <v>859</v>
      </c>
      <c r="AA157" s="10" t="s">
        <v>860</v>
      </c>
      <c r="AB157" s="5">
        <f>140+180+100+900+285+250+80+8.5+6.25+40</f>
        <v>1989.75</v>
      </c>
      <c r="AC157" s="6">
        <f>2+15+0+45+6+5+5+0+0+0.2</f>
        <v>78.2</v>
      </c>
      <c r="AD157" s="6">
        <f>0+2.5+0+10+3.75+2.5+3.5+0+0+0.1</f>
        <v>22.35</v>
      </c>
      <c r="AE157" s="6">
        <f>6+7+0+10+10.5+10+6+0+0+0.6</f>
        <v>50.1</v>
      </c>
      <c r="AF157" s="6">
        <f>26+8+26+110+48+42+1+36+1.5+10.1</f>
        <v>308.60000000000002</v>
      </c>
      <c r="AG157" s="6">
        <f>4+2+0+0+0+1+0+0+0.25+1.4</f>
        <v>8.65</v>
      </c>
      <c r="AH157" s="6">
        <f>210+135+0+850+150+340+190+1+0+2</f>
        <v>1878</v>
      </c>
      <c r="AI157" s="6">
        <f t="shared" si="218"/>
        <v>3.9301419776353812E-2</v>
      </c>
      <c r="AJ157" s="6">
        <f t="shared" si="219"/>
        <v>1.1232566905390125E-2</v>
      </c>
      <c r="AK157" s="6">
        <f t="shared" si="220"/>
        <v>2.5179042593290617E-2</v>
      </c>
      <c r="AL157" s="6">
        <f t="shared" si="221"/>
        <v>0.15509486116346277</v>
      </c>
      <c r="AM157" s="6">
        <f t="shared" si="222"/>
        <v>4.3472798090212336E-3</v>
      </c>
      <c r="AN157" s="6">
        <f t="shared" si="223"/>
        <v>0.94383716547304941</v>
      </c>
      <c r="AO157" s="7">
        <v>5</v>
      </c>
      <c r="AP157" s="7">
        <v>2</v>
      </c>
      <c r="AQ157" s="7">
        <v>1</v>
      </c>
      <c r="AR157" s="10">
        <v>0</v>
      </c>
      <c r="AS157" s="7">
        <v>0</v>
      </c>
      <c r="AT157" s="7">
        <v>0</v>
      </c>
      <c r="AU157" s="7">
        <v>0</v>
      </c>
      <c r="AV157" s="7">
        <v>0</v>
      </c>
      <c r="AW157" s="7">
        <v>31</v>
      </c>
      <c r="AX157" s="7">
        <v>1</v>
      </c>
      <c r="AY157" s="5">
        <v>6.5</v>
      </c>
      <c r="AZ157" s="7">
        <v>0</v>
      </c>
      <c r="BA157" s="7">
        <v>0</v>
      </c>
      <c r="BB157" s="7">
        <v>0</v>
      </c>
      <c r="BC157" s="7">
        <v>1</v>
      </c>
      <c r="BD157" s="7">
        <v>1</v>
      </c>
      <c r="BE157" s="7">
        <v>0</v>
      </c>
      <c r="BF157" s="7">
        <v>0</v>
      </c>
      <c r="BG157" s="7">
        <v>0</v>
      </c>
      <c r="BH157" s="7">
        <v>0</v>
      </c>
      <c r="BI157" s="7">
        <v>0</v>
      </c>
      <c r="BJ157" s="7">
        <v>1</v>
      </c>
      <c r="BK157" s="11">
        <v>1</v>
      </c>
      <c r="BL157" s="3" t="s">
        <v>976</v>
      </c>
      <c r="BM157" s="3">
        <v>0</v>
      </c>
    </row>
    <row r="158" spans="1:65" ht="20.100000000000001" customHeight="1" x14ac:dyDescent="0.3">
      <c r="A158" s="3" t="s">
        <v>23</v>
      </c>
      <c r="B158" s="3">
        <v>3</v>
      </c>
      <c r="C158" s="8">
        <v>44367</v>
      </c>
      <c r="D158" s="9">
        <v>0.2638888888888889</v>
      </c>
      <c r="E158" s="4">
        <v>66</v>
      </c>
      <c r="F158" s="3">
        <v>0</v>
      </c>
      <c r="G158" s="3">
        <v>0</v>
      </c>
      <c r="H158" s="3">
        <v>0</v>
      </c>
      <c r="I158" s="3">
        <v>0</v>
      </c>
      <c r="J158" s="9">
        <v>0.31111111111111112</v>
      </c>
      <c r="K158" s="3">
        <v>138.80000000000001</v>
      </c>
      <c r="L158" s="11">
        <f t="shared" ref="L158" si="278">K158-K157</f>
        <v>-1.1999999999999886</v>
      </c>
      <c r="M158" s="5">
        <f t="shared" ref="M158" si="279">AB157</f>
        <v>1989.75</v>
      </c>
      <c r="N158" s="11">
        <v>30</v>
      </c>
      <c r="O158" s="11">
        <v>31.5</v>
      </c>
      <c r="P158" s="11">
        <v>10.5</v>
      </c>
      <c r="Q158" s="11">
        <v>10.625</v>
      </c>
      <c r="R158" s="11">
        <v>19.5</v>
      </c>
      <c r="S158" s="11">
        <v>19.5</v>
      </c>
      <c r="T158" s="11">
        <v>15</v>
      </c>
      <c r="U158" s="11">
        <v>12</v>
      </c>
      <c r="V158" s="11">
        <v>16</v>
      </c>
      <c r="W158" s="11">
        <v>17</v>
      </c>
      <c r="X158" s="11">
        <v>7</v>
      </c>
      <c r="Y158" s="11">
        <v>7</v>
      </c>
      <c r="Z158" s="3" t="s">
        <v>861</v>
      </c>
      <c r="AA158" s="10" t="s">
        <v>870</v>
      </c>
      <c r="AB158" s="5">
        <f>285+900+500+90+240+280+145+120+15+105</f>
        <v>2680</v>
      </c>
      <c r="AC158" s="6">
        <f>6+45+10+3.5+15+10+15.4+10+0.25+0</f>
        <v>115.15</v>
      </c>
      <c r="AD158" s="6">
        <f>3.75+10+5+1+10.5+0+2.4+7+0+0</f>
        <v>39.65</v>
      </c>
      <c r="AE158" s="6">
        <f>10.5+10+20+3+18+4+0.33+2+0.5+1</f>
        <v>69.33</v>
      </c>
      <c r="AF158" s="6">
        <f>48+110+84+12+3+44+2+4+2.5+27</f>
        <v>336.5</v>
      </c>
      <c r="AG158" s="6">
        <f>0+0+2+3+0+4+0.2+0+0.5+3</f>
        <v>12.7</v>
      </c>
      <c r="AH158" s="6">
        <f>150+850+680+460+570+480+244.67+30+125+1</f>
        <v>3590.67</v>
      </c>
      <c r="AI158" s="6">
        <f t="shared" si="218"/>
        <v>4.2966417910447766E-2</v>
      </c>
      <c r="AJ158" s="6">
        <f t="shared" si="219"/>
        <v>1.4794776119402985E-2</v>
      </c>
      <c r="AK158" s="6">
        <f t="shared" si="220"/>
        <v>2.5869402985074626E-2</v>
      </c>
      <c r="AL158" s="6">
        <f t="shared" si="221"/>
        <v>0.12555970149253731</v>
      </c>
      <c r="AM158" s="6">
        <f t="shared" si="222"/>
        <v>4.738805970149253E-3</v>
      </c>
      <c r="AN158" s="6">
        <f t="shared" si="223"/>
        <v>1.3398022388059703</v>
      </c>
      <c r="AO158" s="7">
        <v>5</v>
      </c>
      <c r="AP158" s="7">
        <v>1</v>
      </c>
      <c r="AQ158" s="7">
        <v>1</v>
      </c>
      <c r="AR158" s="10">
        <v>0</v>
      </c>
      <c r="AS158" s="7">
        <v>0</v>
      </c>
      <c r="AT158" s="7">
        <v>0</v>
      </c>
      <c r="AU158" s="7">
        <v>0</v>
      </c>
      <c r="AV158" s="7">
        <v>0</v>
      </c>
      <c r="AW158" s="7">
        <v>31</v>
      </c>
      <c r="AX158" s="7">
        <v>1</v>
      </c>
      <c r="AY158" s="5">
        <v>8</v>
      </c>
      <c r="AZ158" s="7">
        <v>0</v>
      </c>
      <c r="BA158" s="7">
        <v>0</v>
      </c>
      <c r="BB158" s="7">
        <v>0</v>
      </c>
      <c r="BC158" s="7">
        <v>1</v>
      </c>
      <c r="BD158" s="7">
        <v>1</v>
      </c>
      <c r="BE158" s="7">
        <v>0</v>
      </c>
      <c r="BF158" s="7">
        <v>0</v>
      </c>
      <c r="BG158" s="7">
        <v>0</v>
      </c>
      <c r="BH158" s="7">
        <v>0</v>
      </c>
      <c r="BI158" s="7">
        <v>0</v>
      </c>
      <c r="BJ158" s="7">
        <v>1</v>
      </c>
      <c r="BK158" s="11">
        <v>1</v>
      </c>
      <c r="BL158" s="3" t="s">
        <v>976</v>
      </c>
      <c r="BM158" s="3">
        <v>0</v>
      </c>
    </row>
    <row r="159" spans="1:65" ht="20.100000000000001" customHeight="1" x14ac:dyDescent="0.3">
      <c r="A159" s="3" t="s">
        <v>15</v>
      </c>
      <c r="B159" s="3">
        <v>4</v>
      </c>
      <c r="C159" s="8">
        <v>44368</v>
      </c>
      <c r="D159" s="9">
        <v>0.29166666666666669</v>
      </c>
      <c r="E159" s="4">
        <v>63</v>
      </c>
      <c r="F159" s="3">
        <v>0</v>
      </c>
      <c r="G159" s="3">
        <v>0</v>
      </c>
      <c r="H159" s="3">
        <v>0</v>
      </c>
      <c r="I159" s="3">
        <v>0</v>
      </c>
      <c r="J159" s="9">
        <v>0.29444444444444445</v>
      </c>
      <c r="K159" s="3">
        <v>140.4</v>
      </c>
      <c r="L159" s="11">
        <f t="shared" ref="L159" si="280">K159-K158</f>
        <v>1.5999999999999943</v>
      </c>
      <c r="M159" s="5">
        <f t="shared" ref="M159" si="281">AB158</f>
        <v>2680</v>
      </c>
      <c r="N159" s="11">
        <v>30.5</v>
      </c>
      <c r="O159" s="11">
        <v>31.25</v>
      </c>
      <c r="P159" s="11">
        <v>10.625</v>
      </c>
      <c r="Q159" s="11">
        <v>10.75</v>
      </c>
      <c r="R159" s="11">
        <v>19.75</v>
      </c>
      <c r="S159" s="11">
        <v>19.5</v>
      </c>
      <c r="T159" s="11">
        <v>15</v>
      </c>
      <c r="U159" s="11">
        <v>12</v>
      </c>
      <c r="V159" s="11">
        <v>16</v>
      </c>
      <c r="W159" s="11">
        <v>15</v>
      </c>
      <c r="X159" s="11">
        <v>7</v>
      </c>
      <c r="Y159" s="11">
        <v>7</v>
      </c>
      <c r="Z159" s="3" t="s">
        <v>869</v>
      </c>
      <c r="AA159" s="10" t="s">
        <v>871</v>
      </c>
      <c r="AB159" s="5">
        <f>1550+436+285+200+270+50+280+180+30+80+180+30+80+140+105</f>
        <v>3896</v>
      </c>
      <c r="AC159" s="6">
        <f>75+46.2+6+7+13.5+3+10+15+0.5+5+15+0.5+5+7+0</f>
        <v>208.7</v>
      </c>
      <c r="AD159" s="6">
        <f>40+7.2+3.75+2.5+9+3+0+10.5+0+3.5+10.5+0+3.5+5+0</f>
        <v>98.45</v>
      </c>
      <c r="AE159" s="6">
        <f>75+1+10.5+4+4.5+0+4+3+1+6+3+1+6+2+1</f>
        <v>122</v>
      </c>
      <c r="AF159" s="6">
        <f>140+6+48+32+33+6+44+6+5+1+6+5+1+18+27</f>
        <v>378</v>
      </c>
      <c r="AG159" s="6">
        <f>5+0.6+0+1+1.5+0+4+0+1+0+0+1+0+2+3</f>
        <v>19.100000000000001</v>
      </c>
      <c r="AH159" s="6">
        <f>3150+734+150+370+82.5+0+480+45+250+190+45+250+190+90+1</f>
        <v>6027.5</v>
      </c>
      <c r="AI159" s="6">
        <f t="shared" si="218"/>
        <v>5.3567761806981515E-2</v>
      </c>
      <c r="AJ159" s="6">
        <f t="shared" si="219"/>
        <v>2.5269507186858317E-2</v>
      </c>
      <c r="AK159" s="6">
        <f t="shared" si="220"/>
        <v>3.1314168377823408E-2</v>
      </c>
      <c r="AL159" s="6">
        <f t="shared" si="221"/>
        <v>9.7022587268993835E-2</v>
      </c>
      <c r="AM159" s="6">
        <f t="shared" si="222"/>
        <v>4.9024640657084192E-3</v>
      </c>
      <c r="AN159" s="6">
        <f t="shared" si="223"/>
        <v>1.547099589322382</v>
      </c>
      <c r="AO159" s="7">
        <v>4</v>
      </c>
      <c r="AP159" s="7">
        <v>2</v>
      </c>
      <c r="AQ159" s="7">
        <v>1</v>
      </c>
      <c r="AR159" s="10">
        <v>0</v>
      </c>
      <c r="AS159" s="7">
        <v>0</v>
      </c>
      <c r="AT159" s="7">
        <v>0</v>
      </c>
      <c r="AU159" s="7">
        <v>0</v>
      </c>
      <c r="AV159" s="7">
        <v>0</v>
      </c>
      <c r="AW159" s="7">
        <v>31</v>
      </c>
      <c r="AX159" s="7">
        <v>1</v>
      </c>
      <c r="AY159" s="5">
        <v>7</v>
      </c>
      <c r="AZ159" s="7">
        <v>0</v>
      </c>
      <c r="BA159" s="7">
        <v>0</v>
      </c>
      <c r="BB159" s="7">
        <v>0</v>
      </c>
      <c r="BC159" s="7">
        <v>1</v>
      </c>
      <c r="BD159" s="7">
        <v>1</v>
      </c>
      <c r="BE159" s="7">
        <v>0</v>
      </c>
      <c r="BF159" s="7">
        <v>0</v>
      </c>
      <c r="BG159" s="7">
        <v>0</v>
      </c>
      <c r="BH159" s="7">
        <v>0</v>
      </c>
      <c r="BI159" s="7">
        <v>0</v>
      </c>
      <c r="BJ159" s="7">
        <v>1</v>
      </c>
      <c r="BK159" s="11">
        <v>2</v>
      </c>
      <c r="BL159" s="3" t="s">
        <v>976</v>
      </c>
      <c r="BM159" s="3">
        <v>0</v>
      </c>
    </row>
    <row r="160" spans="1:65" ht="20.100000000000001" customHeight="1" x14ac:dyDescent="0.3">
      <c r="A160" s="3" t="s">
        <v>16</v>
      </c>
      <c r="B160" s="3">
        <v>5</v>
      </c>
      <c r="C160" s="8">
        <v>44369</v>
      </c>
      <c r="D160" s="9">
        <v>0.30555555555555552</v>
      </c>
      <c r="E160" s="4">
        <v>63</v>
      </c>
      <c r="F160" s="3">
        <v>0</v>
      </c>
      <c r="G160" s="3">
        <v>0</v>
      </c>
      <c r="H160" s="3">
        <v>0</v>
      </c>
      <c r="I160" s="3">
        <v>0</v>
      </c>
      <c r="J160" s="9">
        <v>0.36527777777777781</v>
      </c>
      <c r="K160" s="3">
        <v>143.4</v>
      </c>
      <c r="L160" s="11">
        <f t="shared" ref="L160" si="282">K160-K159</f>
        <v>3</v>
      </c>
      <c r="M160" s="5">
        <f t="shared" ref="M160" si="283">AB159</f>
        <v>3896</v>
      </c>
      <c r="N160" s="11">
        <v>31</v>
      </c>
      <c r="O160" s="11">
        <v>32.25</v>
      </c>
      <c r="P160" s="11">
        <v>10.625</v>
      </c>
      <c r="Q160" s="11">
        <v>10.75</v>
      </c>
      <c r="R160" s="11">
        <v>19.75</v>
      </c>
      <c r="S160" s="11">
        <v>19.625</v>
      </c>
      <c r="T160" s="11">
        <v>15</v>
      </c>
      <c r="U160" s="11">
        <v>12</v>
      </c>
      <c r="V160" s="11">
        <v>15</v>
      </c>
      <c r="W160" s="11">
        <v>15</v>
      </c>
      <c r="X160" s="11">
        <v>7</v>
      </c>
      <c r="Y160" s="11">
        <v>7</v>
      </c>
      <c r="Z160" s="3" t="s">
        <v>873</v>
      </c>
      <c r="AA160" s="10" t="s">
        <v>872</v>
      </c>
      <c r="AB160" s="5">
        <f>200+270+50+720+218+60+200</f>
        <v>1718</v>
      </c>
      <c r="AC160" s="6">
        <f>7+13.5+3+38.25+23.1+4.25+7</f>
        <v>96.1</v>
      </c>
      <c r="AD160" s="6">
        <f>2.5+9+3+15.75+3.6+0+2.5</f>
        <v>36.35</v>
      </c>
      <c r="AE160" s="6">
        <f>4+4.5+0+27+0.5+1+4</f>
        <v>41</v>
      </c>
      <c r="AF160" s="6">
        <f>32+33+6+65.25+3+11+32</f>
        <v>182.25</v>
      </c>
      <c r="AG160" s="6">
        <f>1+1.5+0+4.5+0.3+0.5+1</f>
        <v>8.8000000000000007</v>
      </c>
      <c r="AH160" s="6">
        <f>370+82.5+0+1080+367+80+370</f>
        <v>2349.5</v>
      </c>
      <c r="AI160" s="6">
        <f t="shared" si="218"/>
        <v>5.5937136204889402E-2</v>
      </c>
      <c r="AJ160" s="6">
        <f t="shared" si="219"/>
        <v>2.1158323632130386E-2</v>
      </c>
      <c r="AK160" s="6">
        <f t="shared" si="220"/>
        <v>2.3864959254947613E-2</v>
      </c>
      <c r="AL160" s="6">
        <f t="shared" si="221"/>
        <v>0.1060826542491269</v>
      </c>
      <c r="AM160" s="6">
        <f t="shared" si="222"/>
        <v>5.1222351571594878E-3</v>
      </c>
      <c r="AN160" s="6">
        <f t="shared" si="223"/>
        <v>1.3675785797438882</v>
      </c>
      <c r="AO160" s="7">
        <v>4</v>
      </c>
      <c r="AP160" s="7">
        <v>1</v>
      </c>
      <c r="AQ160" s="7">
        <v>0</v>
      </c>
      <c r="AR160" s="10">
        <v>0</v>
      </c>
      <c r="AS160" s="7">
        <v>0</v>
      </c>
      <c r="AT160" s="7">
        <v>0</v>
      </c>
      <c r="AU160" s="7">
        <v>0</v>
      </c>
      <c r="AV160" s="7">
        <v>0</v>
      </c>
      <c r="AW160" s="7">
        <v>31</v>
      </c>
      <c r="AX160" s="7">
        <v>1</v>
      </c>
      <c r="AY160" s="5">
        <v>6.3</v>
      </c>
      <c r="AZ160" s="7">
        <v>0</v>
      </c>
      <c r="BA160" s="7">
        <v>1</v>
      </c>
      <c r="BB160" s="7">
        <v>0</v>
      </c>
      <c r="BC160" s="7">
        <v>1</v>
      </c>
      <c r="BD160" s="7">
        <v>1</v>
      </c>
      <c r="BE160" s="7">
        <v>0</v>
      </c>
      <c r="BF160" s="7">
        <v>1</v>
      </c>
      <c r="BG160" s="7">
        <v>20</v>
      </c>
      <c r="BH160" s="7">
        <v>0</v>
      </c>
      <c r="BI160" s="7">
        <v>0</v>
      </c>
      <c r="BJ160" s="7">
        <v>1</v>
      </c>
      <c r="BK160" s="11">
        <v>0</v>
      </c>
      <c r="BL160" s="7">
        <v>0</v>
      </c>
      <c r="BM160" s="3">
        <v>0</v>
      </c>
    </row>
    <row r="161" spans="1:65" ht="20.100000000000001" customHeight="1" x14ac:dyDescent="0.3">
      <c r="A161" s="3" t="s">
        <v>17</v>
      </c>
      <c r="B161" s="3">
        <v>6</v>
      </c>
      <c r="C161" s="8">
        <v>44370</v>
      </c>
      <c r="D161" s="9">
        <v>0.3263888888888889</v>
      </c>
      <c r="E161" s="4">
        <v>67</v>
      </c>
      <c r="F161" s="3">
        <v>0</v>
      </c>
      <c r="G161" s="3">
        <v>0</v>
      </c>
      <c r="H161" s="3">
        <v>0</v>
      </c>
      <c r="I161" s="3">
        <v>0</v>
      </c>
      <c r="J161" s="9">
        <v>0.32291666666666669</v>
      </c>
      <c r="K161" s="3">
        <v>141.6</v>
      </c>
      <c r="L161" s="11">
        <f t="shared" ref="L161" si="284">K161-K160</f>
        <v>-1.8000000000000114</v>
      </c>
      <c r="M161" s="5">
        <f t="shared" ref="M161" si="285">AB160</f>
        <v>1718</v>
      </c>
      <c r="N161" s="11">
        <v>30.5</v>
      </c>
      <c r="O161" s="11">
        <v>31.75</v>
      </c>
      <c r="P161" s="11">
        <v>10.625</v>
      </c>
      <c r="Q161" s="11">
        <v>10.5</v>
      </c>
      <c r="R161" s="11">
        <v>19.75</v>
      </c>
      <c r="S161" s="11">
        <v>19.875</v>
      </c>
      <c r="T161" s="11">
        <v>15</v>
      </c>
      <c r="U161" s="11">
        <v>15</v>
      </c>
      <c r="V161" s="11">
        <v>17</v>
      </c>
      <c r="W161" s="11">
        <v>17</v>
      </c>
      <c r="X161" s="11">
        <v>7</v>
      </c>
      <c r="Y161" s="11">
        <v>7</v>
      </c>
      <c r="Z161" s="3" t="s">
        <v>874</v>
      </c>
      <c r="AA161" s="10" t="s">
        <v>875</v>
      </c>
      <c r="AB161" s="5">
        <f>200+160+180+30+554.5+40+153+140+390+60+80+200+37.5+240</f>
        <v>2465</v>
      </c>
      <c r="AC161" s="6">
        <f>2+10+15+0.5+11.18+4.5+15.3+6+13.5+1+5+7+2.25+12.75</f>
        <v>105.98</v>
      </c>
      <c r="AD161" s="6">
        <f>0+7+10.5+0+2.15+1+9.6+0+7.5+0+3.5+2.5+2.25+5.25</f>
        <v>51.25</v>
      </c>
      <c r="AE161" s="6">
        <f>4+12+3+1+17.8+0+3.3+0+16.5+2+6+4+0+9</f>
        <v>78.599999999999994</v>
      </c>
      <c r="AF161" s="6">
        <f>42+2+6+5+96.55+0+1.2+20+49.5+10+1+32+4.5+21.75</f>
        <v>291.5</v>
      </c>
      <c r="AG161" s="6">
        <f>4+0+0+1+8.35+0+0+0+3+2+0+1+0+1.5</f>
        <v>20.85</v>
      </c>
      <c r="AH161" s="6">
        <f>40+380+45+250+901+40+129+60+690+500+190+370+0+360</f>
        <v>3955</v>
      </c>
      <c r="AI161" s="6">
        <f t="shared" si="218"/>
        <v>4.2993914807302233E-2</v>
      </c>
      <c r="AJ161" s="6">
        <f t="shared" si="219"/>
        <v>2.0791075050709939E-2</v>
      </c>
      <c r="AK161" s="6">
        <f t="shared" si="220"/>
        <v>3.1886409736308317E-2</v>
      </c>
      <c r="AL161" s="6">
        <f t="shared" si="221"/>
        <v>0.11825557809330629</v>
      </c>
      <c r="AM161" s="6">
        <f t="shared" si="222"/>
        <v>8.4584178498985814E-3</v>
      </c>
      <c r="AN161" s="6">
        <f t="shared" si="223"/>
        <v>1.6044624746450304</v>
      </c>
      <c r="AO161" s="7">
        <v>5</v>
      </c>
      <c r="AP161" s="7">
        <v>1</v>
      </c>
      <c r="AQ161" s="7">
        <v>0</v>
      </c>
      <c r="AR161" s="10">
        <v>0</v>
      </c>
      <c r="AS161" s="7">
        <v>0</v>
      </c>
      <c r="AT161" s="7">
        <v>0</v>
      </c>
      <c r="AU161" s="7">
        <v>0</v>
      </c>
      <c r="AV161" s="7">
        <v>0</v>
      </c>
      <c r="AW161" s="7">
        <v>31</v>
      </c>
      <c r="AX161" s="7">
        <v>1</v>
      </c>
      <c r="AY161" s="5">
        <v>6</v>
      </c>
      <c r="AZ161" s="7">
        <v>0</v>
      </c>
      <c r="BA161" s="7">
        <v>1</v>
      </c>
      <c r="BB161" s="7">
        <v>0</v>
      </c>
      <c r="BC161" s="7">
        <v>1</v>
      </c>
      <c r="BD161" s="7">
        <v>1</v>
      </c>
      <c r="BE161" s="7">
        <v>0</v>
      </c>
      <c r="BF161" s="7">
        <v>0</v>
      </c>
      <c r="BG161" s="7">
        <v>0</v>
      </c>
      <c r="BH161" s="7">
        <v>0</v>
      </c>
      <c r="BI161" s="7">
        <v>0</v>
      </c>
      <c r="BJ161" s="7">
        <v>1</v>
      </c>
      <c r="BK161" s="11">
        <v>0</v>
      </c>
      <c r="BL161" s="7">
        <v>0</v>
      </c>
      <c r="BM161" s="3">
        <v>0</v>
      </c>
    </row>
    <row r="162" spans="1:65" ht="20.100000000000001" customHeight="1" x14ac:dyDescent="0.3">
      <c r="A162" s="3" t="s">
        <v>18</v>
      </c>
      <c r="B162" s="3">
        <v>7</v>
      </c>
      <c r="C162" s="8">
        <v>44371</v>
      </c>
      <c r="D162" s="9">
        <v>0.29652777777777778</v>
      </c>
      <c r="E162" s="4">
        <v>62</v>
      </c>
      <c r="F162" s="3">
        <v>0</v>
      </c>
      <c r="G162" s="3">
        <v>0</v>
      </c>
      <c r="H162" s="3">
        <v>0</v>
      </c>
      <c r="I162" s="3">
        <v>0</v>
      </c>
      <c r="J162" s="9">
        <v>0.35000000000000003</v>
      </c>
      <c r="K162" s="3">
        <v>139.4</v>
      </c>
      <c r="L162" s="11">
        <f t="shared" ref="L162" si="286">K162-K161</f>
        <v>-2.1999999999999886</v>
      </c>
      <c r="M162" s="5">
        <f t="shared" ref="M162" si="287">AB161</f>
        <v>2465</v>
      </c>
      <c r="N162" s="11">
        <v>30.5</v>
      </c>
      <c r="O162" s="11">
        <v>32</v>
      </c>
      <c r="P162" s="11">
        <v>10.75</v>
      </c>
      <c r="Q162" s="11">
        <v>10.625</v>
      </c>
      <c r="R162" s="11">
        <v>19.75</v>
      </c>
      <c r="S162" s="11">
        <v>19.875</v>
      </c>
      <c r="T162" s="11">
        <v>15</v>
      </c>
      <c r="U162" s="11">
        <v>15</v>
      </c>
      <c r="V162" s="11">
        <v>17</v>
      </c>
      <c r="W162" s="11">
        <v>15</v>
      </c>
      <c r="X162" s="11">
        <v>7</v>
      </c>
      <c r="Y162" s="11">
        <v>7</v>
      </c>
      <c r="Z162" s="3" t="s">
        <v>881</v>
      </c>
      <c r="AA162" s="10" t="s">
        <v>882</v>
      </c>
      <c r="AB162" s="5">
        <f>150+240+360+60+390+148.9+240+150+70+135.4+120+74.4+30+140</f>
        <v>2308.7000000000003</v>
      </c>
      <c r="AC162" s="6">
        <f>1.5+15+30+1+13.5+4.9+16.7+7+5+7.7+6.8+2.44+0.5+6</f>
        <v>118.04</v>
      </c>
      <c r="AD162" s="6">
        <f>0+10.5+21+0+7.5+0.78+5.7+0.5+3.5+5.1+2.25+0.39+0+1</f>
        <v>58.220000000000006</v>
      </c>
      <c r="AE162" s="6">
        <f>3+18+6+2+16.5+7.11+3.7+2+1+1.7+2.25+3.56+1+7</f>
        <v>74.820000000000007</v>
      </c>
      <c r="AF162" s="6">
        <f>31.5+3+12+10+49.5+18.7+19.3+21+4+17+13.5+9.33+5+13</f>
        <v>226.83</v>
      </c>
      <c r="AG162" s="6">
        <f>3+0+0+2+3+0.9+1+2+0+1.7+0.75+0.44+1+3</f>
        <v>18.79</v>
      </c>
      <c r="AH162" s="6">
        <f>30+570+90+500+690+822.2+646.7+290+20+34+82.5+411.11+250+400</f>
        <v>4836.5099999999993</v>
      </c>
      <c r="AI162" s="6">
        <f t="shared" si="218"/>
        <v>5.1128340624593926E-2</v>
      </c>
      <c r="AJ162" s="6">
        <f t="shared" si="219"/>
        <v>2.5217654957335297E-2</v>
      </c>
      <c r="AK162" s="6">
        <f t="shared" si="220"/>
        <v>3.2407848572789881E-2</v>
      </c>
      <c r="AL162" s="6">
        <f t="shared" si="221"/>
        <v>9.8250097457443578E-2</v>
      </c>
      <c r="AM162" s="6">
        <f t="shared" si="222"/>
        <v>8.1387793996621459E-3</v>
      </c>
      <c r="AN162" s="6">
        <f t="shared" si="223"/>
        <v>2.0949062242820631</v>
      </c>
      <c r="AO162" s="7">
        <v>5</v>
      </c>
      <c r="AP162" s="7">
        <v>2</v>
      </c>
      <c r="AQ162" s="7">
        <v>0</v>
      </c>
      <c r="AR162" s="10">
        <v>0</v>
      </c>
      <c r="AS162" s="7">
        <v>0</v>
      </c>
      <c r="AT162" s="7">
        <v>0</v>
      </c>
      <c r="AU162" s="7">
        <v>0</v>
      </c>
      <c r="AV162" s="7">
        <v>0</v>
      </c>
      <c r="AW162" s="7">
        <v>0</v>
      </c>
      <c r="AX162" s="7">
        <v>0</v>
      </c>
      <c r="AY162" s="5">
        <v>7.5</v>
      </c>
      <c r="AZ162" s="7">
        <v>0</v>
      </c>
      <c r="BA162" s="7">
        <v>0</v>
      </c>
      <c r="BB162" s="7">
        <v>0</v>
      </c>
      <c r="BC162" s="7">
        <v>1</v>
      </c>
      <c r="BD162" s="7">
        <v>1</v>
      </c>
      <c r="BE162" s="7">
        <v>0</v>
      </c>
      <c r="BF162" s="7">
        <v>0</v>
      </c>
      <c r="BG162" s="7">
        <v>0</v>
      </c>
      <c r="BH162" s="7">
        <v>0</v>
      </c>
      <c r="BI162" s="7">
        <v>0</v>
      </c>
      <c r="BJ162" s="7">
        <v>1</v>
      </c>
      <c r="BK162" s="11">
        <v>3</v>
      </c>
      <c r="BL162" s="3" t="s">
        <v>976</v>
      </c>
      <c r="BM162" s="3">
        <v>0</v>
      </c>
    </row>
    <row r="163" spans="1:65" ht="20.100000000000001" customHeight="1" x14ac:dyDescent="0.3">
      <c r="A163" s="3" t="s">
        <v>137</v>
      </c>
      <c r="B163" s="3">
        <v>8</v>
      </c>
      <c r="C163" s="8">
        <v>44372</v>
      </c>
      <c r="D163" s="9">
        <v>0.24652777777777779</v>
      </c>
      <c r="E163" s="4">
        <v>60</v>
      </c>
      <c r="F163" s="3">
        <v>0</v>
      </c>
      <c r="G163" s="3">
        <v>0</v>
      </c>
      <c r="H163" s="3">
        <v>0</v>
      </c>
      <c r="I163" s="3">
        <v>0</v>
      </c>
      <c r="J163" s="9">
        <v>0.25694444444444448</v>
      </c>
      <c r="K163" s="3">
        <v>139.80000000000001</v>
      </c>
      <c r="L163" s="11">
        <f t="shared" ref="L163" si="288">K163-K162</f>
        <v>0.40000000000000568</v>
      </c>
      <c r="M163" s="5">
        <f t="shared" ref="M163" si="289">AB162</f>
        <v>2308.7000000000003</v>
      </c>
      <c r="N163" s="11">
        <v>31</v>
      </c>
      <c r="O163" s="11">
        <v>32.25</v>
      </c>
      <c r="P163" s="11">
        <v>10.625</v>
      </c>
      <c r="Q163" s="11">
        <v>10.625</v>
      </c>
      <c r="R163" s="11">
        <v>19.625</v>
      </c>
      <c r="S163" s="11">
        <v>19.625</v>
      </c>
      <c r="T163" s="11">
        <v>15</v>
      </c>
      <c r="U163" s="11">
        <v>15</v>
      </c>
      <c r="V163" s="11">
        <v>18</v>
      </c>
      <c r="W163" s="11">
        <v>15</v>
      </c>
      <c r="X163" s="11">
        <v>7</v>
      </c>
      <c r="Y163" s="11">
        <v>7</v>
      </c>
      <c r="Z163" s="3" t="s">
        <v>888</v>
      </c>
      <c r="AA163" s="10" t="s">
        <v>892</v>
      </c>
      <c r="AB163" s="5">
        <f>390+90+160+400+32.5+280+62+168+120+3.38+4+8+140+290+320</f>
        <v>2467.88</v>
      </c>
      <c r="AC163" s="6">
        <f>13.5+1.5+10+22.5+1.13+24+0.1+4+10+0.08+0.2+0.1+6+5+18</f>
        <v>116.10999999999999</v>
      </c>
      <c r="AD163" s="6">
        <f>7.5+0+7+2.5+0.13+14+0+1+7+0.01+0.2+0.1+0+3+2</f>
        <v>44.44</v>
      </c>
      <c r="AE163" s="6">
        <f>16.5+3+12+7.5+0.5+20+0.3+4+2+0.26+0.6+0.5+0+9+6</f>
        <v>82.16</v>
      </c>
      <c r="AF163" s="6">
        <f>49.5+15+2+40+4.75+0+14.9+27+4+0.6+0.4+1.5+20+52+32</f>
        <v>263.64999999999998</v>
      </c>
      <c r="AG163" s="6">
        <f>3+3+0+7.5+0.25+0+2.5+1+0+0.23+0.2+0.5+0+1+6</f>
        <v>25.18</v>
      </c>
      <c r="AH163" s="6">
        <f>690+750+380+525+62.5+680+0+301+30+0.68+2+4+60+210+420</f>
        <v>4115.18</v>
      </c>
      <c r="AI163" s="6">
        <f t="shared" si="218"/>
        <v>4.7048478856346332E-2</v>
      </c>
      <c r="AJ163" s="6">
        <f t="shared" si="219"/>
        <v>1.8007358542554742E-2</v>
      </c>
      <c r="AK163" s="6">
        <f t="shared" si="220"/>
        <v>3.3291732174984191E-2</v>
      </c>
      <c r="AL163" s="6">
        <f t="shared" si="221"/>
        <v>0.10683258505275782</v>
      </c>
      <c r="AM163" s="6">
        <f t="shared" si="222"/>
        <v>1.020308929121351E-2</v>
      </c>
      <c r="AN163" s="6">
        <f t="shared" si="223"/>
        <v>1.6674959884597307</v>
      </c>
      <c r="AO163" s="7">
        <v>5</v>
      </c>
      <c r="AP163" s="7">
        <v>1</v>
      </c>
      <c r="AQ163" s="7">
        <v>0</v>
      </c>
      <c r="AR163" s="10">
        <v>0</v>
      </c>
      <c r="AS163" s="7">
        <v>0</v>
      </c>
      <c r="AT163" s="7">
        <v>0</v>
      </c>
      <c r="AU163" s="7">
        <v>0</v>
      </c>
      <c r="AV163" s="7">
        <v>0</v>
      </c>
      <c r="AW163" s="7">
        <v>31</v>
      </c>
      <c r="AX163" s="7">
        <v>1</v>
      </c>
      <c r="AY163" s="5">
        <v>6</v>
      </c>
      <c r="AZ163" s="7">
        <v>0</v>
      </c>
      <c r="BA163" s="7">
        <v>0</v>
      </c>
      <c r="BB163" s="7">
        <v>0</v>
      </c>
      <c r="BC163" s="7">
        <v>1</v>
      </c>
      <c r="BD163" s="7">
        <v>1</v>
      </c>
      <c r="BE163" s="7">
        <v>0</v>
      </c>
      <c r="BF163" s="7">
        <v>0</v>
      </c>
      <c r="BG163" s="7">
        <v>0</v>
      </c>
      <c r="BH163" s="7">
        <v>0</v>
      </c>
      <c r="BI163" s="7">
        <v>0</v>
      </c>
      <c r="BJ163" s="7">
        <v>1</v>
      </c>
      <c r="BK163" s="11">
        <v>1</v>
      </c>
      <c r="BL163" s="3" t="s">
        <v>984</v>
      </c>
      <c r="BM163" s="3">
        <v>0</v>
      </c>
    </row>
    <row r="164" spans="1:65" ht="20.100000000000001" customHeight="1" x14ac:dyDescent="0.3">
      <c r="A164" s="3" t="s">
        <v>19</v>
      </c>
      <c r="B164" s="3">
        <v>9</v>
      </c>
      <c r="C164" s="8">
        <v>44373</v>
      </c>
      <c r="D164" s="9">
        <v>0.2673611111111111</v>
      </c>
      <c r="E164" s="4">
        <v>66</v>
      </c>
      <c r="F164" s="3">
        <v>0</v>
      </c>
      <c r="G164" s="3">
        <v>0</v>
      </c>
      <c r="H164" s="3">
        <v>0</v>
      </c>
      <c r="I164" s="3">
        <v>0</v>
      </c>
      <c r="J164" s="9">
        <v>0.26805555555555555</v>
      </c>
      <c r="K164" s="3">
        <v>141.19999999999999</v>
      </c>
      <c r="L164" s="11">
        <f t="shared" ref="L164" si="290">K164-K163</f>
        <v>1.3999999999999773</v>
      </c>
      <c r="M164" s="5">
        <f t="shared" ref="M164" si="291">AB163</f>
        <v>2467.88</v>
      </c>
      <c r="N164" s="11">
        <v>31</v>
      </c>
      <c r="O164" s="11">
        <v>32.5</v>
      </c>
      <c r="P164" s="11">
        <v>10.625</v>
      </c>
      <c r="Q164" s="11">
        <v>10.625</v>
      </c>
      <c r="R164" s="11">
        <v>19.5</v>
      </c>
      <c r="S164" s="11">
        <v>19.625</v>
      </c>
      <c r="T164" s="11">
        <v>15</v>
      </c>
      <c r="U164" s="11">
        <v>15</v>
      </c>
      <c r="V164" s="11">
        <v>15</v>
      </c>
      <c r="W164" s="11">
        <v>15</v>
      </c>
      <c r="X164" s="11">
        <v>7</v>
      </c>
      <c r="Y164" s="11">
        <v>7</v>
      </c>
      <c r="Z164" s="3" t="s">
        <v>894</v>
      </c>
      <c r="AA164" s="10" t="s">
        <v>893</v>
      </c>
      <c r="AB164" s="5">
        <f>13.5+280+130+31+320+405+370+80+480+450+240+149</f>
        <v>2948.5</v>
      </c>
      <c r="AC164" s="6">
        <f>0.3+12+14+0.05+17+16.5+16+4.5+26+21+16.7+4.9</f>
        <v>148.94999999999999</v>
      </c>
      <c r="AD164" s="6">
        <f>0.05+0+2+0+10+7.5+16+0.5+5+1.5+5.7+0.8</f>
        <v>49.05</v>
      </c>
      <c r="AE164" s="6">
        <f>1.05+0+0+0.15+6+8.5+0+1.5+6+6+3.7+7.1</f>
        <v>40</v>
      </c>
      <c r="AF164" s="6">
        <f>2.4+40+0+7.45+35+53+64+8+59+63+19.3+18.7</f>
        <v>369.85</v>
      </c>
      <c r="AG164" s="6">
        <f>0.9+0+0+1.25+0+1+0+1.5+0+6+1+0.89</f>
        <v>12.540000000000001</v>
      </c>
      <c r="AH164" s="6">
        <f>2.7+120+0+0+430+295+5+105+590+870+646.7+822.2</f>
        <v>3886.5999999999995</v>
      </c>
      <c r="AI164" s="6">
        <f t="shared" si="218"/>
        <v>5.0517212141767E-2</v>
      </c>
      <c r="AJ164" s="6">
        <f t="shared" si="219"/>
        <v>1.6635577412243512E-2</v>
      </c>
      <c r="AK164" s="6">
        <f t="shared" si="220"/>
        <v>1.3566220111921316E-2</v>
      </c>
      <c r="AL164" s="6">
        <f t="shared" si="221"/>
        <v>0.12543666270985249</v>
      </c>
      <c r="AM164" s="6">
        <f t="shared" si="222"/>
        <v>4.2530100050873331E-3</v>
      </c>
      <c r="AN164" s="6">
        <f t="shared" si="223"/>
        <v>1.3181617771748344</v>
      </c>
      <c r="AO164" s="7">
        <v>5</v>
      </c>
      <c r="AP164" s="7">
        <v>1</v>
      </c>
      <c r="AQ164" s="7">
        <v>0</v>
      </c>
      <c r="AR164" s="10">
        <v>0</v>
      </c>
      <c r="AS164" s="7">
        <v>0</v>
      </c>
      <c r="AT164" s="7">
        <v>0</v>
      </c>
      <c r="AU164" s="7">
        <v>0</v>
      </c>
      <c r="AV164" s="7">
        <v>0</v>
      </c>
      <c r="AW164" s="7">
        <v>31</v>
      </c>
      <c r="AX164" s="7">
        <v>1</v>
      </c>
      <c r="AY164" s="5">
        <v>7</v>
      </c>
      <c r="AZ164" s="7">
        <v>0</v>
      </c>
      <c r="BA164" s="7">
        <v>0</v>
      </c>
      <c r="BB164" s="7">
        <v>0</v>
      </c>
      <c r="BC164" s="7">
        <v>1</v>
      </c>
      <c r="BD164" s="7">
        <v>1</v>
      </c>
      <c r="BE164" s="7">
        <v>0</v>
      </c>
      <c r="BF164" s="7">
        <v>0</v>
      </c>
      <c r="BG164" s="7">
        <v>0</v>
      </c>
      <c r="BH164" s="7">
        <v>0</v>
      </c>
      <c r="BI164" s="7">
        <v>0</v>
      </c>
      <c r="BJ164" s="7">
        <v>1</v>
      </c>
      <c r="BK164" s="11">
        <v>1</v>
      </c>
      <c r="BL164" s="3" t="s">
        <v>984</v>
      </c>
      <c r="BM164" s="3">
        <v>0</v>
      </c>
    </row>
    <row r="165" spans="1:65" ht="20.100000000000001" customHeight="1" x14ac:dyDescent="0.3">
      <c r="A165" s="3" t="s">
        <v>23</v>
      </c>
      <c r="B165" s="3">
        <v>10</v>
      </c>
      <c r="C165" s="8">
        <v>44374</v>
      </c>
      <c r="D165" s="9">
        <v>0.30069444444444443</v>
      </c>
      <c r="E165" s="4">
        <v>68</v>
      </c>
      <c r="F165" s="3">
        <v>0</v>
      </c>
      <c r="G165" s="3">
        <v>0</v>
      </c>
      <c r="H165" s="3">
        <v>0</v>
      </c>
      <c r="I165" s="3">
        <v>0</v>
      </c>
      <c r="J165" s="9">
        <v>0.30208333333333331</v>
      </c>
      <c r="K165" s="3">
        <v>143.6</v>
      </c>
      <c r="L165" s="11">
        <f t="shared" ref="L165" si="292">K165-K164</f>
        <v>2.4000000000000057</v>
      </c>
      <c r="M165" s="5">
        <f t="shared" ref="M165" si="293">AB164</f>
        <v>2948.5</v>
      </c>
      <c r="N165" s="11">
        <v>31.5</v>
      </c>
      <c r="O165" s="11">
        <v>32.5</v>
      </c>
      <c r="P165" s="11">
        <v>10.875</v>
      </c>
      <c r="Q165" s="11">
        <v>10.875</v>
      </c>
      <c r="R165" s="11">
        <v>19.75</v>
      </c>
      <c r="S165" s="11">
        <v>19.75</v>
      </c>
      <c r="T165" s="11">
        <v>15</v>
      </c>
      <c r="U165" s="11">
        <v>15</v>
      </c>
      <c r="V165" s="11">
        <v>17</v>
      </c>
      <c r="W165" s="11">
        <v>15</v>
      </c>
      <c r="X165" s="11">
        <v>7</v>
      </c>
      <c r="Y165" s="11">
        <v>7</v>
      </c>
      <c r="Z165" s="3" t="s">
        <v>895</v>
      </c>
      <c r="AA165" s="10" t="s">
        <v>896</v>
      </c>
      <c r="AB165" s="5">
        <f>325+20+130+130+135+160+210+580+140+525+168.8+148.9+160</f>
        <v>2832.7000000000003</v>
      </c>
      <c r="AC165" s="6">
        <f>11.25+1.5+14+4.5+5.25+10+18+10+6+24.5+4+0.4+4.9+11.1</f>
        <v>125.4</v>
      </c>
      <c r="AD165" s="6">
        <f>6.25+1+2+0.5+1.5+7+10.5+6+0+1.75+1+0.4+0.8+3.8</f>
        <v>42.499999999999993</v>
      </c>
      <c r="AE165" s="6">
        <f>13.75+2+0+2+4.5+12+15+18+0+7+4+1.2+7.11+2.44</f>
        <v>89</v>
      </c>
      <c r="AF165" s="6">
        <f>41.25+0+0+19+18+2+0+104+20+73.5+27+0.8+18.7+12.9</f>
        <v>337.15</v>
      </c>
      <c r="AG165" s="6">
        <f>2.5+0+0+1+4.5+0+0+2+0+7+1+0.4+0.9+0.7</f>
        <v>19.999999999999996</v>
      </c>
      <c r="AH165" s="6">
        <f>575+100+0+250+690+380+510+420+60+1015+301+4+822.2+431.1</f>
        <v>5558.3</v>
      </c>
      <c r="AI165" s="6">
        <f t="shared" si="218"/>
        <v>4.4268718890104843E-2</v>
      </c>
      <c r="AJ165" s="6">
        <f t="shared" si="219"/>
        <v>1.5003353690825004E-2</v>
      </c>
      <c r="AK165" s="6">
        <f t="shared" si="220"/>
        <v>3.1418787729021777E-2</v>
      </c>
      <c r="AL165" s="6">
        <f t="shared" si="221"/>
        <v>0.11902072227909766</v>
      </c>
      <c r="AM165" s="6">
        <f t="shared" si="222"/>
        <v>7.0604017368588257E-3</v>
      </c>
      <c r="AN165" s="6">
        <f t="shared" si="223"/>
        <v>1.9621915486991208</v>
      </c>
      <c r="AO165" s="7">
        <v>5</v>
      </c>
      <c r="AP165" s="7">
        <v>2</v>
      </c>
      <c r="AQ165" s="7">
        <v>0</v>
      </c>
      <c r="AR165" s="10">
        <v>0</v>
      </c>
      <c r="AS165" s="7">
        <v>0</v>
      </c>
      <c r="AT165" s="7">
        <v>0</v>
      </c>
      <c r="AU165" s="7">
        <v>0</v>
      </c>
      <c r="AV165" s="7">
        <v>0</v>
      </c>
      <c r="AW165" s="7">
        <v>31</v>
      </c>
      <c r="AX165" s="7">
        <v>1</v>
      </c>
      <c r="AY165" s="5">
        <v>6</v>
      </c>
      <c r="AZ165" s="7">
        <v>0</v>
      </c>
      <c r="BA165" s="7">
        <v>0</v>
      </c>
      <c r="BB165" s="7">
        <v>0</v>
      </c>
      <c r="BC165" s="7">
        <v>1</v>
      </c>
      <c r="BD165" s="7">
        <v>1</v>
      </c>
      <c r="BE165" s="7">
        <v>0</v>
      </c>
      <c r="BF165" s="7">
        <v>0</v>
      </c>
      <c r="BG165" s="7">
        <v>0</v>
      </c>
      <c r="BH165" s="7">
        <v>0</v>
      </c>
      <c r="BI165" s="7">
        <v>0</v>
      </c>
      <c r="BJ165" s="7">
        <v>1</v>
      </c>
      <c r="BK165" s="11">
        <v>1</v>
      </c>
      <c r="BL165" s="3" t="s">
        <v>984</v>
      </c>
      <c r="BM165" s="3">
        <v>0</v>
      </c>
    </row>
    <row r="166" spans="1:65" ht="20.100000000000001" customHeight="1" x14ac:dyDescent="0.3">
      <c r="A166" s="3" t="s">
        <v>15</v>
      </c>
      <c r="B166" s="3">
        <v>11</v>
      </c>
      <c r="C166" s="8">
        <v>44375</v>
      </c>
      <c r="D166" s="9">
        <v>0.30555555555555552</v>
      </c>
      <c r="E166" s="4">
        <v>68</v>
      </c>
      <c r="F166" s="3">
        <v>0</v>
      </c>
      <c r="G166" s="3">
        <v>0</v>
      </c>
      <c r="H166" s="3">
        <v>0</v>
      </c>
      <c r="I166" s="3">
        <v>0</v>
      </c>
      <c r="J166" s="9">
        <v>0.31111111111111112</v>
      </c>
      <c r="K166" s="3">
        <v>144</v>
      </c>
      <c r="L166" s="11">
        <f t="shared" ref="L166" si="294">K166-K165</f>
        <v>0.40000000000000568</v>
      </c>
      <c r="M166" s="5">
        <f t="shared" ref="M166" si="295">AB165</f>
        <v>2832.7000000000003</v>
      </c>
      <c r="N166" s="11">
        <v>31</v>
      </c>
      <c r="O166" s="11">
        <v>32</v>
      </c>
      <c r="P166" s="11">
        <v>10.75</v>
      </c>
      <c r="Q166" s="11">
        <v>10.75</v>
      </c>
      <c r="R166" s="11">
        <v>19.625</v>
      </c>
      <c r="S166" s="11">
        <v>19.625</v>
      </c>
      <c r="T166" s="11">
        <v>15</v>
      </c>
      <c r="U166" s="11">
        <v>15</v>
      </c>
      <c r="V166" s="11">
        <v>15</v>
      </c>
      <c r="W166" s="11">
        <v>15</v>
      </c>
      <c r="X166" s="11">
        <v>7</v>
      </c>
      <c r="Y166" s="11">
        <v>7</v>
      </c>
      <c r="Z166" s="3" t="s">
        <v>900</v>
      </c>
      <c r="AA166" s="10" t="s">
        <v>899</v>
      </c>
      <c r="AB166" s="5">
        <f>260+20+80+45+130+180+420+578.5+204</f>
        <v>1917.5</v>
      </c>
      <c r="AC166" s="6">
        <f>9+1.5+5+1.75+4.5+0+16+11.1+20.4</f>
        <v>69.25</v>
      </c>
      <c r="AD166" s="6">
        <f>5+1+3.5+0.5+0.5+0+4+2.2+12.8</f>
        <v>29.5</v>
      </c>
      <c r="AE166" s="6">
        <f>11+2+6+1.5+2+3+10+17.7+4.4</f>
        <v>57.6</v>
      </c>
      <c r="AF166" s="6">
        <f>33+0+1+6+19+33+62+101.75+1.6</f>
        <v>257.35000000000002</v>
      </c>
      <c r="AG166" s="6">
        <f>2+0+0+1.5+1+0+2+8.25+0</f>
        <v>14.75</v>
      </c>
      <c r="AH166" s="6">
        <f>460+100+190+230+250+75+640+1731+172</f>
        <v>3848</v>
      </c>
      <c r="AI166" s="6">
        <f t="shared" si="218"/>
        <v>3.6114732724902218E-2</v>
      </c>
      <c r="AJ166" s="6">
        <f t="shared" si="219"/>
        <v>1.5384615384615385E-2</v>
      </c>
      <c r="AK166" s="6">
        <f t="shared" si="220"/>
        <v>3.0039113428943939E-2</v>
      </c>
      <c r="AL166" s="6">
        <f t="shared" si="221"/>
        <v>0.13421121251629728</v>
      </c>
      <c r="AM166" s="6">
        <f t="shared" si="222"/>
        <v>7.6923076923076927E-3</v>
      </c>
      <c r="AN166" s="6">
        <f t="shared" si="223"/>
        <v>2.006779661016949</v>
      </c>
      <c r="AO166" s="7">
        <v>5</v>
      </c>
      <c r="AP166" s="7">
        <v>2</v>
      </c>
      <c r="AQ166" s="7">
        <v>0</v>
      </c>
      <c r="AR166" s="10">
        <v>0</v>
      </c>
      <c r="AS166" s="7">
        <v>0</v>
      </c>
      <c r="AT166" s="7">
        <v>0</v>
      </c>
      <c r="AU166" s="7">
        <v>0</v>
      </c>
      <c r="AV166" s="7">
        <v>0</v>
      </c>
      <c r="AW166" s="7">
        <v>31</v>
      </c>
      <c r="AX166" s="7">
        <v>1</v>
      </c>
      <c r="AY166" s="5">
        <v>6.33</v>
      </c>
      <c r="AZ166" s="7">
        <v>0</v>
      </c>
      <c r="BA166" s="7">
        <v>0</v>
      </c>
      <c r="BB166" s="7">
        <v>0</v>
      </c>
      <c r="BC166" s="7">
        <v>1</v>
      </c>
      <c r="BD166" s="7">
        <v>1</v>
      </c>
      <c r="BE166" s="7">
        <v>0</v>
      </c>
      <c r="BF166" s="7">
        <v>1</v>
      </c>
      <c r="BG166" s="7">
        <v>20</v>
      </c>
      <c r="BH166" s="7">
        <v>0</v>
      </c>
      <c r="BI166" s="7">
        <v>0</v>
      </c>
      <c r="BJ166" s="7">
        <v>1</v>
      </c>
      <c r="BK166" s="11">
        <v>1</v>
      </c>
      <c r="BL166" s="3" t="s">
        <v>980</v>
      </c>
      <c r="BM166" s="3">
        <v>0</v>
      </c>
    </row>
    <row r="167" spans="1:65" ht="20.100000000000001" customHeight="1" x14ac:dyDescent="0.3">
      <c r="A167" s="3" t="s">
        <v>16</v>
      </c>
      <c r="B167" s="3">
        <v>12</v>
      </c>
      <c r="C167" s="8">
        <v>44376</v>
      </c>
      <c r="D167" s="9">
        <v>0.27152777777777776</v>
      </c>
      <c r="E167" s="4">
        <v>67</v>
      </c>
      <c r="F167" s="3">
        <v>0</v>
      </c>
      <c r="G167" s="3">
        <v>0</v>
      </c>
      <c r="H167" s="3">
        <v>0</v>
      </c>
      <c r="I167" s="3">
        <v>0</v>
      </c>
      <c r="J167" s="9">
        <v>0.86805555555555547</v>
      </c>
      <c r="K167" s="3">
        <v>144.19999999999999</v>
      </c>
      <c r="L167" s="11">
        <f t="shared" ref="L167" si="296">K167-K166</f>
        <v>0.19999999999998863</v>
      </c>
      <c r="M167" s="5">
        <f t="shared" ref="M167" si="297">AB166</f>
        <v>1917.5</v>
      </c>
      <c r="N167" s="11">
        <v>31.5</v>
      </c>
      <c r="O167" s="11">
        <v>32.5</v>
      </c>
      <c r="P167" s="11">
        <v>10.75</v>
      </c>
      <c r="Q167" s="11">
        <v>10.75</v>
      </c>
      <c r="R167" s="11">
        <v>20</v>
      </c>
      <c r="S167" s="11">
        <v>20</v>
      </c>
      <c r="T167" s="11">
        <v>15</v>
      </c>
      <c r="U167" s="11">
        <v>14</v>
      </c>
      <c r="V167" s="11">
        <v>17</v>
      </c>
      <c r="W167" s="11">
        <v>15</v>
      </c>
      <c r="X167" s="11">
        <v>7</v>
      </c>
      <c r="Y167" s="11">
        <v>7</v>
      </c>
      <c r="Z167" s="3" t="s">
        <v>901</v>
      </c>
      <c r="AA167" s="10" t="s">
        <v>903</v>
      </c>
      <c r="AB167" s="5">
        <f>120+420+440+240+20+16+160+240+150+161+120+218+270</f>
        <v>2575</v>
      </c>
      <c r="AC167" s="6">
        <f>0+16+6+28+1.5+0.8+10+28+0+14.5+10+23.1+0</f>
        <v>137.9</v>
      </c>
      <c r="AD167" s="6">
        <f>0+4+0+4+1+0.8+7+4+0+2+7+3.6+0</f>
        <v>33.4</v>
      </c>
      <c r="AE167" s="6">
        <f>2+10+12+0+2+2.4+12+0+3+2+2+0.5+0</f>
        <v>47.9</v>
      </c>
      <c r="AF167" s="6">
        <f>22+62+80+0+0+1.6+2+0+14+8.5+4+3+75</f>
        <v>272.10000000000002</v>
      </c>
      <c r="AG167" s="6">
        <f>0+2+4+0+0+0.8+0+0+3+6.5+0+0.3+0</f>
        <v>16.600000000000001</v>
      </c>
      <c r="AH167" s="6">
        <f>50+640+760+0+200+8+380+0+30+7+30+367+90</f>
        <v>2562</v>
      </c>
      <c r="AI167" s="6">
        <f t="shared" si="218"/>
        <v>5.3553398058252433E-2</v>
      </c>
      <c r="AJ167" s="6">
        <f t="shared" si="219"/>
        <v>1.2970873786407766E-2</v>
      </c>
      <c r="AK167" s="6">
        <f t="shared" si="220"/>
        <v>1.8601941747572816E-2</v>
      </c>
      <c r="AL167" s="6">
        <f t="shared" si="221"/>
        <v>0.10566990291262136</v>
      </c>
      <c r="AM167" s="6">
        <f t="shared" si="222"/>
        <v>6.4466019417475737E-3</v>
      </c>
      <c r="AN167" s="6">
        <f t="shared" si="223"/>
        <v>0.99495145631067961</v>
      </c>
      <c r="AO167" s="7">
        <v>5</v>
      </c>
      <c r="AP167" s="7">
        <v>1</v>
      </c>
      <c r="AQ167" s="7">
        <v>0</v>
      </c>
      <c r="AR167" s="10">
        <v>0</v>
      </c>
      <c r="AS167" s="7">
        <v>0</v>
      </c>
      <c r="AT167" s="7">
        <v>0</v>
      </c>
      <c r="AU167" s="7">
        <v>0</v>
      </c>
      <c r="AV167" s="7">
        <v>0</v>
      </c>
      <c r="AW167" s="7">
        <v>31</v>
      </c>
      <c r="AX167" s="7">
        <v>1</v>
      </c>
      <c r="AY167" s="5">
        <v>6</v>
      </c>
      <c r="AZ167" s="7">
        <v>0</v>
      </c>
      <c r="BA167" s="7">
        <v>0</v>
      </c>
      <c r="BB167" s="7">
        <v>0</v>
      </c>
      <c r="BC167" s="7">
        <v>1</v>
      </c>
      <c r="BD167" s="7">
        <v>1</v>
      </c>
      <c r="BE167" s="7">
        <v>0</v>
      </c>
      <c r="BF167" s="7">
        <v>1</v>
      </c>
      <c r="BG167" s="7">
        <v>5</v>
      </c>
      <c r="BH167" s="7">
        <v>0</v>
      </c>
      <c r="BI167" s="7">
        <v>0</v>
      </c>
      <c r="BJ167" s="7">
        <v>1</v>
      </c>
      <c r="BK167" s="11">
        <v>1</v>
      </c>
      <c r="BL167" s="3" t="s">
        <v>980</v>
      </c>
      <c r="BM167" s="3">
        <v>0</v>
      </c>
    </row>
    <row r="168" spans="1:65" ht="20.100000000000001" customHeight="1" x14ac:dyDescent="0.3">
      <c r="A168" s="3" t="s">
        <v>17</v>
      </c>
      <c r="B168" s="3">
        <v>13</v>
      </c>
      <c r="C168" s="8">
        <v>44377</v>
      </c>
      <c r="D168" s="9">
        <v>0.27499999999999997</v>
      </c>
      <c r="E168" s="4">
        <v>66</v>
      </c>
      <c r="F168" s="3">
        <v>0</v>
      </c>
      <c r="G168" s="3">
        <v>0</v>
      </c>
      <c r="H168" s="3">
        <v>0</v>
      </c>
      <c r="I168" s="3">
        <v>0</v>
      </c>
      <c r="J168" s="9">
        <v>0.30555555555555552</v>
      </c>
      <c r="K168" s="3">
        <v>142.80000000000001</v>
      </c>
      <c r="L168" s="11">
        <f t="shared" ref="L168" si="298">K168-K167</f>
        <v>-1.3999999999999773</v>
      </c>
      <c r="M168" s="5">
        <f t="shared" ref="M168" si="299">AB167</f>
        <v>2575</v>
      </c>
      <c r="N168" s="11">
        <v>31</v>
      </c>
      <c r="O168" s="11">
        <v>32</v>
      </c>
      <c r="P168" s="11">
        <v>10.75</v>
      </c>
      <c r="Q168" s="11">
        <v>10.5</v>
      </c>
      <c r="R168" s="11">
        <v>19.5</v>
      </c>
      <c r="S168" s="11">
        <v>19.5</v>
      </c>
      <c r="T168" s="11">
        <v>15</v>
      </c>
      <c r="U168" s="11">
        <v>14</v>
      </c>
      <c r="V168" s="11">
        <v>17</v>
      </c>
      <c r="W168" s="11">
        <v>15</v>
      </c>
      <c r="X168" s="11">
        <v>7</v>
      </c>
      <c r="Y168" s="11">
        <v>7</v>
      </c>
      <c r="Z168" s="3" t="s">
        <v>904</v>
      </c>
      <c r="AA168" s="10" t="s">
        <v>906</v>
      </c>
      <c r="AB168" s="5">
        <f>700+420+90+1562+50+148.9+22.5</f>
        <v>2993.4</v>
      </c>
      <c r="AC168" s="6">
        <f>0+16+0+46.5+0.5+4.89+0.88</f>
        <v>68.77</v>
      </c>
      <c r="AD168" s="6">
        <f>0+4+0+4+0+0.78+0.25</f>
        <v>9.0299999999999994</v>
      </c>
      <c r="AE168" s="6">
        <f>0+10+0+91.5+0+7.11+0.75</f>
        <v>109.36</v>
      </c>
      <c r="AF168" s="6">
        <f>170+62+25+202+11+18.67+3</f>
        <v>491.67</v>
      </c>
      <c r="AG168" s="6">
        <f>0+2+0+74.5+0+0.89+0.75</f>
        <v>78.14</v>
      </c>
      <c r="AH168" s="6">
        <f>200+640+30+3955+25+822.2+115</f>
        <v>5787.2</v>
      </c>
      <c r="AI168" s="6">
        <f t="shared" si="218"/>
        <v>2.2973875860225829E-2</v>
      </c>
      <c r="AJ168" s="6">
        <f t="shared" si="219"/>
        <v>3.0166366005211463E-3</v>
      </c>
      <c r="AK168" s="6">
        <f t="shared" si="220"/>
        <v>3.6533707489810913E-2</v>
      </c>
      <c r="AL168" s="6">
        <f t="shared" si="221"/>
        <v>0.16425135297654841</v>
      </c>
      <c r="AM168" s="6">
        <f t="shared" si="222"/>
        <v>2.6104095677156412E-2</v>
      </c>
      <c r="AN168" s="6">
        <f t="shared" si="223"/>
        <v>1.933319970601991</v>
      </c>
      <c r="AO168" s="7">
        <v>5</v>
      </c>
      <c r="AP168" s="7">
        <v>1</v>
      </c>
      <c r="AQ168" s="7">
        <v>0</v>
      </c>
      <c r="AR168" s="10">
        <v>0</v>
      </c>
      <c r="AS168" s="7">
        <v>0</v>
      </c>
      <c r="AT168" s="7">
        <v>0</v>
      </c>
      <c r="AU168" s="7">
        <v>0</v>
      </c>
      <c r="AV168" s="7">
        <v>0</v>
      </c>
      <c r="AW168" s="7">
        <v>31</v>
      </c>
      <c r="AX168" s="7">
        <v>1</v>
      </c>
      <c r="AY168" s="5">
        <v>6</v>
      </c>
      <c r="AZ168" s="7">
        <v>0</v>
      </c>
      <c r="BA168" s="7">
        <v>0</v>
      </c>
      <c r="BB168" s="7">
        <v>0</v>
      </c>
      <c r="BC168" s="7">
        <v>1</v>
      </c>
      <c r="BD168" s="7">
        <v>1</v>
      </c>
      <c r="BE168" s="7">
        <v>0</v>
      </c>
      <c r="BF168" s="7">
        <v>0</v>
      </c>
      <c r="BG168" s="7">
        <v>0</v>
      </c>
      <c r="BH168" s="7">
        <v>0</v>
      </c>
      <c r="BI168" s="7">
        <v>0</v>
      </c>
      <c r="BJ168" s="7">
        <v>1</v>
      </c>
      <c r="BK168" s="11">
        <v>1</v>
      </c>
      <c r="BL168" s="3" t="s">
        <v>980</v>
      </c>
      <c r="BM168" s="3">
        <v>0</v>
      </c>
    </row>
    <row r="169" spans="1:65" ht="20.100000000000001" customHeight="1" x14ac:dyDescent="0.3">
      <c r="A169" s="3" t="s">
        <v>18</v>
      </c>
      <c r="B169" s="3">
        <v>14</v>
      </c>
      <c r="C169" s="8">
        <v>44378</v>
      </c>
      <c r="D169" s="9">
        <v>0.3125</v>
      </c>
      <c r="E169" s="4">
        <v>65</v>
      </c>
      <c r="F169" s="3">
        <v>0</v>
      </c>
      <c r="G169" s="3">
        <v>0</v>
      </c>
      <c r="H169" s="3">
        <v>0</v>
      </c>
      <c r="I169" s="3">
        <v>0</v>
      </c>
      <c r="J169" s="9">
        <v>0.32083333333333336</v>
      </c>
      <c r="K169" s="3">
        <v>145</v>
      </c>
      <c r="L169" s="11">
        <f t="shared" ref="L169" si="300">K169-K168</f>
        <v>2.1999999999999886</v>
      </c>
      <c r="M169" s="5">
        <f t="shared" ref="M169" si="301">AB168</f>
        <v>2993.4</v>
      </c>
      <c r="N169" s="11">
        <v>31.25</v>
      </c>
      <c r="O169" s="11">
        <v>32</v>
      </c>
      <c r="P169" s="11">
        <v>10.875</v>
      </c>
      <c r="Q169" s="11">
        <v>10.75</v>
      </c>
      <c r="R169" s="11">
        <v>19.875</v>
      </c>
      <c r="S169" s="11">
        <v>19.875</v>
      </c>
      <c r="T169" s="11">
        <v>15</v>
      </c>
      <c r="U169" s="11">
        <v>13</v>
      </c>
      <c r="V169" s="11">
        <v>18</v>
      </c>
      <c r="W169" s="11">
        <v>16</v>
      </c>
      <c r="X169" s="11">
        <v>7</v>
      </c>
      <c r="Y169" s="11">
        <v>7</v>
      </c>
      <c r="Z169" s="3" t="s">
        <v>911</v>
      </c>
      <c r="AA169" s="10" t="s">
        <v>910</v>
      </c>
      <c r="AB169" s="5">
        <f>463+700+833+210+210+440+40+240+80+45+140</f>
        <v>3401</v>
      </c>
      <c r="AC169" s="6">
        <f>15.6+0+43+8+11+6+3+28+5+1.75+12</f>
        <v>133.35</v>
      </c>
      <c r="AD169" s="6">
        <f>4.5+0+10+2+9+0+2+4+3.5+0.5+7</f>
        <v>42.5</v>
      </c>
      <c r="AE169" s="6">
        <f>4.4+0+20+5+20+12+4+0+6+1.5+10</f>
        <v>82.9</v>
      </c>
      <c r="AF169" s="6">
        <f>78.9+170+86.7+31+7+80+0+0+1+6+0</f>
        <v>460.6</v>
      </c>
      <c r="AG169" s="6">
        <f>2.6+0+0+1+1+4+0+0+0+1.5+0</f>
        <v>10.1</v>
      </c>
      <c r="AH169" s="6">
        <f>265+200+1166.7+320+450+760+200+0+190+230+340</f>
        <v>4121.7</v>
      </c>
      <c r="AI169" s="6">
        <f t="shared" si="218"/>
        <v>3.9209056159952953E-2</v>
      </c>
      <c r="AJ169" s="6">
        <f t="shared" si="219"/>
        <v>1.2496324610408704E-2</v>
      </c>
      <c r="AK169" s="6">
        <f t="shared" si="220"/>
        <v>2.4375183769479565E-2</v>
      </c>
      <c r="AL169" s="6">
        <f t="shared" si="221"/>
        <v>0.13543075566009999</v>
      </c>
      <c r="AM169" s="6">
        <f t="shared" si="222"/>
        <v>2.9697147897677152E-3</v>
      </c>
      <c r="AN169" s="6">
        <f t="shared" si="223"/>
        <v>1.2119082622758013</v>
      </c>
      <c r="AO169" s="7">
        <v>5</v>
      </c>
      <c r="AP169" s="7">
        <v>1</v>
      </c>
      <c r="AQ169" s="7">
        <v>0</v>
      </c>
      <c r="AR169" s="10">
        <v>0</v>
      </c>
      <c r="AS169" s="7">
        <v>0</v>
      </c>
      <c r="AT169" s="7">
        <v>0</v>
      </c>
      <c r="AU169" s="7">
        <v>0</v>
      </c>
      <c r="AV169" s="7">
        <v>0</v>
      </c>
      <c r="AW169" s="7">
        <v>0</v>
      </c>
      <c r="AX169" s="7">
        <v>0</v>
      </c>
      <c r="AY169" s="5">
        <v>6.6</v>
      </c>
      <c r="AZ169" s="7">
        <v>0</v>
      </c>
      <c r="BA169" s="7">
        <v>0</v>
      </c>
      <c r="BB169" s="7">
        <v>0</v>
      </c>
      <c r="BC169" s="7">
        <v>1</v>
      </c>
      <c r="BD169" s="7">
        <v>1</v>
      </c>
      <c r="BE169" s="7">
        <v>0</v>
      </c>
      <c r="BF169" s="7">
        <v>2</v>
      </c>
      <c r="BG169" s="7">
        <v>20</v>
      </c>
      <c r="BH169" s="7">
        <v>0</v>
      </c>
      <c r="BI169" s="7">
        <v>0</v>
      </c>
      <c r="BJ169" s="7">
        <v>1</v>
      </c>
      <c r="BK169" s="11">
        <v>2</v>
      </c>
      <c r="BL169" s="3" t="s">
        <v>980</v>
      </c>
      <c r="BM169" s="3">
        <v>0</v>
      </c>
    </row>
    <row r="170" spans="1:65" ht="20.100000000000001" customHeight="1" x14ac:dyDescent="0.3">
      <c r="A170" s="3" t="s">
        <v>137</v>
      </c>
      <c r="B170" s="3">
        <v>15</v>
      </c>
      <c r="C170" s="8">
        <v>44379</v>
      </c>
      <c r="D170" s="9">
        <v>0.27152777777777776</v>
      </c>
      <c r="E170" s="4">
        <v>68</v>
      </c>
      <c r="F170" s="3">
        <v>0</v>
      </c>
      <c r="G170" s="3">
        <v>0</v>
      </c>
      <c r="H170" s="3">
        <v>0</v>
      </c>
      <c r="I170" s="3">
        <v>0</v>
      </c>
      <c r="J170" s="9">
        <v>0.2722222222222222</v>
      </c>
      <c r="K170" s="3">
        <v>144.80000000000001</v>
      </c>
      <c r="L170" s="11">
        <f t="shared" ref="L170" si="302">K170-K169</f>
        <v>-0.19999999999998863</v>
      </c>
      <c r="M170" s="5">
        <f t="shared" ref="M170" si="303">AB169</f>
        <v>3401</v>
      </c>
      <c r="N170" s="11">
        <v>31.5</v>
      </c>
      <c r="O170" s="11">
        <v>32.75</v>
      </c>
      <c r="P170" s="11">
        <v>10.625</v>
      </c>
      <c r="Q170" s="11">
        <v>10.75</v>
      </c>
      <c r="R170" s="11">
        <v>19.75</v>
      </c>
      <c r="S170" s="11">
        <v>19.75</v>
      </c>
      <c r="T170" s="11">
        <v>16</v>
      </c>
      <c r="U170" s="11">
        <v>14</v>
      </c>
      <c r="V170" s="11">
        <v>17</v>
      </c>
      <c r="W170" s="11">
        <v>17</v>
      </c>
      <c r="X170" s="11">
        <v>7</v>
      </c>
      <c r="Y170" s="11">
        <v>7</v>
      </c>
      <c r="Z170" s="3" t="s">
        <v>912</v>
      </c>
      <c r="AA170" s="10" t="s">
        <v>913</v>
      </c>
      <c r="AB170" s="5">
        <f>210+220+20+240+554.5+204+140+916.7+210+140+173.6</f>
        <v>3028.7999999999997</v>
      </c>
      <c r="AC170" s="6">
        <f>11+3+1.5+28+11.2+20.4+6+47.7+8+0+5.85</f>
        <v>142.65</v>
      </c>
      <c r="AD170" s="6">
        <f>9+0+1+4+2.15+12.8+0+11+2+0+1.7</f>
        <v>43.650000000000006</v>
      </c>
      <c r="AE170" s="6">
        <f>20+6+2+0+17.8+4.4+0+22+5+0+1.65</f>
        <v>78.849999999999994</v>
      </c>
      <c r="AF170" s="6">
        <f>7+40+0+0+97+1.6+20+95.3+31+34+29.6</f>
        <v>355.5</v>
      </c>
      <c r="AG170" s="6">
        <f>1+2+0+0+8.35+0+0+0+1+0+1</f>
        <v>13.35</v>
      </c>
      <c r="AH170" s="6">
        <f>450+380+100+0+901+172+60+1283.3+320+40+99.4</f>
        <v>3805.7000000000003</v>
      </c>
      <c r="AI170" s="6">
        <f t="shared" si="218"/>
        <v>4.7097860538827266E-2</v>
      </c>
      <c r="AJ170" s="6">
        <f t="shared" si="219"/>
        <v>1.4411648177496041E-2</v>
      </c>
      <c r="AK170" s="6">
        <f t="shared" si="220"/>
        <v>2.6033412572636028E-2</v>
      </c>
      <c r="AL170" s="6">
        <f t="shared" si="221"/>
        <v>0.11737321711568939</v>
      </c>
      <c r="AM170" s="6">
        <f t="shared" si="222"/>
        <v>4.4076862123613317E-3</v>
      </c>
      <c r="AN170" s="6">
        <f t="shared" si="223"/>
        <v>1.2565042260961439</v>
      </c>
      <c r="AO170" s="7">
        <v>5</v>
      </c>
      <c r="AP170" s="7">
        <v>1</v>
      </c>
      <c r="AQ170" s="7">
        <v>0</v>
      </c>
      <c r="AR170" s="10">
        <v>0</v>
      </c>
      <c r="AS170" s="7">
        <v>0</v>
      </c>
      <c r="AT170" s="7">
        <v>0</v>
      </c>
      <c r="AU170" s="7">
        <v>0</v>
      </c>
      <c r="AV170" s="7">
        <v>0</v>
      </c>
      <c r="AW170" s="7">
        <v>31</v>
      </c>
      <c r="AX170" s="7">
        <v>1</v>
      </c>
      <c r="AY170" s="5">
        <v>8</v>
      </c>
      <c r="AZ170" s="7">
        <v>0</v>
      </c>
      <c r="BA170" s="7">
        <v>0</v>
      </c>
      <c r="BB170" s="7">
        <v>0</v>
      </c>
      <c r="BC170" s="7">
        <v>1</v>
      </c>
      <c r="BD170" s="7">
        <v>1</v>
      </c>
      <c r="BE170" s="7">
        <v>0</v>
      </c>
      <c r="BF170" s="7">
        <v>0</v>
      </c>
      <c r="BG170" s="7">
        <v>0</v>
      </c>
      <c r="BH170" s="7">
        <v>0</v>
      </c>
      <c r="BI170" s="7">
        <v>0</v>
      </c>
      <c r="BJ170" s="7">
        <v>1</v>
      </c>
      <c r="BK170" s="11">
        <v>2</v>
      </c>
      <c r="BL170" s="3" t="s">
        <v>980</v>
      </c>
      <c r="BM170" s="3">
        <v>0</v>
      </c>
    </row>
    <row r="171" spans="1:65" ht="20.100000000000001" customHeight="1" x14ac:dyDescent="0.3">
      <c r="A171" s="3" t="s">
        <v>19</v>
      </c>
      <c r="B171" s="3">
        <v>16</v>
      </c>
      <c r="C171" s="8">
        <v>44380</v>
      </c>
      <c r="D171" s="9">
        <v>0.27986111111111112</v>
      </c>
      <c r="E171" s="4">
        <v>70</v>
      </c>
      <c r="F171" s="3">
        <v>0</v>
      </c>
      <c r="G171" s="3">
        <v>0</v>
      </c>
      <c r="H171" s="3">
        <v>0</v>
      </c>
      <c r="I171" s="3">
        <v>0</v>
      </c>
      <c r="J171" s="9">
        <v>0.28055555555555556</v>
      </c>
      <c r="K171" s="3">
        <v>145.80000000000001</v>
      </c>
      <c r="L171" s="11">
        <f t="shared" ref="L171" si="304">K171-K170</f>
        <v>1</v>
      </c>
      <c r="M171" s="5">
        <f t="shared" ref="M171" si="305">AB170</f>
        <v>3028.7999999999997</v>
      </c>
      <c r="N171" s="11">
        <v>31.5</v>
      </c>
      <c r="O171" s="11">
        <v>32.5</v>
      </c>
      <c r="P171" s="11">
        <v>10.75</v>
      </c>
      <c r="Q171" s="11">
        <v>10.75</v>
      </c>
      <c r="R171" s="11">
        <v>20</v>
      </c>
      <c r="S171" s="11">
        <v>20</v>
      </c>
      <c r="T171" s="11">
        <v>16</v>
      </c>
      <c r="U171" s="11">
        <v>15</v>
      </c>
      <c r="V171" s="11">
        <v>17</v>
      </c>
      <c r="W171" s="11">
        <v>13</v>
      </c>
      <c r="X171" s="11">
        <v>7</v>
      </c>
      <c r="Y171" s="11">
        <v>7</v>
      </c>
      <c r="Z171" s="3" t="s">
        <v>915</v>
      </c>
      <c r="AA171" s="10" t="s">
        <v>914</v>
      </c>
      <c r="AB171" s="5">
        <f>280+630+210+220+20+80+240+180+140+173.6+220+20+120+80</f>
        <v>2613.6</v>
      </c>
      <c r="AC171" s="6">
        <f>0+24+9+3+1.5+5+28+0+6+5.9+3+1.5+14+1</f>
        <v>101.9</v>
      </c>
      <c r="AD171" s="6">
        <f>0+6+1.5+0+1+3.5+4+0+0+1.7+0+1+2+0</f>
        <v>20.7</v>
      </c>
      <c r="AE171" s="6">
        <f>0+15+10.5+6+2+6+0+0+0+1.7+6+2+0+1</f>
        <v>50.2</v>
      </c>
      <c r="AF171" s="6">
        <f>68+93+19.5+40+0+1+0+50+20+29.6+40+0+0+16</f>
        <v>377.1</v>
      </c>
      <c r="AG171" s="6">
        <f>0+3+4.5+2+0+0+0+0+0+0.98+2+0+0+2.5</f>
        <v>14.98</v>
      </c>
      <c r="AH171" s="6">
        <f>80+960+600+380+100+190+0+60+60+99.4+380+100+0+100</f>
        <v>3109.4</v>
      </c>
      <c r="AI171" s="6">
        <f t="shared" si="218"/>
        <v>3.8988368533823085E-2</v>
      </c>
      <c r="AJ171" s="6">
        <f t="shared" si="219"/>
        <v>7.9201101928374658E-3</v>
      </c>
      <c r="AK171" s="6">
        <f t="shared" si="220"/>
        <v>1.9207223752678301E-2</v>
      </c>
      <c r="AL171" s="6">
        <f t="shared" si="221"/>
        <v>0.14428374655647383</v>
      </c>
      <c r="AM171" s="6">
        <f t="shared" si="222"/>
        <v>5.7315580042852773E-3</v>
      </c>
      <c r="AN171" s="6">
        <f t="shared" si="223"/>
        <v>1.1897000306091217</v>
      </c>
      <c r="AO171" s="7">
        <v>5</v>
      </c>
      <c r="AP171" s="7">
        <v>1</v>
      </c>
      <c r="AQ171" s="7">
        <v>0</v>
      </c>
      <c r="AR171" s="10">
        <v>0</v>
      </c>
      <c r="AS171" s="7">
        <v>0</v>
      </c>
      <c r="AT171" s="7">
        <v>0</v>
      </c>
      <c r="AU171" s="7">
        <v>0</v>
      </c>
      <c r="AV171" s="7">
        <v>0</v>
      </c>
      <c r="AW171" s="7">
        <v>31</v>
      </c>
      <c r="AX171" s="7">
        <v>1</v>
      </c>
      <c r="AY171" s="5">
        <v>5.3</v>
      </c>
      <c r="AZ171" s="7">
        <v>0</v>
      </c>
      <c r="BA171" s="7">
        <v>0</v>
      </c>
      <c r="BB171" s="7">
        <v>0</v>
      </c>
      <c r="BC171" s="7">
        <v>1</v>
      </c>
      <c r="BD171" s="7">
        <v>1</v>
      </c>
      <c r="BE171" s="7">
        <v>0</v>
      </c>
      <c r="BF171" s="7">
        <v>0</v>
      </c>
      <c r="BG171" s="7">
        <v>0</v>
      </c>
      <c r="BH171" s="7">
        <v>0</v>
      </c>
      <c r="BI171" s="7">
        <v>0</v>
      </c>
      <c r="BJ171" s="7">
        <v>1</v>
      </c>
      <c r="BK171" s="11">
        <v>3</v>
      </c>
      <c r="BL171" s="3" t="s">
        <v>980</v>
      </c>
      <c r="BM171" s="3">
        <v>0</v>
      </c>
    </row>
    <row r="172" spans="1:65" ht="20.100000000000001" customHeight="1" x14ac:dyDescent="0.3">
      <c r="A172" s="3" t="s">
        <v>23</v>
      </c>
      <c r="B172" s="3">
        <v>17</v>
      </c>
      <c r="C172" s="8">
        <v>44381</v>
      </c>
      <c r="D172" s="9">
        <v>0.32222222222222224</v>
      </c>
      <c r="E172" s="4">
        <v>65</v>
      </c>
      <c r="F172" s="3">
        <v>0</v>
      </c>
      <c r="G172" s="3">
        <v>0</v>
      </c>
      <c r="H172" s="3">
        <v>0</v>
      </c>
      <c r="I172" s="3">
        <v>0</v>
      </c>
      <c r="J172" s="9">
        <v>0.3576388888888889</v>
      </c>
      <c r="K172" s="3">
        <v>148.4</v>
      </c>
      <c r="L172" s="11">
        <f t="shared" ref="L172" si="306">K172-K171</f>
        <v>2.5999999999999943</v>
      </c>
      <c r="M172" s="5">
        <f t="shared" ref="M172" si="307">AB171</f>
        <v>2613.6</v>
      </c>
      <c r="N172" s="11">
        <v>31.5</v>
      </c>
      <c r="O172" s="11">
        <v>32.5</v>
      </c>
      <c r="P172" s="11">
        <v>10.75</v>
      </c>
      <c r="Q172" s="11">
        <v>10.75</v>
      </c>
      <c r="R172" s="11">
        <v>20</v>
      </c>
      <c r="S172" s="11">
        <v>20.25</v>
      </c>
      <c r="T172" s="11">
        <v>17</v>
      </c>
      <c r="U172" s="11">
        <v>14</v>
      </c>
      <c r="V172" s="11">
        <v>17</v>
      </c>
      <c r="W172" s="11">
        <v>13</v>
      </c>
      <c r="X172" s="11">
        <v>7</v>
      </c>
      <c r="Y172" s="11">
        <v>7</v>
      </c>
      <c r="Z172" s="3" t="s">
        <v>1014</v>
      </c>
      <c r="AA172" s="10" t="s">
        <v>916</v>
      </c>
      <c r="AB172" s="5">
        <f>210+173+90+118+27+240+20+280</f>
        <v>1158</v>
      </c>
      <c r="AC172" s="6">
        <f>8+6+0+5+0.6+28+1.5+0</f>
        <v>49.1</v>
      </c>
      <c r="AD172" s="6">
        <f>2+1.7+0+1.13+0.1+4+1+0</f>
        <v>9.93</v>
      </c>
      <c r="AE172" s="6">
        <f>5+1.65+0+2.81+2.1+0+2+0</f>
        <v>13.56</v>
      </c>
      <c r="AF172" s="6">
        <f>31+29.6+25+17.44+4.8+0+0+68</f>
        <v>175.83999999999997</v>
      </c>
      <c r="AG172" s="6">
        <f>1+0.98+0+0.56+1.8+0+0+0</f>
        <v>4.34</v>
      </c>
      <c r="AH172" s="6">
        <f>320+99.4+30+180+5.4+0+100+80</f>
        <v>814.8</v>
      </c>
      <c r="AI172" s="6">
        <f t="shared" si="218"/>
        <v>4.2400690846286705E-2</v>
      </c>
      <c r="AJ172" s="6">
        <f t="shared" si="219"/>
        <v>8.5751295336787565E-3</v>
      </c>
      <c r="AK172" s="6">
        <f t="shared" si="220"/>
        <v>1.1709844559585493E-2</v>
      </c>
      <c r="AL172" s="6">
        <f t="shared" si="221"/>
        <v>0.15184801381692573</v>
      </c>
      <c r="AM172" s="6">
        <f t="shared" si="222"/>
        <v>3.7478411053540584E-3</v>
      </c>
      <c r="AN172" s="6">
        <f t="shared" si="223"/>
        <v>0.70362694300518136</v>
      </c>
      <c r="AO172" s="7">
        <v>5</v>
      </c>
      <c r="AP172" s="7">
        <v>1</v>
      </c>
      <c r="AQ172" s="7">
        <v>0</v>
      </c>
      <c r="AR172" s="10">
        <v>0</v>
      </c>
      <c r="AS172" s="7">
        <v>0</v>
      </c>
      <c r="AT172" s="7">
        <v>0</v>
      </c>
      <c r="AU172" s="7">
        <v>0</v>
      </c>
      <c r="AV172" s="7">
        <v>0</v>
      </c>
      <c r="AW172" s="7">
        <v>0</v>
      </c>
      <c r="AX172" s="7">
        <v>0</v>
      </c>
      <c r="AY172" s="5">
        <v>3.5</v>
      </c>
      <c r="AZ172" s="7">
        <v>0</v>
      </c>
      <c r="BA172" s="7">
        <v>0</v>
      </c>
      <c r="BB172" s="7">
        <v>0</v>
      </c>
      <c r="BC172" s="7">
        <v>1</v>
      </c>
      <c r="BD172" s="7">
        <v>1</v>
      </c>
      <c r="BE172" s="7">
        <v>0</v>
      </c>
      <c r="BF172" s="7">
        <v>0</v>
      </c>
      <c r="BG172" s="7">
        <v>0</v>
      </c>
      <c r="BH172" s="7">
        <v>0</v>
      </c>
      <c r="BI172" s="7">
        <v>0</v>
      </c>
      <c r="BJ172" s="7">
        <v>1</v>
      </c>
      <c r="BK172" s="11">
        <v>3</v>
      </c>
      <c r="BL172" s="3" t="s">
        <v>985</v>
      </c>
      <c r="BM172" s="3">
        <v>0</v>
      </c>
    </row>
    <row r="173" spans="1:65" ht="20.100000000000001" customHeight="1" x14ac:dyDescent="0.3">
      <c r="A173" s="3" t="s">
        <v>15</v>
      </c>
      <c r="B173" s="3">
        <v>18</v>
      </c>
      <c r="C173" s="8">
        <v>44382</v>
      </c>
      <c r="D173" s="9">
        <v>0.28888888888888892</v>
      </c>
      <c r="E173" s="4">
        <v>66</v>
      </c>
      <c r="F173" s="3">
        <v>0</v>
      </c>
      <c r="G173" s="3">
        <v>0</v>
      </c>
      <c r="H173" s="3">
        <v>0</v>
      </c>
      <c r="I173" s="3">
        <v>0</v>
      </c>
      <c r="J173" s="9">
        <v>0.30555555555555552</v>
      </c>
      <c r="K173" s="3">
        <v>147</v>
      </c>
      <c r="L173" s="11">
        <f t="shared" ref="L173" si="308">K173-K172</f>
        <v>-1.4000000000000057</v>
      </c>
      <c r="M173" s="5">
        <f t="shared" ref="M173" si="309">AB172</f>
        <v>1158</v>
      </c>
      <c r="N173" s="11">
        <v>32</v>
      </c>
      <c r="O173" s="11">
        <v>33</v>
      </c>
      <c r="P173" s="11">
        <v>10.75</v>
      </c>
      <c r="Q173" s="11">
        <v>10.75</v>
      </c>
      <c r="R173" s="11">
        <v>19.75</v>
      </c>
      <c r="S173" s="11">
        <v>20.5</v>
      </c>
      <c r="T173" s="11">
        <v>17</v>
      </c>
      <c r="U173" s="11">
        <v>16</v>
      </c>
      <c r="V173" s="11">
        <v>18</v>
      </c>
      <c r="W173" s="11">
        <v>17</v>
      </c>
      <c r="X173" s="11">
        <v>7</v>
      </c>
      <c r="Y173" s="11">
        <v>7</v>
      </c>
      <c r="Z173" s="3" t="s">
        <v>921</v>
      </c>
      <c r="AA173" s="10" t="s">
        <v>920</v>
      </c>
      <c r="AB173" s="5">
        <f>80+220+20+80+440+420+360+554.5+204+43</f>
        <v>2421.5</v>
      </c>
      <c r="AC173" s="6">
        <f>1+3+1.5+5+11+0+7+11.2+20.4+2.3</f>
        <v>62.4</v>
      </c>
      <c r="AD173" s="6">
        <f>0+0+1+3.5+2+0+5+2.2+12.8+0.33</f>
        <v>26.83</v>
      </c>
      <c r="AE173" s="6">
        <f>1+6+2+6+6+0+10+17.8+4.4+1</f>
        <v>54.199999999999996</v>
      </c>
      <c r="AF173" s="6">
        <f>16+40+0+1+78+102+64+97+1.6+5</f>
        <v>404.6</v>
      </c>
      <c r="AG173" s="6">
        <f>2.5+2+0+0+6+0+0+8.35+0+0.67</f>
        <v>19.520000000000003</v>
      </c>
      <c r="AH173" s="6">
        <f>100+380+100+190+1660+120+240+901+172+103.3</f>
        <v>3966.3</v>
      </c>
      <c r="AI173" s="6">
        <f t="shared" si="218"/>
        <v>2.5769151352467479E-2</v>
      </c>
      <c r="AJ173" s="6">
        <f t="shared" si="219"/>
        <v>1.1079909147222795E-2</v>
      </c>
      <c r="AK173" s="6">
        <f t="shared" si="220"/>
        <v>2.2382820565765019E-2</v>
      </c>
      <c r="AL173" s="6">
        <f t="shared" si="221"/>
        <v>0.16708651662192855</v>
      </c>
      <c r="AM173" s="6">
        <f t="shared" si="222"/>
        <v>8.06111914102829E-3</v>
      </c>
      <c r="AN173" s="6">
        <f t="shared" si="223"/>
        <v>1.6379516828412142</v>
      </c>
      <c r="AO173" s="7">
        <v>5</v>
      </c>
      <c r="AP173" s="7">
        <v>1</v>
      </c>
      <c r="AQ173" s="7">
        <v>0</v>
      </c>
      <c r="AR173" s="10">
        <v>0</v>
      </c>
      <c r="AS173" s="7">
        <v>0</v>
      </c>
      <c r="AT173" s="7">
        <v>0</v>
      </c>
      <c r="AU173" s="7">
        <v>0</v>
      </c>
      <c r="AV173" s="7">
        <v>0</v>
      </c>
      <c r="AW173" s="7">
        <v>31</v>
      </c>
      <c r="AX173" s="7">
        <v>1</v>
      </c>
      <c r="AY173" s="5">
        <v>8</v>
      </c>
      <c r="AZ173" s="7">
        <v>0</v>
      </c>
      <c r="BA173" s="7">
        <v>0</v>
      </c>
      <c r="BB173" s="7">
        <v>0</v>
      </c>
      <c r="BC173" s="7">
        <v>1</v>
      </c>
      <c r="BD173" s="7">
        <v>1</v>
      </c>
      <c r="BE173" s="7">
        <v>0</v>
      </c>
      <c r="BF173" s="7">
        <v>0</v>
      </c>
      <c r="BG173" s="7">
        <v>0</v>
      </c>
      <c r="BH173" s="7">
        <v>0</v>
      </c>
      <c r="BI173" s="7">
        <v>0</v>
      </c>
      <c r="BJ173" s="7">
        <v>1</v>
      </c>
      <c r="BK173" s="11">
        <v>1</v>
      </c>
      <c r="BL173" s="3" t="s">
        <v>985</v>
      </c>
      <c r="BM173" s="3">
        <v>0</v>
      </c>
    </row>
    <row r="174" spans="1:65" ht="20.100000000000001" customHeight="1" x14ac:dyDescent="0.3">
      <c r="A174" s="3" t="s">
        <v>16</v>
      </c>
      <c r="B174" s="3">
        <v>19</v>
      </c>
      <c r="C174" s="8">
        <v>44383</v>
      </c>
      <c r="D174" s="9">
        <v>0.27708333333333335</v>
      </c>
      <c r="E174" s="4">
        <v>66</v>
      </c>
      <c r="F174" s="3">
        <v>0</v>
      </c>
      <c r="G174" s="3">
        <v>0</v>
      </c>
      <c r="H174" s="3">
        <v>0</v>
      </c>
      <c r="I174" s="3">
        <v>0</v>
      </c>
      <c r="J174" s="9">
        <v>0.27499999999999997</v>
      </c>
      <c r="K174" s="3">
        <v>147.4</v>
      </c>
      <c r="L174" s="11">
        <f t="shared" ref="L174" si="310">K174-K173</f>
        <v>0.40000000000000568</v>
      </c>
      <c r="M174" s="5">
        <f t="shared" ref="M174" si="311">AB173</f>
        <v>2421.5</v>
      </c>
      <c r="N174" s="11">
        <v>31.25</v>
      </c>
      <c r="O174" s="11">
        <v>32.75</v>
      </c>
      <c r="P174" s="11">
        <v>10.75</v>
      </c>
      <c r="Q174" s="11">
        <v>10.75</v>
      </c>
      <c r="R174" s="11">
        <v>19.875</v>
      </c>
      <c r="S174" s="11">
        <v>20.125</v>
      </c>
      <c r="T174" s="11">
        <v>17</v>
      </c>
      <c r="U174" s="11">
        <v>17</v>
      </c>
      <c r="V174" s="11">
        <v>18</v>
      </c>
      <c r="W174" s="11">
        <v>18</v>
      </c>
      <c r="X174" s="11">
        <v>7</v>
      </c>
      <c r="Y174" s="11">
        <v>7</v>
      </c>
      <c r="Z174" s="3" t="s">
        <v>922</v>
      </c>
      <c r="AA174" s="10" t="s">
        <v>928</v>
      </c>
      <c r="AB174" s="5">
        <f>420+440+20+80+354.4+768+90+140+134+60+0+102+360+90+262.5</f>
        <v>3320.9</v>
      </c>
      <c r="AC174" s="6">
        <f>22+6+1.5+5+13.5+41.2+0+5+0.2+5+0+11.5+7+0+10</f>
        <v>127.9</v>
      </c>
      <c r="AD174" s="6">
        <f>18+0+1+3.5+3.4+10.8+0+0+0.1+3.5+0+7.3+5+0+2.5</f>
        <v>55.1</v>
      </c>
      <c r="AE174" s="6">
        <f>40+12+2+6+8.4+9.2+0+1+3.6+1+0+0.1+10+0+6.25</f>
        <v>99.55</v>
      </c>
      <c r="AF174" s="6">
        <f>14+80+0+1+52.3+91.6+25+24+29.6+2+0+0.1+64+24+38.75</f>
        <v>446.35</v>
      </c>
      <c r="AG174" s="6">
        <f>2+4+0+0+1.69+2.8+0+3+3.2+0+0+0+0+3+1.25</f>
        <v>20.939999999999998</v>
      </c>
      <c r="AH174" s="6">
        <f>900+760+100+190+540+724+30+140+11+15+2325+82+240+450+400</f>
        <v>6907</v>
      </c>
      <c r="AI174" s="6">
        <f t="shared" si="218"/>
        <v>3.851365593664368E-2</v>
      </c>
      <c r="AJ174" s="6">
        <f t="shared" si="219"/>
        <v>1.6591887741274954E-2</v>
      </c>
      <c r="AK174" s="6">
        <f t="shared" si="220"/>
        <v>2.9976813514408743E-2</v>
      </c>
      <c r="AL174" s="6">
        <f t="shared" si="221"/>
        <v>0.13440633563190701</v>
      </c>
      <c r="AM174" s="6">
        <f t="shared" si="222"/>
        <v>6.3055195880634763E-3</v>
      </c>
      <c r="AN174" s="6">
        <f t="shared" si="223"/>
        <v>2.0798578698545573</v>
      </c>
      <c r="AO174" s="7">
        <v>5</v>
      </c>
      <c r="AP174" s="7">
        <v>1</v>
      </c>
      <c r="AQ174" s="7">
        <v>0</v>
      </c>
      <c r="AR174" s="10">
        <v>0</v>
      </c>
      <c r="AS174" s="7">
        <v>0</v>
      </c>
      <c r="AT174" s="7">
        <v>0</v>
      </c>
      <c r="AU174" s="7">
        <v>0</v>
      </c>
      <c r="AV174" s="7">
        <v>0</v>
      </c>
      <c r="AW174" s="7">
        <v>31</v>
      </c>
      <c r="AX174" s="7">
        <v>1</v>
      </c>
      <c r="AY174" s="5">
        <v>6</v>
      </c>
      <c r="AZ174" s="7">
        <v>0</v>
      </c>
      <c r="BA174" s="7">
        <v>1</v>
      </c>
      <c r="BB174" s="7">
        <v>0</v>
      </c>
      <c r="BC174" s="7">
        <v>0</v>
      </c>
      <c r="BD174" s="7">
        <v>1</v>
      </c>
      <c r="BE174" s="7">
        <v>0</v>
      </c>
      <c r="BF174" s="7">
        <v>0</v>
      </c>
      <c r="BG174" s="7">
        <v>0</v>
      </c>
      <c r="BH174" s="7">
        <v>0</v>
      </c>
      <c r="BI174" s="7">
        <v>0</v>
      </c>
      <c r="BJ174" s="7">
        <v>1</v>
      </c>
      <c r="BK174" s="11">
        <v>0</v>
      </c>
      <c r="BL174" s="7">
        <v>0</v>
      </c>
      <c r="BM174" s="3">
        <v>0</v>
      </c>
    </row>
    <row r="175" spans="1:65" ht="20.100000000000001" customHeight="1" x14ac:dyDescent="0.3">
      <c r="A175" s="3" t="s">
        <v>17</v>
      </c>
      <c r="B175" s="3">
        <v>20</v>
      </c>
      <c r="C175" s="8">
        <v>44384</v>
      </c>
      <c r="D175" s="9">
        <v>0.28819444444444448</v>
      </c>
      <c r="E175" s="4">
        <v>67</v>
      </c>
      <c r="F175" s="3">
        <v>0</v>
      </c>
      <c r="G175" s="3">
        <v>0</v>
      </c>
      <c r="H175" s="3">
        <v>0</v>
      </c>
      <c r="I175" s="3">
        <v>0</v>
      </c>
      <c r="J175" s="9">
        <v>0.31666666666666665</v>
      </c>
      <c r="K175" s="3">
        <v>148.19999999999999</v>
      </c>
      <c r="L175" s="11">
        <f t="shared" ref="L175" si="312">K175-K174</f>
        <v>0.79999999999998295</v>
      </c>
      <c r="M175" s="5">
        <f t="shared" ref="M175" si="313">AB174</f>
        <v>3320.9</v>
      </c>
      <c r="N175" s="11">
        <v>31.375</v>
      </c>
      <c r="O175" s="11">
        <v>33</v>
      </c>
      <c r="P175" s="11">
        <v>10.625</v>
      </c>
      <c r="Q175" s="11">
        <v>10.75</v>
      </c>
      <c r="R175" s="11">
        <v>20.125</v>
      </c>
      <c r="S175" s="11">
        <v>20</v>
      </c>
      <c r="T175" s="11">
        <v>16</v>
      </c>
      <c r="U175" s="11">
        <v>16</v>
      </c>
      <c r="V175" s="11">
        <v>17</v>
      </c>
      <c r="W175" s="11">
        <v>17</v>
      </c>
      <c r="X175" s="11">
        <v>7</v>
      </c>
      <c r="Y175" s="11">
        <v>7</v>
      </c>
      <c r="Z175" s="3" t="s">
        <v>933</v>
      </c>
      <c r="AA175" s="10" t="s">
        <v>930</v>
      </c>
      <c r="AB175" s="5">
        <f>360+768+210+140+400+350+90</f>
        <v>2318</v>
      </c>
      <c r="AC175" s="6">
        <f>7+41.2+8+5+11+0+0</f>
        <v>72.2</v>
      </c>
      <c r="AD175" s="6">
        <f>5+10.8+2+0+1+0+0</f>
        <v>18.8</v>
      </c>
      <c r="AE175" s="6">
        <f>10+9.2+5+1+12+0+0</f>
        <v>37.200000000000003</v>
      </c>
      <c r="AF175" s="6">
        <f>64+91.6+31+24+63+85+25</f>
        <v>383.6</v>
      </c>
      <c r="AG175" s="6">
        <f>0+2.8+1+3+2+0+0</f>
        <v>8.8000000000000007</v>
      </c>
      <c r="AH175" s="6">
        <f>240+724+320+140+890+100+30</f>
        <v>2444</v>
      </c>
      <c r="AI175" s="6">
        <f t="shared" si="218"/>
        <v>3.1147540983606559E-2</v>
      </c>
      <c r="AJ175" s="6">
        <f t="shared" si="219"/>
        <v>8.1104400345125109E-3</v>
      </c>
      <c r="AK175" s="6">
        <f t="shared" si="220"/>
        <v>1.6048317515099223E-2</v>
      </c>
      <c r="AL175" s="6">
        <f t="shared" si="221"/>
        <v>0.16548748921484038</v>
      </c>
      <c r="AM175" s="6">
        <f t="shared" si="222"/>
        <v>3.7963761863675587E-3</v>
      </c>
      <c r="AN175" s="6">
        <f t="shared" si="223"/>
        <v>1.0543572044866265</v>
      </c>
      <c r="AO175" s="7">
        <v>6</v>
      </c>
      <c r="AP175" s="7">
        <v>1</v>
      </c>
      <c r="AQ175" s="7">
        <v>0</v>
      </c>
      <c r="AR175" s="10">
        <v>0</v>
      </c>
      <c r="AS175" s="7">
        <v>0</v>
      </c>
      <c r="AT175" s="7">
        <v>0</v>
      </c>
      <c r="AU175" s="7">
        <v>0</v>
      </c>
      <c r="AV175" s="7">
        <v>0</v>
      </c>
      <c r="AW175" s="7">
        <v>31</v>
      </c>
      <c r="AX175" s="7">
        <v>1</v>
      </c>
      <c r="AY175" s="5">
        <v>6</v>
      </c>
      <c r="AZ175" s="7">
        <v>0</v>
      </c>
      <c r="BA175" s="7">
        <v>0</v>
      </c>
      <c r="BB175" s="7">
        <v>0</v>
      </c>
      <c r="BC175" s="7">
        <v>1</v>
      </c>
      <c r="BD175" s="7">
        <v>1</v>
      </c>
      <c r="BE175" s="7">
        <v>0</v>
      </c>
      <c r="BF175" s="7">
        <v>0</v>
      </c>
      <c r="BG175" s="7">
        <v>0</v>
      </c>
      <c r="BH175" s="7">
        <v>0</v>
      </c>
      <c r="BI175" s="7">
        <v>0</v>
      </c>
      <c r="BJ175" s="7">
        <v>1</v>
      </c>
      <c r="BK175" s="11">
        <v>1</v>
      </c>
      <c r="BL175" s="3" t="s">
        <v>985</v>
      </c>
      <c r="BM175" s="3">
        <v>0</v>
      </c>
    </row>
    <row r="176" spans="1:65" ht="20.100000000000001" customHeight="1" x14ac:dyDescent="0.3">
      <c r="A176" s="3" t="s">
        <v>18</v>
      </c>
      <c r="B176" s="3">
        <v>21</v>
      </c>
      <c r="C176" s="8">
        <v>44385</v>
      </c>
      <c r="D176" s="9">
        <v>0.34583333333333338</v>
      </c>
      <c r="E176" s="4">
        <v>72</v>
      </c>
      <c r="F176" s="3">
        <v>0</v>
      </c>
      <c r="G176" s="3">
        <v>0</v>
      </c>
      <c r="H176" s="3">
        <v>0</v>
      </c>
      <c r="I176" s="3">
        <v>0</v>
      </c>
      <c r="J176" s="9">
        <v>0.34722222222222227</v>
      </c>
      <c r="K176" s="3">
        <v>147.19999999999999</v>
      </c>
      <c r="L176" s="11">
        <f t="shared" ref="L176" si="314">K176-K175</f>
        <v>-1</v>
      </c>
      <c r="M176" s="5">
        <f t="shared" ref="M176" si="315">AB175</f>
        <v>2318</v>
      </c>
      <c r="N176" s="11">
        <v>31.5</v>
      </c>
      <c r="O176" s="11">
        <v>32.75</v>
      </c>
      <c r="P176" s="11">
        <v>10.875</v>
      </c>
      <c r="Q176" s="11">
        <v>10.75</v>
      </c>
      <c r="R176" s="11">
        <v>19.75</v>
      </c>
      <c r="S176" s="11">
        <v>20.239999999999998</v>
      </c>
      <c r="T176" s="11">
        <v>16</v>
      </c>
      <c r="U176" s="11">
        <v>15</v>
      </c>
      <c r="V176" s="11">
        <v>17</v>
      </c>
      <c r="W176" s="11">
        <v>17</v>
      </c>
      <c r="X176" s="11">
        <v>7</v>
      </c>
      <c r="Y176" s="11">
        <v>7</v>
      </c>
      <c r="Z176" s="3" t="s">
        <v>932</v>
      </c>
      <c r="AA176" s="10" t="s">
        <v>931</v>
      </c>
      <c r="AB176" s="5">
        <f>420+280+210+220+80+20+210</f>
        <v>1440</v>
      </c>
      <c r="AC176" s="6">
        <f>16+10+11+3+5+1.5+0</f>
        <v>46.5</v>
      </c>
      <c r="AD176" s="6">
        <f>4+0+9+0+3.5+1+0</f>
        <v>17.5</v>
      </c>
      <c r="AE176" s="6">
        <f>10+2+20+6+6+2+0</f>
        <v>46</v>
      </c>
      <c r="AF176" s="6">
        <f>62+48+7+40+1+0+51</f>
        <v>209</v>
      </c>
      <c r="AG176" s="6">
        <f>2+6+1+2+0+0+0</f>
        <v>11</v>
      </c>
      <c r="AH176" s="6">
        <f>640+280+450+380+190+100+60</f>
        <v>2100</v>
      </c>
      <c r="AI176" s="6">
        <f t="shared" si="218"/>
        <v>3.229166666666667E-2</v>
      </c>
      <c r="AJ176" s="6">
        <f t="shared" si="219"/>
        <v>1.2152777777777778E-2</v>
      </c>
      <c r="AK176" s="6">
        <f t="shared" si="220"/>
        <v>3.1944444444444442E-2</v>
      </c>
      <c r="AL176" s="6">
        <f t="shared" si="221"/>
        <v>0.1451388888888889</v>
      </c>
      <c r="AM176" s="6">
        <f t="shared" si="222"/>
        <v>7.6388888888888886E-3</v>
      </c>
      <c r="AN176" s="6">
        <f t="shared" si="223"/>
        <v>1.4583333333333333</v>
      </c>
      <c r="AO176" s="7">
        <v>5</v>
      </c>
      <c r="AP176" s="7">
        <v>1</v>
      </c>
      <c r="AQ176" s="7">
        <v>0</v>
      </c>
      <c r="AR176" s="10">
        <v>0</v>
      </c>
      <c r="AS176" s="7">
        <v>0</v>
      </c>
      <c r="AT176" s="7">
        <v>0</v>
      </c>
      <c r="AU176" s="7">
        <v>0</v>
      </c>
      <c r="AV176" s="7">
        <v>0</v>
      </c>
      <c r="AW176" s="7">
        <v>31</v>
      </c>
      <c r="AX176" s="7">
        <v>1</v>
      </c>
      <c r="AY176" s="5">
        <v>5.5</v>
      </c>
      <c r="AZ176" s="7">
        <v>0</v>
      </c>
      <c r="BA176" s="7">
        <v>0</v>
      </c>
      <c r="BB176" s="7">
        <v>0</v>
      </c>
      <c r="BC176" s="7">
        <v>1</v>
      </c>
      <c r="BD176" s="7">
        <v>1</v>
      </c>
      <c r="BE176" s="7">
        <v>0</v>
      </c>
      <c r="BF176" s="7">
        <v>0</v>
      </c>
      <c r="BG176" s="7">
        <v>0</v>
      </c>
      <c r="BH176" s="7">
        <v>0</v>
      </c>
      <c r="BI176" s="7">
        <v>0</v>
      </c>
      <c r="BJ176" s="7">
        <v>1</v>
      </c>
      <c r="BK176" s="11">
        <v>2</v>
      </c>
      <c r="BL176" s="3" t="s">
        <v>985</v>
      </c>
      <c r="BM176" s="3">
        <v>0</v>
      </c>
    </row>
    <row r="177" spans="1:65" ht="20.100000000000001" customHeight="1" x14ac:dyDescent="0.3">
      <c r="A177" s="3" t="s">
        <v>137</v>
      </c>
      <c r="B177" s="3">
        <v>22</v>
      </c>
      <c r="C177" s="8">
        <v>44386</v>
      </c>
      <c r="D177" s="9">
        <v>0.28958333333333336</v>
      </c>
      <c r="E177" s="4">
        <v>72</v>
      </c>
      <c r="F177" s="3">
        <v>0</v>
      </c>
      <c r="G177" s="3">
        <v>0</v>
      </c>
      <c r="H177" s="3">
        <v>0</v>
      </c>
      <c r="I177" s="3">
        <v>0</v>
      </c>
      <c r="J177" s="9">
        <v>0.30208333333333331</v>
      </c>
      <c r="K177" s="3">
        <v>147.19999999999999</v>
      </c>
      <c r="L177" s="11">
        <f t="shared" ref="L177" si="316">K177-K176</f>
        <v>0</v>
      </c>
      <c r="M177" s="5">
        <f t="shared" ref="M177" si="317">AB176</f>
        <v>1440</v>
      </c>
      <c r="N177" s="11">
        <v>31.25</v>
      </c>
      <c r="O177" s="11">
        <v>32.875</v>
      </c>
      <c r="P177" s="11">
        <v>10.875</v>
      </c>
      <c r="Q177" s="11">
        <v>11</v>
      </c>
      <c r="R177" s="11">
        <v>20.25</v>
      </c>
      <c r="S177" s="11">
        <v>20.25</v>
      </c>
      <c r="T177" s="11">
        <v>17</v>
      </c>
      <c r="U177" s="11">
        <v>17</v>
      </c>
      <c r="V177" s="11">
        <v>18</v>
      </c>
      <c r="W177" s="11">
        <v>17</v>
      </c>
      <c r="X177" s="11">
        <v>7</v>
      </c>
      <c r="Y177" s="11">
        <v>7</v>
      </c>
      <c r="Z177" s="3" t="s">
        <v>937</v>
      </c>
      <c r="AA177" s="10" t="s">
        <v>936</v>
      </c>
      <c r="AB177" s="5">
        <f>118.1+210+220+20+80+60+204+610+490+270</f>
        <v>2282.1</v>
      </c>
      <c r="AC177" s="6">
        <f>4.5+11+3+1.5+5+0+20.4+15.2+0+0</f>
        <v>60.599999999999994</v>
      </c>
      <c r="AD177" s="6">
        <f>1.13+9+0+1+3.5+0+12.8+3.2+0+0</f>
        <v>30.63</v>
      </c>
      <c r="AE177" s="6">
        <f>2.81+20+6+2+6+0+4.4+23.6+0+0</f>
        <v>64.81</v>
      </c>
      <c r="AF177" s="6">
        <f>17.4+7+40+0+1+16+1.6+93.9+119+75</f>
        <v>370.9</v>
      </c>
      <c r="AG177" s="6">
        <f>0.56+1+2+0+0+2+0+7+0+0</f>
        <v>12.56</v>
      </c>
      <c r="AH177" s="6">
        <f>180+450+380+100+190+300+172+1954+140+90</f>
        <v>3956</v>
      </c>
      <c r="AI177" s="6">
        <f t="shared" si="218"/>
        <v>2.6554489286183775E-2</v>
      </c>
      <c r="AJ177" s="6">
        <f t="shared" si="219"/>
        <v>1.3421848297620612E-2</v>
      </c>
      <c r="AK177" s="6">
        <f t="shared" si="220"/>
        <v>2.8399281363656284E-2</v>
      </c>
      <c r="AL177" s="6">
        <f t="shared" si="221"/>
        <v>0.16252574383243504</v>
      </c>
      <c r="AM177" s="6">
        <f t="shared" si="222"/>
        <v>5.5037027299417209E-3</v>
      </c>
      <c r="AN177" s="6">
        <f t="shared" si="223"/>
        <v>1.7334910827746375</v>
      </c>
      <c r="AO177" s="7">
        <v>4</v>
      </c>
      <c r="AP177" s="7">
        <v>2</v>
      </c>
      <c r="AQ177" s="7">
        <v>0</v>
      </c>
      <c r="AR177" s="10">
        <v>0</v>
      </c>
      <c r="AS177" s="7">
        <v>0</v>
      </c>
      <c r="AT177" s="7">
        <v>0</v>
      </c>
      <c r="AU177" s="7">
        <v>0</v>
      </c>
      <c r="AV177" s="7">
        <v>0</v>
      </c>
      <c r="AW177" s="7">
        <v>31</v>
      </c>
      <c r="AX177" s="7">
        <v>1</v>
      </c>
      <c r="AY177" s="5">
        <f>6.5+0.3</f>
        <v>6.8</v>
      </c>
      <c r="AZ177" s="7">
        <v>0</v>
      </c>
      <c r="BA177" s="7">
        <v>0</v>
      </c>
      <c r="BB177" s="7">
        <v>0</v>
      </c>
      <c r="BC177" s="7">
        <v>1</v>
      </c>
      <c r="BD177" s="7">
        <v>1</v>
      </c>
      <c r="BE177" s="7">
        <v>0</v>
      </c>
      <c r="BF177" s="7">
        <v>1</v>
      </c>
      <c r="BG177" s="7">
        <v>20</v>
      </c>
      <c r="BH177" s="7">
        <v>0</v>
      </c>
      <c r="BI177" s="7">
        <v>0</v>
      </c>
      <c r="BJ177" s="7">
        <v>1</v>
      </c>
      <c r="BK177" s="11">
        <v>1</v>
      </c>
      <c r="BL177" s="3" t="s">
        <v>985</v>
      </c>
      <c r="BM177" s="3">
        <v>0</v>
      </c>
    </row>
    <row r="178" spans="1:65" ht="20.100000000000001" customHeight="1" x14ac:dyDescent="0.3">
      <c r="A178" s="3" t="s">
        <v>19</v>
      </c>
      <c r="B178" s="3">
        <v>23</v>
      </c>
      <c r="C178" s="8">
        <v>44387</v>
      </c>
      <c r="D178" s="9">
        <v>0.24930555555555556</v>
      </c>
      <c r="E178" s="4">
        <v>71</v>
      </c>
      <c r="F178" s="3">
        <v>0</v>
      </c>
      <c r="G178" s="3">
        <v>0</v>
      </c>
      <c r="H178" s="3">
        <v>0</v>
      </c>
      <c r="I178" s="3">
        <v>0</v>
      </c>
      <c r="J178" s="9">
        <v>0.26944444444444443</v>
      </c>
      <c r="K178" s="3">
        <v>147</v>
      </c>
      <c r="L178" s="11">
        <f t="shared" ref="L178" si="318">K178-K177</f>
        <v>-0.19999999999998863</v>
      </c>
      <c r="M178" s="5">
        <f t="shared" ref="M178" si="319">AB177</f>
        <v>2282.1</v>
      </c>
      <c r="N178" s="11">
        <v>31.375</v>
      </c>
      <c r="O178" s="11">
        <v>32.375</v>
      </c>
      <c r="P178" s="11">
        <v>10.75</v>
      </c>
      <c r="Q178" s="11">
        <v>10.75</v>
      </c>
      <c r="R178" s="11">
        <v>19.875</v>
      </c>
      <c r="S178" s="11">
        <v>20.125</v>
      </c>
      <c r="T178" s="11">
        <v>17</v>
      </c>
      <c r="U178" s="11">
        <v>16</v>
      </c>
      <c r="V178" s="11">
        <v>17</v>
      </c>
      <c r="W178" s="11">
        <v>15</v>
      </c>
      <c r="X178" s="11">
        <v>7</v>
      </c>
      <c r="Y178" s="11">
        <v>7</v>
      </c>
      <c r="Z178" s="3" t="s">
        <v>938</v>
      </c>
      <c r="AA178" s="10" t="s">
        <v>941</v>
      </c>
      <c r="AB178" s="5">
        <f>160+440+40+160+1907+140+70</f>
        <v>2917</v>
      </c>
      <c r="AC178" s="6">
        <f>2+6+3+10+118+6+0</f>
        <v>145</v>
      </c>
      <c r="AD178" s="6">
        <f>0+0+2+7+19.4+0+0</f>
        <v>28.4</v>
      </c>
      <c r="AE178" s="6">
        <f>2+12+4+12+64.53+0+0</f>
        <v>94.53</v>
      </c>
      <c r="AF178" s="6">
        <f>32+80+0+2+143.8+20+17</f>
        <v>294.8</v>
      </c>
      <c r="AG178" s="6">
        <f>5+4+0+0+7.8+0+0</f>
        <v>16.8</v>
      </c>
      <c r="AH178" s="6">
        <f>200+760+200+380+1416+60+20</f>
        <v>3036</v>
      </c>
      <c r="AI178" s="6">
        <f t="shared" si="218"/>
        <v>4.9708604730887895E-2</v>
      </c>
      <c r="AJ178" s="6">
        <f t="shared" si="219"/>
        <v>9.7360301679808026E-3</v>
      </c>
      <c r="AK178" s="6">
        <f t="shared" si="220"/>
        <v>3.2406582104902298E-2</v>
      </c>
      <c r="AL178" s="6">
        <f t="shared" si="221"/>
        <v>0.10106273568735002</v>
      </c>
      <c r="AM178" s="6">
        <f t="shared" si="222"/>
        <v>5.7593417895097703E-3</v>
      </c>
      <c r="AN178" s="6">
        <f t="shared" si="223"/>
        <v>1.0407953376756942</v>
      </c>
      <c r="AO178" s="7">
        <v>5</v>
      </c>
      <c r="AP178" s="7">
        <v>2</v>
      </c>
      <c r="AQ178" s="7">
        <v>0</v>
      </c>
      <c r="AR178" s="10">
        <v>0</v>
      </c>
      <c r="AS178" s="7">
        <v>0</v>
      </c>
      <c r="AT178" s="7">
        <v>0</v>
      </c>
      <c r="AU178" s="7">
        <v>0</v>
      </c>
      <c r="AV178" s="7">
        <v>0</v>
      </c>
      <c r="AW178" s="7">
        <v>31</v>
      </c>
      <c r="AX178" s="7">
        <v>1</v>
      </c>
      <c r="AY178" s="5">
        <v>5</v>
      </c>
      <c r="AZ178" s="7">
        <v>0</v>
      </c>
      <c r="BA178" s="7">
        <v>0</v>
      </c>
      <c r="BB178" s="7">
        <v>0</v>
      </c>
      <c r="BC178" s="7">
        <v>1</v>
      </c>
      <c r="BD178" s="7">
        <v>1</v>
      </c>
      <c r="BE178" s="7">
        <v>0</v>
      </c>
      <c r="BF178" s="7">
        <v>0</v>
      </c>
      <c r="BG178" s="7">
        <v>0</v>
      </c>
      <c r="BH178" s="7">
        <v>0</v>
      </c>
      <c r="BI178" s="7">
        <v>0</v>
      </c>
      <c r="BJ178" s="7">
        <v>1</v>
      </c>
      <c r="BK178" s="11">
        <v>2</v>
      </c>
      <c r="BL178" s="3" t="s">
        <v>985</v>
      </c>
      <c r="BM178" s="3">
        <v>0</v>
      </c>
    </row>
    <row r="179" spans="1:65" ht="20.100000000000001" customHeight="1" x14ac:dyDescent="0.3">
      <c r="A179" s="3" t="s">
        <v>23</v>
      </c>
      <c r="B179" s="3">
        <v>24</v>
      </c>
      <c r="C179" s="8">
        <v>44388</v>
      </c>
      <c r="D179" s="9">
        <v>0.31597222222222221</v>
      </c>
      <c r="E179" s="4">
        <v>71</v>
      </c>
      <c r="F179" s="3">
        <v>0</v>
      </c>
      <c r="G179" s="3">
        <v>0</v>
      </c>
      <c r="H179" s="3">
        <v>0</v>
      </c>
      <c r="I179" s="3">
        <v>0</v>
      </c>
      <c r="J179" s="9">
        <v>0.31666666666666665</v>
      </c>
      <c r="K179" s="3">
        <v>147.80000000000001</v>
      </c>
      <c r="L179" s="11">
        <f t="shared" ref="L179" si="320">K179-K178</f>
        <v>0.80000000000001137</v>
      </c>
      <c r="M179" s="5">
        <f t="shared" ref="M179" si="321">AB178</f>
        <v>2917</v>
      </c>
      <c r="N179" s="11">
        <v>31.25</v>
      </c>
      <c r="O179" s="11">
        <v>32.75</v>
      </c>
      <c r="P179" s="11">
        <v>11</v>
      </c>
      <c r="Q179" s="11">
        <v>10.75</v>
      </c>
      <c r="R179" s="11">
        <v>20</v>
      </c>
      <c r="S179" s="11">
        <v>20</v>
      </c>
      <c r="T179" s="11">
        <v>16</v>
      </c>
      <c r="U179" s="11">
        <v>15</v>
      </c>
      <c r="V179" s="11">
        <v>18</v>
      </c>
      <c r="W179" s="11">
        <v>18</v>
      </c>
      <c r="X179" s="11">
        <v>7</v>
      </c>
      <c r="Y179" s="11">
        <v>7</v>
      </c>
      <c r="Z179" s="3" t="s">
        <v>948</v>
      </c>
      <c r="AA179" s="10" t="s">
        <v>949</v>
      </c>
      <c r="AB179" s="5">
        <f>953.67+992+84+45+80+280+150</f>
        <v>2584.67</v>
      </c>
      <c r="AC179" s="6">
        <f>59+62+2+1.8+5+12+9</f>
        <v>150.80000000000001</v>
      </c>
      <c r="AD179" s="6">
        <f>9.7+19.9+0.5+0.5+3.5+0+5</f>
        <v>39.099999999999994</v>
      </c>
      <c r="AE179" s="6">
        <f>32.3+26+2+1.5+6+0+2</f>
        <v>69.8</v>
      </c>
      <c r="AF179" s="6">
        <f>71.9+84.9+13.5+6+1+40+17</f>
        <v>234.3</v>
      </c>
      <c r="AG179" s="6">
        <f>3.9+6.8+0.5+1.5+0+0+1</f>
        <v>13.7</v>
      </c>
      <c r="AH179" s="6">
        <f>708+574+150.5+230+190+120+50</f>
        <v>2022.5</v>
      </c>
      <c r="AI179" s="6">
        <f t="shared" si="218"/>
        <v>5.834400523084185E-2</v>
      </c>
      <c r="AJ179" s="6">
        <f t="shared" si="219"/>
        <v>1.5127656528686445E-2</v>
      </c>
      <c r="AK179" s="6">
        <f t="shared" si="220"/>
        <v>2.7005381731516981E-2</v>
      </c>
      <c r="AL179" s="6">
        <f t="shared" si="221"/>
        <v>9.0649870196195262E-2</v>
      </c>
      <c r="AM179" s="6">
        <f t="shared" si="222"/>
        <v>5.3004832338364276E-3</v>
      </c>
      <c r="AN179" s="6">
        <f t="shared" si="223"/>
        <v>0.78249834601709312</v>
      </c>
      <c r="AO179" s="7">
        <v>5</v>
      </c>
      <c r="AP179" s="7">
        <v>3</v>
      </c>
      <c r="AQ179" s="7">
        <v>0</v>
      </c>
      <c r="AR179" s="10">
        <v>0</v>
      </c>
      <c r="AS179" s="7">
        <v>0</v>
      </c>
      <c r="AT179" s="7">
        <v>0</v>
      </c>
      <c r="AU179" s="7">
        <v>0</v>
      </c>
      <c r="AV179" s="7">
        <v>0</v>
      </c>
      <c r="AW179" s="7">
        <v>31</v>
      </c>
      <c r="AX179" s="7">
        <v>1</v>
      </c>
      <c r="AY179" s="5">
        <v>6</v>
      </c>
      <c r="AZ179" s="7">
        <v>0</v>
      </c>
      <c r="BA179" s="7">
        <v>0</v>
      </c>
      <c r="BB179" s="7">
        <v>0</v>
      </c>
      <c r="BC179" s="7">
        <v>1</v>
      </c>
      <c r="BD179" s="7">
        <v>1</v>
      </c>
      <c r="BE179" s="7">
        <v>0</v>
      </c>
      <c r="BF179" s="7">
        <v>0</v>
      </c>
      <c r="BG179" s="7">
        <v>0</v>
      </c>
      <c r="BH179" s="7">
        <v>0</v>
      </c>
      <c r="BI179" s="7">
        <v>0</v>
      </c>
      <c r="BJ179" s="7">
        <v>1</v>
      </c>
      <c r="BK179" s="11">
        <v>2</v>
      </c>
      <c r="BL179" s="3" t="s">
        <v>985</v>
      </c>
      <c r="BM179" s="3">
        <v>0</v>
      </c>
    </row>
    <row r="180" spans="1:65" ht="20.100000000000001" customHeight="1" x14ac:dyDescent="0.3">
      <c r="A180" s="3" t="s">
        <v>15</v>
      </c>
      <c r="B180" s="3">
        <v>0</v>
      </c>
      <c r="C180" s="8">
        <v>44389</v>
      </c>
      <c r="D180" s="9">
        <v>0.31319444444444444</v>
      </c>
      <c r="E180" s="4">
        <v>67</v>
      </c>
      <c r="F180" s="3">
        <v>0</v>
      </c>
      <c r="G180" s="3">
        <v>0</v>
      </c>
      <c r="H180" s="3">
        <v>0</v>
      </c>
      <c r="I180" s="3">
        <v>0</v>
      </c>
      <c r="J180" s="9">
        <v>0.36319444444444443</v>
      </c>
      <c r="K180" s="3">
        <v>147.80000000000001</v>
      </c>
      <c r="L180" s="11">
        <f t="shared" ref="L180" si="322">K180-K179</f>
        <v>0</v>
      </c>
      <c r="M180" s="5">
        <f t="shared" ref="M180" si="323">AB179</f>
        <v>2584.67</v>
      </c>
      <c r="N180" s="11">
        <v>31.75</v>
      </c>
      <c r="O180" s="11">
        <v>33.25</v>
      </c>
      <c r="P180" s="11">
        <v>10.75</v>
      </c>
      <c r="Q180" s="11">
        <v>11</v>
      </c>
      <c r="R180" s="11">
        <v>19.75</v>
      </c>
      <c r="S180" s="11">
        <v>20</v>
      </c>
      <c r="T180" s="11">
        <v>17</v>
      </c>
      <c r="U180" s="11">
        <v>15</v>
      </c>
      <c r="V180" s="11">
        <v>17</v>
      </c>
      <c r="W180" s="11">
        <v>16</v>
      </c>
      <c r="X180" s="11">
        <v>7</v>
      </c>
      <c r="Y180" s="11">
        <v>7</v>
      </c>
      <c r="Z180" s="3" t="s">
        <v>950</v>
      </c>
      <c r="AA180" s="10" t="s">
        <v>951</v>
      </c>
      <c r="AB180" s="5">
        <f>1707+80+480+90+90+140</f>
        <v>2587</v>
      </c>
      <c r="AC180" s="6">
        <f>80.29+5+24+6+6+6</f>
        <v>127.29</v>
      </c>
      <c r="AD180" s="6">
        <f>18+3.5+12+3.5+3.5+0</f>
        <v>40.5</v>
      </c>
      <c r="AE180" s="6">
        <f>104.55+6+4+7+7+0</f>
        <v>128.55000000000001</v>
      </c>
      <c r="AF180" s="6">
        <f>163.28+1+62+2+2+20</f>
        <v>250.28</v>
      </c>
      <c r="AG180" s="6">
        <f>31.88+0+0+0+0+0</f>
        <v>31.88</v>
      </c>
      <c r="AH180" s="6">
        <f>1050+190+440+200+200+60</f>
        <v>2140</v>
      </c>
      <c r="AI180" s="6">
        <f t="shared" si="218"/>
        <v>4.9203710862002321E-2</v>
      </c>
      <c r="AJ180" s="6">
        <f t="shared" si="219"/>
        <v>1.5655199072284499E-2</v>
      </c>
      <c r="AK180" s="6">
        <f t="shared" si="220"/>
        <v>4.9690761499806731E-2</v>
      </c>
      <c r="AL180" s="6">
        <f t="shared" si="221"/>
        <v>9.6745264785465787E-2</v>
      </c>
      <c r="AM180" s="6">
        <f t="shared" si="222"/>
        <v>1.2323154232701972E-2</v>
      </c>
      <c r="AN180" s="6">
        <f t="shared" si="223"/>
        <v>0.82721298801700816</v>
      </c>
      <c r="AO180" s="7">
        <v>5</v>
      </c>
      <c r="AP180" s="7">
        <v>3</v>
      </c>
      <c r="AQ180" s="7">
        <v>1</v>
      </c>
      <c r="AR180" s="10">
        <v>0</v>
      </c>
      <c r="AS180" s="7">
        <v>0</v>
      </c>
      <c r="AT180" s="7">
        <v>0</v>
      </c>
      <c r="AU180" s="7">
        <v>0</v>
      </c>
      <c r="AV180" s="7">
        <v>0</v>
      </c>
      <c r="AW180" s="7">
        <v>31</v>
      </c>
      <c r="AX180" s="7">
        <v>1</v>
      </c>
      <c r="AY180" s="5">
        <v>6.25</v>
      </c>
      <c r="AZ180" s="7">
        <v>0</v>
      </c>
      <c r="BA180" s="7">
        <v>0</v>
      </c>
      <c r="BB180" s="7">
        <v>0</v>
      </c>
      <c r="BC180" s="7">
        <v>1</v>
      </c>
      <c r="BD180" s="7">
        <v>1</v>
      </c>
      <c r="BE180" s="7">
        <v>0</v>
      </c>
      <c r="BF180" s="7">
        <v>1</v>
      </c>
      <c r="BG180" s="7">
        <v>15</v>
      </c>
      <c r="BH180" s="7">
        <v>0</v>
      </c>
      <c r="BI180" s="7">
        <v>0</v>
      </c>
      <c r="BJ180" s="7">
        <v>1</v>
      </c>
      <c r="BK180" s="11">
        <v>2</v>
      </c>
      <c r="BL180" s="3" t="s">
        <v>985</v>
      </c>
      <c r="BM180" s="3">
        <v>0</v>
      </c>
    </row>
    <row r="181" spans="1:65" ht="20.100000000000001" customHeight="1" x14ac:dyDescent="0.3">
      <c r="A181" s="3" t="s">
        <v>16</v>
      </c>
      <c r="B181" s="3">
        <v>1</v>
      </c>
      <c r="C181" s="8">
        <v>44390</v>
      </c>
      <c r="D181" s="9">
        <v>0.28125</v>
      </c>
      <c r="E181" s="4">
        <v>69</v>
      </c>
      <c r="F181" s="3">
        <v>0</v>
      </c>
      <c r="G181" s="3">
        <v>0</v>
      </c>
      <c r="H181" s="3">
        <v>0</v>
      </c>
      <c r="I181" s="3">
        <v>0</v>
      </c>
      <c r="J181" s="9">
        <v>0.31805555555555554</v>
      </c>
      <c r="K181" s="3">
        <v>144.4</v>
      </c>
      <c r="L181" s="11">
        <f t="shared" ref="L181" si="324">K181-K180</f>
        <v>-3.4000000000000057</v>
      </c>
      <c r="M181" s="5">
        <f t="shared" ref="M181" si="325">AB180</f>
        <v>2587</v>
      </c>
      <c r="N181" s="11">
        <v>30.5</v>
      </c>
      <c r="O181" s="11">
        <v>32.5</v>
      </c>
      <c r="P181" s="11">
        <v>10.875</v>
      </c>
      <c r="Q181" s="11">
        <v>10.875</v>
      </c>
      <c r="R181" s="11">
        <v>19.875</v>
      </c>
      <c r="S181" s="11">
        <v>20.125</v>
      </c>
      <c r="T181" s="11">
        <v>17</v>
      </c>
      <c r="U181" s="11">
        <v>17</v>
      </c>
      <c r="V181" s="11">
        <v>17</v>
      </c>
      <c r="W181" s="11">
        <v>16</v>
      </c>
      <c r="X181" s="11">
        <v>7</v>
      </c>
      <c r="Y181" s="11">
        <v>7</v>
      </c>
      <c r="Z181" s="3" t="s">
        <v>953</v>
      </c>
      <c r="AA181" s="10" t="s">
        <v>952</v>
      </c>
      <c r="AB181" s="5">
        <f>569+90+110+90+210+164+569+90</f>
        <v>1892</v>
      </c>
      <c r="AC181" s="6">
        <f>26.76+6+1.5+6+11+13.5+26.76+6</f>
        <v>97.52000000000001</v>
      </c>
      <c r="AD181" s="6">
        <f>6+3.5+0+3.5+9+2.5+6+3.5</f>
        <v>34</v>
      </c>
      <c r="AE181" s="6">
        <f>34.85+7+3+7+20+4.7+34.85+7</f>
        <v>118.4</v>
      </c>
      <c r="AF181" s="6">
        <f>54.43+2+20+2+7+8.4+54.43+2</f>
        <v>150.26000000000002</v>
      </c>
      <c r="AG181" s="6">
        <f>10.63+0+1+0+0+0.9+10.63+0</f>
        <v>23.160000000000004</v>
      </c>
      <c r="AH181" s="6">
        <f>350+200+190+200+450+4+350+200</f>
        <v>1944</v>
      </c>
      <c r="AI181" s="6">
        <f t="shared" si="218"/>
        <v>5.1543340380549689E-2</v>
      </c>
      <c r="AJ181" s="6">
        <f t="shared" si="219"/>
        <v>1.7970401691331923E-2</v>
      </c>
      <c r="AK181" s="6">
        <f t="shared" si="220"/>
        <v>6.2579281183932356E-2</v>
      </c>
      <c r="AL181" s="6">
        <f t="shared" si="221"/>
        <v>7.9418604651162794E-2</v>
      </c>
      <c r="AM181" s="6">
        <f t="shared" si="222"/>
        <v>1.2241014799154336E-2</v>
      </c>
      <c r="AN181" s="6">
        <f t="shared" si="223"/>
        <v>1.0274841437632136</v>
      </c>
      <c r="AO181" s="7">
        <v>4</v>
      </c>
      <c r="AP181" s="7">
        <v>1</v>
      </c>
      <c r="AQ181" s="7">
        <v>1</v>
      </c>
      <c r="AR181" s="10">
        <v>0</v>
      </c>
      <c r="AS181" s="7">
        <v>0</v>
      </c>
      <c r="AT181" s="7">
        <v>0</v>
      </c>
      <c r="AU181" s="7">
        <v>0</v>
      </c>
      <c r="AV181" s="7">
        <v>0</v>
      </c>
      <c r="AW181" s="7">
        <v>31</v>
      </c>
      <c r="AX181" s="7">
        <v>1</v>
      </c>
      <c r="AY181" s="5">
        <v>6</v>
      </c>
      <c r="AZ181" s="7">
        <v>0</v>
      </c>
      <c r="BA181" s="7">
        <v>0</v>
      </c>
      <c r="BB181" s="7">
        <v>0</v>
      </c>
      <c r="BC181" s="7">
        <v>1</v>
      </c>
      <c r="BD181" s="7">
        <v>1</v>
      </c>
      <c r="BE181" s="7">
        <v>0</v>
      </c>
      <c r="BF181" s="7">
        <v>0</v>
      </c>
      <c r="BG181" s="7">
        <v>0</v>
      </c>
      <c r="BH181" s="7">
        <v>0</v>
      </c>
      <c r="BI181" s="7">
        <v>0</v>
      </c>
      <c r="BJ181" s="7">
        <v>1</v>
      </c>
      <c r="BK181" s="11">
        <v>2</v>
      </c>
      <c r="BL181" s="3" t="s">
        <v>976</v>
      </c>
      <c r="BM181" s="3">
        <v>0</v>
      </c>
    </row>
    <row r="182" spans="1:65" ht="19.95" customHeight="1" x14ac:dyDescent="0.3">
      <c r="A182" s="3" t="s">
        <v>17</v>
      </c>
      <c r="B182" s="3">
        <v>2</v>
      </c>
      <c r="C182" s="8">
        <v>44391</v>
      </c>
      <c r="D182" s="9">
        <v>0.31875000000000003</v>
      </c>
      <c r="E182" s="4">
        <v>71</v>
      </c>
      <c r="F182" s="3">
        <v>0</v>
      </c>
      <c r="G182" s="3">
        <v>0</v>
      </c>
      <c r="H182" s="3">
        <v>0</v>
      </c>
      <c r="I182" s="3">
        <v>0</v>
      </c>
      <c r="J182" s="9">
        <v>0.31944444444444448</v>
      </c>
      <c r="K182" s="3">
        <v>145</v>
      </c>
      <c r="L182" s="11">
        <f t="shared" ref="L182" si="326">K182-K181</f>
        <v>0.59999999999999432</v>
      </c>
      <c r="M182" s="5">
        <f t="shared" ref="M182" si="327">AB181</f>
        <v>1892</v>
      </c>
      <c r="N182" s="11">
        <v>31.125</v>
      </c>
      <c r="O182" s="11">
        <v>32.625</v>
      </c>
      <c r="P182" s="11">
        <v>11</v>
      </c>
      <c r="Q182" s="11">
        <v>11</v>
      </c>
      <c r="R182" s="11">
        <v>20.25</v>
      </c>
      <c r="S182" s="11">
        <v>20.375</v>
      </c>
      <c r="T182" s="11">
        <v>15</v>
      </c>
      <c r="U182" s="11">
        <v>16</v>
      </c>
      <c r="V182" s="11">
        <v>17</v>
      </c>
      <c r="W182" s="11">
        <v>15</v>
      </c>
      <c r="X182" s="11">
        <v>7</v>
      </c>
      <c r="Y182" s="11">
        <v>7</v>
      </c>
      <c r="Z182" s="3" t="s">
        <v>957</v>
      </c>
      <c r="AA182" s="10" t="s">
        <v>956</v>
      </c>
      <c r="AB182" s="5">
        <f>1713.75+240</f>
        <v>1953.75</v>
      </c>
      <c r="AC182" s="6">
        <f>90.44+15</f>
        <v>105.44</v>
      </c>
      <c r="AD182" s="6">
        <f>19.91+10.5</f>
        <v>30.41</v>
      </c>
      <c r="AE182" s="6">
        <f>109.65+18</f>
        <v>127.65</v>
      </c>
      <c r="AF182" s="6">
        <f>140.55+3</f>
        <v>143.55000000000001</v>
      </c>
      <c r="AG182" s="6">
        <f>28.43+0</f>
        <v>28.43</v>
      </c>
      <c r="AH182" s="6">
        <f>1075.52+570</f>
        <v>1645.52</v>
      </c>
      <c r="AI182" s="6">
        <f t="shared" si="218"/>
        <v>5.3968010236724248E-2</v>
      </c>
      <c r="AJ182" s="6">
        <f t="shared" si="219"/>
        <v>1.5564939219449776E-2</v>
      </c>
      <c r="AK182" s="6">
        <f t="shared" si="220"/>
        <v>6.5335892514395394E-2</v>
      </c>
      <c r="AL182" s="6">
        <f t="shared" si="221"/>
        <v>7.3474088291746648E-2</v>
      </c>
      <c r="AM182" s="6">
        <f t="shared" si="222"/>
        <v>1.455150351887396E-2</v>
      </c>
      <c r="AN182" s="6">
        <f t="shared" si="223"/>
        <v>0.84223672424824059</v>
      </c>
      <c r="AO182" s="7">
        <v>4</v>
      </c>
      <c r="AP182" s="7">
        <v>0</v>
      </c>
      <c r="AQ182" s="7">
        <v>1</v>
      </c>
      <c r="AR182" s="10">
        <v>0</v>
      </c>
      <c r="AS182" s="7">
        <v>0</v>
      </c>
      <c r="AT182" s="7">
        <v>0</v>
      </c>
      <c r="AU182" s="7">
        <v>0</v>
      </c>
      <c r="AV182" s="7">
        <v>0</v>
      </c>
      <c r="AW182" s="7">
        <v>0</v>
      </c>
      <c r="AX182" s="7">
        <v>1</v>
      </c>
      <c r="AY182" s="5">
        <v>6</v>
      </c>
      <c r="AZ182" s="7">
        <v>1</v>
      </c>
      <c r="BA182" s="7">
        <v>0</v>
      </c>
      <c r="BB182" s="7">
        <v>0</v>
      </c>
      <c r="BC182" s="7">
        <v>1</v>
      </c>
      <c r="BD182" s="7">
        <v>1</v>
      </c>
      <c r="BE182" s="7">
        <v>0</v>
      </c>
      <c r="BF182" s="7">
        <v>0</v>
      </c>
      <c r="BG182" s="7">
        <v>0</v>
      </c>
      <c r="BH182" s="7">
        <v>0</v>
      </c>
      <c r="BI182" s="7">
        <v>0</v>
      </c>
      <c r="BJ182" s="7">
        <v>1</v>
      </c>
      <c r="BK182" s="11">
        <v>1</v>
      </c>
      <c r="BL182" s="3" t="s">
        <v>976</v>
      </c>
      <c r="BM182" s="3">
        <v>0</v>
      </c>
    </row>
    <row r="183" spans="1:65" ht="19.95" customHeight="1" x14ac:dyDescent="0.3">
      <c r="A183" s="3" t="s">
        <v>18</v>
      </c>
      <c r="B183" s="3">
        <v>3</v>
      </c>
      <c r="C183" s="8">
        <v>44392</v>
      </c>
      <c r="D183" s="9">
        <v>0.3298611111111111</v>
      </c>
      <c r="E183" s="4">
        <v>70</v>
      </c>
      <c r="F183" s="3">
        <v>0</v>
      </c>
      <c r="G183" s="3">
        <v>0</v>
      </c>
      <c r="H183" s="3">
        <v>0</v>
      </c>
      <c r="I183" s="3">
        <v>0</v>
      </c>
      <c r="J183" s="9">
        <v>0.33055555555555555</v>
      </c>
      <c r="K183" s="3">
        <v>141.6</v>
      </c>
      <c r="L183" s="11">
        <f t="shared" ref="L183" si="328">K183-K182</f>
        <v>-3.4000000000000057</v>
      </c>
      <c r="M183" s="5">
        <f t="shared" ref="M183" si="329">AB182</f>
        <v>1953.75</v>
      </c>
      <c r="N183" s="11">
        <v>31.375</v>
      </c>
      <c r="O183" s="11">
        <v>32.625</v>
      </c>
      <c r="P183" s="11">
        <v>10.875</v>
      </c>
      <c r="Q183" s="11">
        <v>11</v>
      </c>
      <c r="R183" s="11">
        <v>20</v>
      </c>
      <c r="S183" s="11">
        <v>20</v>
      </c>
      <c r="T183" s="11">
        <v>15</v>
      </c>
      <c r="U183" s="11">
        <v>15</v>
      </c>
      <c r="V183" s="11">
        <v>18</v>
      </c>
      <c r="W183" s="11">
        <v>16</v>
      </c>
      <c r="X183" s="11">
        <v>7</v>
      </c>
      <c r="Y183" s="11">
        <v>7</v>
      </c>
      <c r="Z183" s="3" t="s">
        <v>960</v>
      </c>
      <c r="AA183" s="10" t="s">
        <v>959</v>
      </c>
      <c r="AB183" s="5">
        <f>571.25+80+210+31+473.67</f>
        <v>1365.92</v>
      </c>
      <c r="AC183" s="6">
        <f>30.15+5+11+0.34+28.7</f>
        <v>75.19</v>
      </c>
      <c r="AD183" s="6">
        <f>6.64+3.5+9+0.04+7.51</f>
        <v>26.689999999999998</v>
      </c>
      <c r="AE183" s="6">
        <f>36.55+6+20+3+29.53</f>
        <v>95.08</v>
      </c>
      <c r="AF183" s="6">
        <f>46.85+1+7+6+26.37</f>
        <v>87.22</v>
      </c>
      <c r="AG183" s="6">
        <f>9.48+0+1+2+6.13</f>
        <v>18.61</v>
      </c>
      <c r="AH183" s="6">
        <f>358.51+190+450+30.03+478.01</f>
        <v>1506.55</v>
      </c>
      <c r="AI183" s="6">
        <f t="shared" si="218"/>
        <v>5.5047147709968366E-2</v>
      </c>
      <c r="AJ183" s="6">
        <f t="shared" si="219"/>
        <v>1.9539943774159539E-2</v>
      </c>
      <c r="AK183" s="6">
        <f t="shared" si="220"/>
        <v>6.9608761860138216E-2</v>
      </c>
      <c r="AL183" s="6">
        <f t="shared" si="221"/>
        <v>6.3854398500644255E-2</v>
      </c>
      <c r="AM183" s="6">
        <f t="shared" si="222"/>
        <v>1.3624516809183553E-2</v>
      </c>
      <c r="AN183" s="6">
        <f t="shared" si="223"/>
        <v>1.1029562492678926</v>
      </c>
      <c r="AO183" s="7">
        <v>4</v>
      </c>
      <c r="AP183" s="7">
        <v>1</v>
      </c>
      <c r="AQ183" s="7">
        <v>1</v>
      </c>
      <c r="AR183" s="10">
        <v>0</v>
      </c>
      <c r="AS183" s="7">
        <v>0</v>
      </c>
      <c r="AT183" s="7">
        <v>0</v>
      </c>
      <c r="AU183" s="7">
        <v>0</v>
      </c>
      <c r="AV183" s="7">
        <v>0</v>
      </c>
      <c r="AW183" s="7">
        <v>31</v>
      </c>
      <c r="AX183" s="7">
        <v>1</v>
      </c>
      <c r="AY183" s="5">
        <v>7</v>
      </c>
      <c r="AZ183" s="7">
        <v>1</v>
      </c>
      <c r="BA183" s="7">
        <v>0</v>
      </c>
      <c r="BB183" s="7">
        <v>0</v>
      </c>
      <c r="BC183" s="7">
        <v>1</v>
      </c>
      <c r="BD183" s="7">
        <v>1</v>
      </c>
      <c r="BE183" s="7">
        <v>0</v>
      </c>
      <c r="BF183" s="7">
        <v>0</v>
      </c>
      <c r="BG183" s="7">
        <v>0</v>
      </c>
      <c r="BH183" s="7">
        <v>0</v>
      </c>
      <c r="BI183" s="7">
        <v>0</v>
      </c>
      <c r="BJ183" s="7">
        <v>1</v>
      </c>
      <c r="BK183" s="11">
        <v>2</v>
      </c>
      <c r="BL183" s="3" t="s">
        <v>976</v>
      </c>
      <c r="BM183" s="3">
        <v>0</v>
      </c>
    </row>
    <row r="184" spans="1:65" ht="19.95" customHeight="1" x14ac:dyDescent="0.3">
      <c r="A184" s="3" t="s">
        <v>137</v>
      </c>
      <c r="B184" s="3">
        <v>4</v>
      </c>
      <c r="C184" s="8">
        <v>44393</v>
      </c>
      <c r="D184" s="9">
        <v>0.27777777777777779</v>
      </c>
      <c r="E184" s="4">
        <v>66</v>
      </c>
      <c r="F184" s="3">
        <v>0</v>
      </c>
      <c r="G184" s="3">
        <v>0</v>
      </c>
      <c r="H184" s="3">
        <v>0</v>
      </c>
      <c r="I184" s="3">
        <v>0</v>
      </c>
      <c r="J184" s="9">
        <v>0.28125</v>
      </c>
      <c r="K184" s="3">
        <v>141</v>
      </c>
      <c r="L184" s="11">
        <f t="shared" ref="L184" si="330">K184-K183</f>
        <v>-0.59999999999999432</v>
      </c>
      <c r="M184" s="5">
        <f t="shared" ref="M184" si="331">AB183</f>
        <v>1365.92</v>
      </c>
      <c r="N184" s="11">
        <v>30.125</v>
      </c>
      <c r="O184" s="11">
        <v>32.375</v>
      </c>
      <c r="P184" s="11">
        <v>10.625</v>
      </c>
      <c r="Q184" s="11">
        <v>10.625</v>
      </c>
      <c r="R184" s="11">
        <v>19.875</v>
      </c>
      <c r="S184" s="11">
        <v>19.75</v>
      </c>
      <c r="T184" s="11">
        <v>16</v>
      </c>
      <c r="U184" s="11">
        <v>15</v>
      </c>
      <c r="V184" s="11">
        <v>17</v>
      </c>
      <c r="W184" s="11">
        <v>17</v>
      </c>
      <c r="X184" s="11">
        <v>7</v>
      </c>
      <c r="Y184" s="11">
        <v>7</v>
      </c>
      <c r="Z184" s="3" t="s">
        <v>961</v>
      </c>
      <c r="AA184" s="10" t="s">
        <v>962</v>
      </c>
      <c r="AB184" s="5">
        <f>947.33</f>
        <v>947.33</v>
      </c>
      <c r="AC184" s="6">
        <f>57.43</f>
        <v>57.43</v>
      </c>
      <c r="AD184" s="6">
        <f>15.03</f>
        <v>15.03</v>
      </c>
      <c r="AE184" s="6">
        <f>59.07</f>
        <v>59.07</v>
      </c>
      <c r="AF184" s="6">
        <f>52.73</f>
        <v>52.73</v>
      </c>
      <c r="AG184" s="6">
        <f>12.27</f>
        <v>12.27</v>
      </c>
      <c r="AH184" s="6">
        <f>956.02</f>
        <v>956.02</v>
      </c>
      <c r="AI184" s="6">
        <f t="shared" si="218"/>
        <v>6.0623014155574084E-2</v>
      </c>
      <c r="AJ184" s="6">
        <f t="shared" si="219"/>
        <v>1.5865643439983954E-2</v>
      </c>
      <c r="AK184" s="6">
        <f t="shared" si="220"/>
        <v>6.23541954757054E-2</v>
      </c>
      <c r="AL184" s="6">
        <f t="shared" si="221"/>
        <v>5.5661701835685549E-2</v>
      </c>
      <c r="AM184" s="6">
        <f t="shared" si="222"/>
        <v>1.295219195000686E-2</v>
      </c>
      <c r="AN184" s="6">
        <f t="shared" si="223"/>
        <v>1.0091731497999641</v>
      </c>
      <c r="AO184" s="7">
        <v>4</v>
      </c>
      <c r="AP184" s="7">
        <v>0</v>
      </c>
      <c r="AQ184" s="7">
        <v>1</v>
      </c>
      <c r="AR184" s="10">
        <v>0</v>
      </c>
      <c r="AS184" s="7">
        <v>0</v>
      </c>
      <c r="AT184" s="7">
        <v>0</v>
      </c>
      <c r="AU184" s="7">
        <v>0</v>
      </c>
      <c r="AV184" s="7">
        <v>0</v>
      </c>
      <c r="AW184" s="7">
        <v>31</v>
      </c>
      <c r="AX184" s="7">
        <v>1</v>
      </c>
      <c r="AY184" s="5">
        <v>5</v>
      </c>
      <c r="AZ184" s="7">
        <v>1</v>
      </c>
      <c r="BA184" s="7">
        <v>1</v>
      </c>
      <c r="BB184" s="7">
        <v>0</v>
      </c>
      <c r="BC184" s="7">
        <v>1</v>
      </c>
      <c r="BD184" s="7">
        <v>1</v>
      </c>
      <c r="BE184" s="7">
        <v>0</v>
      </c>
      <c r="BF184" s="7">
        <v>0</v>
      </c>
      <c r="BG184" s="7">
        <v>0</v>
      </c>
      <c r="BH184" s="7">
        <v>0</v>
      </c>
      <c r="BI184" s="7">
        <v>0</v>
      </c>
      <c r="BJ184" s="7">
        <v>1</v>
      </c>
      <c r="BK184" s="11">
        <v>0</v>
      </c>
      <c r="BL184" s="7">
        <v>0</v>
      </c>
      <c r="BM184" s="3">
        <v>0</v>
      </c>
    </row>
    <row r="185" spans="1:65" ht="19.95" customHeight="1" x14ac:dyDescent="0.3">
      <c r="A185" s="3" t="s">
        <v>19</v>
      </c>
      <c r="B185" s="3">
        <v>5</v>
      </c>
      <c r="C185" s="8">
        <v>44394</v>
      </c>
      <c r="D185" s="9">
        <v>0.29166666666666669</v>
      </c>
      <c r="E185" s="4">
        <v>66</v>
      </c>
      <c r="F185" s="3">
        <v>0</v>
      </c>
      <c r="G185" s="3">
        <v>0</v>
      </c>
      <c r="H185" s="3">
        <v>0</v>
      </c>
      <c r="I185" s="3">
        <v>0</v>
      </c>
      <c r="J185" s="9">
        <v>0.28611111111111115</v>
      </c>
      <c r="K185" s="3">
        <v>140.6</v>
      </c>
      <c r="L185" s="11">
        <f t="shared" ref="L185" si="332">K185-K184</f>
        <v>-0.40000000000000568</v>
      </c>
      <c r="M185" s="5">
        <f t="shared" ref="M185" si="333">AB184</f>
        <v>947.33</v>
      </c>
      <c r="N185" s="11">
        <v>30</v>
      </c>
      <c r="O185" s="11">
        <v>32</v>
      </c>
      <c r="P185" s="11">
        <v>10.875</v>
      </c>
      <c r="Q185" s="11">
        <v>10.75</v>
      </c>
      <c r="R185" s="11">
        <v>20</v>
      </c>
      <c r="S185" s="11">
        <v>20</v>
      </c>
      <c r="T185" s="11">
        <v>16</v>
      </c>
      <c r="U185" s="11">
        <v>15</v>
      </c>
      <c r="V185" s="11">
        <v>15</v>
      </c>
      <c r="W185" s="11">
        <v>16</v>
      </c>
      <c r="X185" s="11">
        <v>7</v>
      </c>
      <c r="Y185" s="11">
        <v>7</v>
      </c>
      <c r="Z185" s="3" t="s">
        <v>993</v>
      </c>
      <c r="AA185" s="10" t="s">
        <v>992</v>
      </c>
      <c r="AB185" s="5">
        <f>300+240+969+20</f>
        <v>1529</v>
      </c>
      <c r="AC185" s="6">
        <f>3+15+46.23+1.5</f>
        <v>65.72999999999999</v>
      </c>
      <c r="AD185" s="6">
        <f>0+10.5+8.83+0</f>
        <v>19.329999999999998</v>
      </c>
      <c r="AE185" s="6">
        <f>6+18+32.88+0.5</f>
        <v>57.38</v>
      </c>
      <c r="AF185" s="6">
        <f>63+3+104.95+1</f>
        <v>171.95</v>
      </c>
      <c r="AG185" s="6">
        <f>6+0+8.13+0.5</f>
        <v>14.63</v>
      </c>
      <c r="AH185" s="6">
        <f>60+570+969.5+90</f>
        <v>1689.5</v>
      </c>
      <c r="AI185" s="6">
        <f t="shared" si="218"/>
        <v>4.2988881621975138E-2</v>
      </c>
      <c r="AJ185" s="6">
        <f t="shared" si="219"/>
        <v>1.2642249836494439E-2</v>
      </c>
      <c r="AK185" s="6">
        <f t="shared" si="220"/>
        <v>3.7527795945062135E-2</v>
      </c>
      <c r="AL185" s="6">
        <f t="shared" si="221"/>
        <v>0.11245912361020274</v>
      </c>
      <c r="AM185" s="6">
        <f t="shared" si="222"/>
        <v>9.5683453237410069E-3</v>
      </c>
      <c r="AN185" s="6">
        <f t="shared" si="223"/>
        <v>1.1049705689993459</v>
      </c>
      <c r="AO185" s="7">
        <v>4</v>
      </c>
      <c r="AP185" s="7">
        <v>1</v>
      </c>
      <c r="AQ185" s="7">
        <v>1</v>
      </c>
      <c r="AR185" s="10">
        <v>0</v>
      </c>
      <c r="AS185" s="7">
        <v>0</v>
      </c>
      <c r="AT185" s="7">
        <v>0</v>
      </c>
      <c r="AU185" s="7">
        <v>0</v>
      </c>
      <c r="AV185" s="7">
        <v>0</v>
      </c>
      <c r="AW185" s="7">
        <v>30</v>
      </c>
      <c r="AX185" s="7">
        <v>1</v>
      </c>
      <c r="AY185" s="5">
        <v>3.5</v>
      </c>
      <c r="AZ185" s="7">
        <v>1</v>
      </c>
      <c r="BA185" s="7">
        <v>0</v>
      </c>
      <c r="BB185" s="7">
        <v>0</v>
      </c>
      <c r="BC185" s="7">
        <v>1</v>
      </c>
      <c r="BD185" s="7">
        <v>1</v>
      </c>
      <c r="BE185" s="7">
        <v>0</v>
      </c>
      <c r="BF185" s="7">
        <v>0</v>
      </c>
      <c r="BG185" s="7">
        <v>0</v>
      </c>
      <c r="BH185" s="7">
        <v>0</v>
      </c>
      <c r="BI185" s="7">
        <v>0</v>
      </c>
      <c r="BJ185" s="7">
        <v>1</v>
      </c>
      <c r="BK185" s="11">
        <v>1</v>
      </c>
      <c r="BL185" s="3" t="s">
        <v>976</v>
      </c>
      <c r="BM185" s="3">
        <v>0</v>
      </c>
    </row>
    <row r="186" spans="1:65" ht="19.95" customHeight="1" x14ac:dyDescent="0.3">
      <c r="A186" s="3" t="s">
        <v>23</v>
      </c>
      <c r="B186" s="3">
        <v>6</v>
      </c>
      <c r="C186" s="8">
        <v>44395</v>
      </c>
      <c r="D186" s="9">
        <v>0.27430555555555552</v>
      </c>
      <c r="E186" s="4">
        <v>72</v>
      </c>
      <c r="F186" s="3">
        <v>0</v>
      </c>
      <c r="G186" s="3">
        <v>0</v>
      </c>
      <c r="H186" s="3">
        <v>0</v>
      </c>
      <c r="I186" s="3">
        <v>0</v>
      </c>
      <c r="J186" s="9">
        <v>0.3</v>
      </c>
      <c r="K186" s="3">
        <v>140.80000000000001</v>
      </c>
      <c r="L186" s="11">
        <f t="shared" ref="L186" si="334">K186-K185</f>
        <v>0.20000000000001705</v>
      </c>
      <c r="M186" s="5">
        <f t="shared" ref="M186" si="335">AB185</f>
        <v>1529</v>
      </c>
      <c r="N186" s="11">
        <v>30.375</v>
      </c>
      <c r="O186" s="11">
        <v>32.125</v>
      </c>
      <c r="P186" s="11">
        <v>10.625</v>
      </c>
      <c r="Q186" s="11">
        <v>10.625</v>
      </c>
      <c r="R186" s="11">
        <v>19.75</v>
      </c>
      <c r="S186" s="11">
        <v>19.875</v>
      </c>
      <c r="T186" s="11">
        <v>17</v>
      </c>
      <c r="U186" s="11">
        <v>15</v>
      </c>
      <c r="V186" s="11">
        <v>17</v>
      </c>
      <c r="W186" s="11">
        <v>17</v>
      </c>
      <c r="X186" s="11">
        <v>7</v>
      </c>
      <c r="Y186" s="11">
        <v>7</v>
      </c>
      <c r="Z186" s="3" t="s">
        <v>1000</v>
      </c>
      <c r="AA186" s="10" t="s">
        <v>999</v>
      </c>
      <c r="AB186" s="5">
        <f>100+120+75+397.33+401+260+336+106.67+159.33</f>
        <v>1955.33</v>
      </c>
      <c r="AC186" s="6">
        <f>0+14+1.5+0+14.63+17+8+6.67+9</f>
        <v>70.800000000000011</v>
      </c>
      <c r="AD186" s="6">
        <f>0+2+0+0+9.23+11+2+4.67+6</f>
        <v>34.9</v>
      </c>
      <c r="AE186" s="6">
        <f>25+0+3+0+16.13+2+8+8+2</f>
        <v>64.13</v>
      </c>
      <c r="AF186" s="6">
        <f>0+0+10.5+98.33+47.2+26+54+1.33+20</f>
        <v>257.36</v>
      </c>
      <c r="AG186" s="6">
        <f>0+0+3+0+2.53+1+2+0+2</f>
        <v>10.53</v>
      </c>
      <c r="AH186" s="6">
        <f>150+0+390+53.33+314.67+200+602+253.33+40</f>
        <v>2003.33</v>
      </c>
      <c r="AI186" s="6">
        <f t="shared" si="218"/>
        <v>3.6208721801435056E-2</v>
      </c>
      <c r="AJ186" s="6">
        <f t="shared" si="219"/>
        <v>1.78486495885605E-2</v>
      </c>
      <c r="AK186" s="6">
        <f t="shared" si="220"/>
        <v>3.2797532897260305E-2</v>
      </c>
      <c r="AL186" s="6">
        <f t="shared" si="221"/>
        <v>0.13161972659346505</v>
      </c>
      <c r="AM186" s="6">
        <f t="shared" si="222"/>
        <v>5.3852802340269923E-3</v>
      </c>
      <c r="AN186" s="6">
        <f t="shared" si="223"/>
        <v>1.0245482859670747</v>
      </c>
      <c r="AO186" s="7">
        <v>5</v>
      </c>
      <c r="AP186" s="7">
        <v>2</v>
      </c>
      <c r="AQ186" s="7">
        <v>0</v>
      </c>
      <c r="AR186" s="10">
        <v>0</v>
      </c>
      <c r="AS186" s="7">
        <v>0</v>
      </c>
      <c r="AT186" s="7">
        <v>0</v>
      </c>
      <c r="AU186" s="7">
        <v>0</v>
      </c>
      <c r="AV186" s="7">
        <v>0</v>
      </c>
      <c r="AW186" s="7">
        <v>31</v>
      </c>
      <c r="AX186" s="7">
        <v>1</v>
      </c>
      <c r="AY186" s="5">
        <v>7.5</v>
      </c>
      <c r="AZ186" s="7">
        <v>0</v>
      </c>
      <c r="BA186" s="7">
        <v>0</v>
      </c>
      <c r="BB186" s="7">
        <v>0</v>
      </c>
      <c r="BC186" s="7">
        <v>1</v>
      </c>
      <c r="BD186" s="7">
        <v>1</v>
      </c>
      <c r="BE186" s="7">
        <v>0</v>
      </c>
      <c r="BF186" s="7">
        <v>0</v>
      </c>
      <c r="BG186" s="7">
        <v>0</v>
      </c>
      <c r="BH186" s="7">
        <v>0</v>
      </c>
      <c r="BI186" s="7">
        <v>0</v>
      </c>
      <c r="BJ186" s="7">
        <v>1</v>
      </c>
      <c r="BK186" s="11">
        <v>1</v>
      </c>
      <c r="BL186" s="3" t="s">
        <v>976</v>
      </c>
      <c r="BM186" s="3">
        <v>0</v>
      </c>
    </row>
    <row r="187" spans="1:65" ht="19.95" customHeight="1" x14ac:dyDescent="0.3">
      <c r="A187" s="3" t="s">
        <v>15</v>
      </c>
      <c r="B187" s="3">
        <v>7</v>
      </c>
      <c r="C187" s="8">
        <v>44396</v>
      </c>
      <c r="D187" s="9">
        <v>0.37777777777777777</v>
      </c>
      <c r="E187" s="4">
        <v>77</v>
      </c>
      <c r="F187" s="3">
        <v>0</v>
      </c>
      <c r="G187" s="3">
        <v>0</v>
      </c>
      <c r="H187" s="3">
        <v>0</v>
      </c>
      <c r="I187" s="3">
        <v>0</v>
      </c>
      <c r="J187" s="9">
        <v>0.3840277777777778</v>
      </c>
      <c r="K187" s="3">
        <v>140</v>
      </c>
      <c r="L187" s="11">
        <f t="shared" ref="L187" si="336">K187-K186</f>
        <v>-0.80000000000001137</v>
      </c>
      <c r="M187" s="5">
        <f t="shared" ref="M187" si="337">AB186</f>
        <v>1955.33</v>
      </c>
      <c r="N187" s="11">
        <v>30.5</v>
      </c>
      <c r="O187" s="11">
        <v>32.25</v>
      </c>
      <c r="P187" s="11">
        <v>10.625</v>
      </c>
      <c r="Q187" s="11">
        <v>10.625</v>
      </c>
      <c r="R187" s="11">
        <v>19.625</v>
      </c>
      <c r="S187" s="11">
        <v>19.75</v>
      </c>
      <c r="T187" s="11">
        <v>17</v>
      </c>
      <c r="U187" s="11">
        <v>17</v>
      </c>
      <c r="V187" s="11">
        <v>17</v>
      </c>
      <c r="W187" s="11">
        <v>15</v>
      </c>
      <c r="X187" s="11">
        <v>7</v>
      </c>
      <c r="Y187" s="11">
        <v>7</v>
      </c>
      <c r="Z187" s="3" t="s">
        <v>1003</v>
      </c>
      <c r="AA187" s="10" t="s">
        <v>1002</v>
      </c>
      <c r="AB187" s="5">
        <f>601.5+180</f>
        <v>781.5</v>
      </c>
      <c r="AC187" s="6">
        <f>21.95+0</f>
        <v>21.95</v>
      </c>
      <c r="AD187" s="6">
        <f>13.85+0</f>
        <v>13.85</v>
      </c>
      <c r="AE187" s="6">
        <f>24.2+0</f>
        <v>24.2</v>
      </c>
      <c r="AF187" s="6">
        <f>70.8+44</f>
        <v>114.8</v>
      </c>
      <c r="AG187" s="6">
        <f>3.8+4</f>
        <v>7.8</v>
      </c>
      <c r="AH187" s="6">
        <f>472+0</f>
        <v>472</v>
      </c>
      <c r="AI187" s="6">
        <f t="shared" si="218"/>
        <v>2.8087012156110043E-2</v>
      </c>
      <c r="AJ187" s="6">
        <f t="shared" si="219"/>
        <v>1.7722328854766475E-2</v>
      </c>
      <c r="AK187" s="6">
        <f t="shared" si="220"/>
        <v>3.0966090850927701E-2</v>
      </c>
      <c r="AL187" s="6">
        <f t="shared" si="221"/>
        <v>0.14689699296225209</v>
      </c>
      <c r="AM187" s="6">
        <f t="shared" si="222"/>
        <v>9.9808061420345491E-3</v>
      </c>
      <c r="AN187" s="6">
        <f t="shared" si="223"/>
        <v>0.60396673064619322</v>
      </c>
      <c r="AO187" s="7">
        <v>3</v>
      </c>
      <c r="AP187" s="7">
        <v>1</v>
      </c>
      <c r="AQ187" s="7">
        <v>0</v>
      </c>
      <c r="AR187" s="10">
        <v>0</v>
      </c>
      <c r="AS187" s="7">
        <v>0</v>
      </c>
      <c r="AT187" s="7">
        <v>0</v>
      </c>
      <c r="AU187" s="7">
        <v>0</v>
      </c>
      <c r="AV187" s="7">
        <v>0</v>
      </c>
      <c r="AW187" s="7">
        <v>30</v>
      </c>
      <c r="AX187" s="7">
        <v>1</v>
      </c>
      <c r="AY187" s="5">
        <f>7+3</f>
        <v>10</v>
      </c>
      <c r="AZ187" s="7">
        <v>0</v>
      </c>
      <c r="BA187" s="7">
        <v>1</v>
      </c>
      <c r="BB187" s="7">
        <v>0</v>
      </c>
      <c r="BC187" s="7">
        <v>1</v>
      </c>
      <c r="BD187" s="7">
        <v>1</v>
      </c>
      <c r="BE187" s="7">
        <v>0</v>
      </c>
      <c r="BF187" s="7">
        <v>2</v>
      </c>
      <c r="BG187" s="3">
        <f>15+160</f>
        <v>175</v>
      </c>
      <c r="BH187" s="7">
        <v>0</v>
      </c>
      <c r="BI187" s="7">
        <v>1</v>
      </c>
      <c r="BJ187" s="7">
        <v>1</v>
      </c>
      <c r="BK187" s="11">
        <v>0</v>
      </c>
      <c r="BL187" s="3">
        <v>0</v>
      </c>
      <c r="BM187" s="3">
        <v>0</v>
      </c>
    </row>
    <row r="188" spans="1:65" ht="19.95" customHeight="1" x14ac:dyDescent="0.3">
      <c r="A188" s="3" t="s">
        <v>16</v>
      </c>
      <c r="B188" s="3">
        <v>8</v>
      </c>
      <c r="C188" s="8">
        <v>44397</v>
      </c>
      <c r="D188" s="9">
        <v>0.32222222222222224</v>
      </c>
      <c r="E188" s="4">
        <v>73</v>
      </c>
      <c r="F188" s="3">
        <v>0</v>
      </c>
      <c r="G188" s="3">
        <v>0</v>
      </c>
      <c r="H188" s="3">
        <v>0</v>
      </c>
      <c r="I188" s="3">
        <v>0</v>
      </c>
      <c r="J188" s="9">
        <v>0.31666666666666665</v>
      </c>
      <c r="K188" s="3">
        <v>139.6</v>
      </c>
      <c r="L188" s="11">
        <f t="shared" ref="L188" si="338">K188-K187</f>
        <v>-0.40000000000000568</v>
      </c>
      <c r="M188" s="5">
        <f t="shared" ref="M188" si="339">AB187</f>
        <v>781.5</v>
      </c>
      <c r="N188" s="11">
        <v>30.375</v>
      </c>
      <c r="O188" s="11">
        <v>32</v>
      </c>
      <c r="P188" s="11">
        <v>10.875</v>
      </c>
      <c r="Q188" s="11">
        <v>10.625</v>
      </c>
      <c r="R188" s="11">
        <v>19.625</v>
      </c>
      <c r="S188" s="11">
        <v>20.125</v>
      </c>
      <c r="T188" s="11">
        <v>17</v>
      </c>
      <c r="U188" s="11">
        <v>15</v>
      </c>
      <c r="V188" s="11">
        <v>17</v>
      </c>
      <c r="W188" s="11">
        <v>15</v>
      </c>
      <c r="X188" s="11">
        <v>7</v>
      </c>
      <c r="Y188" s="11">
        <v>7</v>
      </c>
      <c r="Z188" s="3" t="s">
        <v>1004</v>
      </c>
      <c r="AA188" s="10" t="s">
        <v>1006</v>
      </c>
      <c r="AB188" s="5">
        <f>210+280+160+90+10+496</f>
        <v>1246</v>
      </c>
      <c r="AC188" s="6">
        <f>11+4+10+0+0.75+31</f>
        <v>56.75</v>
      </c>
      <c r="AD188" s="6">
        <f>9+0+7+0+0+9.95</f>
        <v>25.95</v>
      </c>
      <c r="AE188" s="6">
        <f>20+12+12+0+0.25+12.85</f>
        <v>57.1</v>
      </c>
      <c r="AF188" s="6">
        <f>7+52+2+22+0.5+42.45</f>
        <v>125.95</v>
      </c>
      <c r="AG188" s="6">
        <f>1+8+0+2+0.25+3.4</f>
        <v>14.65</v>
      </c>
      <c r="AH188" s="6">
        <f>450+420+380+0+45+287</f>
        <v>1582</v>
      </c>
      <c r="AI188" s="6">
        <f t="shared" si="218"/>
        <v>4.5545746388443019E-2</v>
      </c>
      <c r="AJ188" s="6">
        <f t="shared" si="219"/>
        <v>2.082664526484751E-2</v>
      </c>
      <c r="AK188" s="6">
        <f t="shared" si="220"/>
        <v>4.5826645264847511E-2</v>
      </c>
      <c r="AL188" s="6">
        <f t="shared" si="221"/>
        <v>0.10108346709470305</v>
      </c>
      <c r="AM188" s="6">
        <f t="shared" si="222"/>
        <v>1.1757624398073837E-2</v>
      </c>
      <c r="AN188" s="6">
        <f t="shared" si="223"/>
        <v>1.2696629213483146</v>
      </c>
      <c r="AO188" s="7">
        <v>4</v>
      </c>
      <c r="AP188" s="7">
        <v>0</v>
      </c>
      <c r="AQ188" s="7">
        <v>0</v>
      </c>
      <c r="AR188" s="10">
        <v>0</v>
      </c>
      <c r="AS188" s="7">
        <v>0</v>
      </c>
      <c r="AT188" s="7">
        <v>0</v>
      </c>
      <c r="AU188" s="7">
        <v>0</v>
      </c>
      <c r="AV188" s="7">
        <v>0</v>
      </c>
      <c r="AW188" s="7">
        <v>31</v>
      </c>
      <c r="AX188" s="7">
        <v>1</v>
      </c>
      <c r="AY188" s="5">
        <v>8</v>
      </c>
      <c r="AZ188" s="7">
        <v>0</v>
      </c>
      <c r="BA188" s="7">
        <v>0</v>
      </c>
      <c r="BB188" s="7">
        <v>0</v>
      </c>
      <c r="BC188" s="7">
        <v>1</v>
      </c>
      <c r="BD188" s="7">
        <v>1</v>
      </c>
      <c r="BE188" s="7">
        <v>0</v>
      </c>
      <c r="BF188" s="7">
        <v>0</v>
      </c>
      <c r="BG188" s="7">
        <v>0</v>
      </c>
      <c r="BH188" s="7">
        <v>0</v>
      </c>
      <c r="BI188" s="7">
        <v>0</v>
      </c>
      <c r="BJ188" s="7">
        <v>1</v>
      </c>
      <c r="BK188" s="11">
        <v>0.75</v>
      </c>
      <c r="BL188" s="3" t="s">
        <v>976</v>
      </c>
      <c r="BM188" s="3">
        <v>0</v>
      </c>
    </row>
    <row r="189" spans="1:65" ht="19.95" customHeight="1" x14ac:dyDescent="0.3">
      <c r="A189" s="3" t="s">
        <v>17</v>
      </c>
      <c r="B189" s="3">
        <v>9</v>
      </c>
      <c r="C189" s="8">
        <v>44398</v>
      </c>
      <c r="D189" s="9">
        <v>0.31388888888888888</v>
      </c>
      <c r="E189" s="4">
        <v>76</v>
      </c>
      <c r="F189" s="3">
        <v>0</v>
      </c>
      <c r="G189" s="3">
        <v>0</v>
      </c>
      <c r="H189" s="3">
        <v>0</v>
      </c>
      <c r="I189" s="3">
        <v>0</v>
      </c>
      <c r="J189" s="9">
        <v>0.31111111111111112</v>
      </c>
      <c r="K189" s="3">
        <v>140</v>
      </c>
      <c r="L189" s="11">
        <f t="shared" ref="L189" si="340">K189-K188</f>
        <v>0.40000000000000568</v>
      </c>
      <c r="M189" s="5">
        <f t="shared" ref="M189" si="341">AB188</f>
        <v>1246</v>
      </c>
      <c r="N189" s="11">
        <v>30.5</v>
      </c>
      <c r="O189" s="11">
        <v>32.25</v>
      </c>
      <c r="P189" s="11">
        <v>10.5</v>
      </c>
      <c r="Q189" s="11">
        <v>10.625</v>
      </c>
      <c r="R189" s="11">
        <v>19.625</v>
      </c>
      <c r="S189" s="11">
        <v>19.75</v>
      </c>
      <c r="T189" s="11">
        <v>17</v>
      </c>
      <c r="U189" s="11">
        <v>15</v>
      </c>
      <c r="V189" s="11">
        <v>17</v>
      </c>
      <c r="W189" s="11">
        <v>15</v>
      </c>
      <c r="X189" s="11">
        <v>7</v>
      </c>
      <c r="Y189" s="11">
        <v>7</v>
      </c>
      <c r="Z189" s="3" t="s">
        <v>1007</v>
      </c>
      <c r="AA189" s="10" t="s">
        <v>1008</v>
      </c>
      <c r="AB189" s="5">
        <f>225+420+160+210+150</f>
        <v>1165</v>
      </c>
      <c r="AC189" s="6">
        <f>0+6+10+11+9</f>
        <v>36</v>
      </c>
      <c r="AD189" s="6">
        <f>0+0+7+9+5</f>
        <v>21</v>
      </c>
      <c r="AE189" s="6">
        <f>0+18+12+20+3</f>
        <v>53</v>
      </c>
      <c r="AF189" s="6">
        <f>55+78+2+7+17</f>
        <v>159</v>
      </c>
      <c r="AG189" s="6">
        <f>5+12+0+1+1</f>
        <v>19</v>
      </c>
      <c r="AH189" s="6">
        <f>0+630+380+450+50</f>
        <v>1510</v>
      </c>
      <c r="AI189" s="6">
        <f t="shared" si="218"/>
        <v>3.0901287553648068E-2</v>
      </c>
      <c r="AJ189" s="6">
        <f t="shared" si="219"/>
        <v>1.8025751072961373E-2</v>
      </c>
      <c r="AK189" s="6">
        <f t="shared" si="220"/>
        <v>4.5493562231759654E-2</v>
      </c>
      <c r="AL189" s="6">
        <f t="shared" si="221"/>
        <v>0.13648068669527896</v>
      </c>
      <c r="AM189" s="6">
        <f t="shared" si="222"/>
        <v>1.6309012875536481E-2</v>
      </c>
      <c r="AN189" s="6">
        <f t="shared" si="223"/>
        <v>1.296137339055794</v>
      </c>
      <c r="AO189" s="7">
        <v>5</v>
      </c>
      <c r="AP189" s="7">
        <v>1</v>
      </c>
      <c r="AQ189" s="7">
        <v>0</v>
      </c>
      <c r="AR189" s="10">
        <v>0</v>
      </c>
      <c r="AS189" s="7">
        <v>0</v>
      </c>
      <c r="AT189" s="7">
        <v>0</v>
      </c>
      <c r="AU189" s="7">
        <v>0</v>
      </c>
      <c r="AV189" s="7">
        <v>0</v>
      </c>
      <c r="AW189" s="7">
        <v>0</v>
      </c>
      <c r="AX189" s="7">
        <v>1</v>
      </c>
      <c r="AY189" s="5">
        <v>6</v>
      </c>
      <c r="AZ189" s="7">
        <v>0</v>
      </c>
      <c r="BA189" s="7">
        <v>1</v>
      </c>
      <c r="BB189" s="7">
        <v>0</v>
      </c>
      <c r="BC189" s="7">
        <v>1</v>
      </c>
      <c r="BD189" s="7">
        <v>1</v>
      </c>
      <c r="BE189" s="7">
        <v>0</v>
      </c>
      <c r="BF189" s="7">
        <v>0</v>
      </c>
      <c r="BG189" s="7">
        <v>0</v>
      </c>
      <c r="BH189" s="7">
        <v>0</v>
      </c>
      <c r="BI189" s="7">
        <v>0</v>
      </c>
      <c r="BJ189" s="7">
        <v>1</v>
      </c>
      <c r="BK189" s="11">
        <v>0</v>
      </c>
      <c r="BL189" s="7">
        <v>0</v>
      </c>
      <c r="BM189" s="3">
        <v>0</v>
      </c>
    </row>
    <row r="190" spans="1:65" ht="19.95" customHeight="1" x14ac:dyDescent="0.3">
      <c r="A190" s="3" t="s">
        <v>18</v>
      </c>
      <c r="B190" s="3">
        <v>10</v>
      </c>
      <c r="C190" s="8">
        <v>44399</v>
      </c>
      <c r="D190" s="9">
        <v>0.32222222222222224</v>
      </c>
      <c r="E190" s="4">
        <v>73</v>
      </c>
      <c r="F190" s="3">
        <v>0</v>
      </c>
      <c r="G190" s="3">
        <v>0</v>
      </c>
      <c r="H190" s="3">
        <v>0</v>
      </c>
      <c r="I190" s="3">
        <v>0</v>
      </c>
      <c r="J190" s="9">
        <v>0.32291666666666669</v>
      </c>
      <c r="K190" s="3">
        <v>139.80000000000001</v>
      </c>
      <c r="L190" s="11">
        <f t="shared" ref="L190" si="342">K190-K189</f>
        <v>-0.19999999999998863</v>
      </c>
      <c r="M190" s="5">
        <f t="shared" ref="M190" si="343">AB189</f>
        <v>1165</v>
      </c>
      <c r="N190" s="11">
        <v>30.5</v>
      </c>
      <c r="O190" s="11">
        <v>32.25</v>
      </c>
      <c r="P190" s="11">
        <v>10.75</v>
      </c>
      <c r="Q190" s="11">
        <v>10.625</v>
      </c>
      <c r="R190" s="11">
        <v>19.625</v>
      </c>
      <c r="S190" s="11">
        <v>19.625</v>
      </c>
      <c r="T190" s="11">
        <v>14</v>
      </c>
      <c r="U190" s="11">
        <v>12</v>
      </c>
      <c r="V190" s="11">
        <v>17</v>
      </c>
      <c r="W190" s="11">
        <v>13</v>
      </c>
      <c r="X190" s="11">
        <v>7</v>
      </c>
      <c r="Y190" s="11">
        <v>7</v>
      </c>
      <c r="Z190" s="3" t="s">
        <v>1013</v>
      </c>
      <c r="AA190" s="10" t="s">
        <v>1012</v>
      </c>
      <c r="AB190" s="5">
        <f>720+570+30+240+165+90+120</f>
        <v>1935</v>
      </c>
      <c r="AC190" s="6">
        <f>42+6+0+15+9.75+0+3</f>
        <v>75.75</v>
      </c>
      <c r="AD190" s="6">
        <f>24+1.5+0+10.5+6+0+0</f>
        <v>42</v>
      </c>
      <c r="AE190" s="6">
        <f>57+18+0+18+2.25+0+2</f>
        <v>97.25</v>
      </c>
      <c r="AF190" s="6">
        <f>27+108+8+3+19.5+22+20</f>
        <v>207.5</v>
      </c>
      <c r="AG190" s="6">
        <f>9+3+1+0+0.75+2+1</f>
        <v>16.75</v>
      </c>
      <c r="AH190" s="6">
        <f>1110+1140+150+570+26.25+0+120</f>
        <v>3116.25</v>
      </c>
      <c r="AI190" s="6">
        <f t="shared" si="218"/>
        <v>3.9147286821705429E-2</v>
      </c>
      <c r="AJ190" s="6">
        <f t="shared" si="219"/>
        <v>2.1705426356589147E-2</v>
      </c>
      <c r="AK190" s="6">
        <f t="shared" si="220"/>
        <v>5.0258397932816536E-2</v>
      </c>
      <c r="AL190" s="6">
        <f t="shared" si="221"/>
        <v>0.10723514211886305</v>
      </c>
      <c r="AM190" s="6">
        <f t="shared" si="222"/>
        <v>8.6563307493540045E-3</v>
      </c>
      <c r="AN190" s="6">
        <f t="shared" si="223"/>
        <v>1.6104651162790697</v>
      </c>
      <c r="AO190" s="7">
        <v>4</v>
      </c>
      <c r="AP190" s="7">
        <v>1</v>
      </c>
      <c r="AQ190" s="7">
        <v>0</v>
      </c>
      <c r="AR190" s="10">
        <v>0</v>
      </c>
      <c r="AS190" s="7">
        <v>0</v>
      </c>
      <c r="AT190" s="7">
        <v>0</v>
      </c>
      <c r="AU190" s="7">
        <v>0</v>
      </c>
      <c r="AV190" s="7">
        <v>0</v>
      </c>
      <c r="AW190" s="7">
        <v>31</v>
      </c>
      <c r="AX190" s="7">
        <v>1</v>
      </c>
      <c r="AY190" s="5">
        <v>6.5</v>
      </c>
      <c r="AZ190" s="7">
        <v>0</v>
      </c>
      <c r="BA190" s="7">
        <v>0</v>
      </c>
      <c r="BB190" s="7">
        <v>0</v>
      </c>
      <c r="BC190" s="7">
        <v>1</v>
      </c>
      <c r="BD190" s="7">
        <v>1</v>
      </c>
      <c r="BE190" s="7">
        <v>0</v>
      </c>
      <c r="BF190" s="7">
        <v>0</v>
      </c>
      <c r="BG190" s="7">
        <v>0</v>
      </c>
      <c r="BH190" s="7">
        <v>0</v>
      </c>
      <c r="BI190" s="7">
        <v>0</v>
      </c>
      <c r="BJ190" s="7">
        <v>1</v>
      </c>
      <c r="BK190" s="11">
        <v>2</v>
      </c>
      <c r="BL190" s="3" t="s">
        <v>976</v>
      </c>
      <c r="BM190" s="3">
        <v>0</v>
      </c>
    </row>
    <row r="191" spans="1:65" ht="19.95" customHeight="1" x14ac:dyDescent="0.3">
      <c r="A191" s="3" t="s">
        <v>137</v>
      </c>
      <c r="B191" s="3">
        <v>11</v>
      </c>
      <c r="C191" s="8">
        <v>44400</v>
      </c>
      <c r="D191" s="9">
        <v>0.31666666666666665</v>
      </c>
      <c r="E191" s="4">
        <v>71</v>
      </c>
      <c r="F191" s="3">
        <v>0</v>
      </c>
      <c r="G191" s="3">
        <v>0</v>
      </c>
      <c r="H191" s="3">
        <v>0</v>
      </c>
      <c r="I191" s="3">
        <v>0</v>
      </c>
      <c r="J191" s="9">
        <v>0.31736111111111115</v>
      </c>
      <c r="K191" s="3">
        <v>140.4</v>
      </c>
      <c r="L191" s="11">
        <f t="shared" ref="L191" si="344">K191-K190</f>
        <v>0.59999999999999432</v>
      </c>
      <c r="M191" s="5">
        <f t="shared" ref="M191" si="345">AB190</f>
        <v>1935</v>
      </c>
      <c r="N191" s="11">
        <v>31</v>
      </c>
      <c r="O191" s="11">
        <v>32.625</v>
      </c>
      <c r="P191" s="11">
        <v>10.75</v>
      </c>
      <c r="Q191" s="11">
        <v>10.625</v>
      </c>
      <c r="R191" s="11">
        <v>19.625</v>
      </c>
      <c r="S191" s="11">
        <v>19.75</v>
      </c>
      <c r="T191" s="11">
        <v>15</v>
      </c>
      <c r="U191" s="11">
        <v>14</v>
      </c>
      <c r="V191" s="11">
        <v>17</v>
      </c>
      <c r="W191" s="11">
        <v>17</v>
      </c>
      <c r="X191" s="11">
        <v>7</v>
      </c>
      <c r="Y191" s="11">
        <v>7</v>
      </c>
      <c r="Z191" s="3" t="s">
        <v>1019</v>
      </c>
      <c r="AA191" s="10" t="s">
        <v>1018</v>
      </c>
      <c r="AB191" s="5">
        <f>159.33+190+80+240+50+190+280+677.33+120</f>
        <v>1986.6599999999999</v>
      </c>
      <c r="AC191" s="6">
        <f>9+2+5+14+0+16+4+17.73+3</f>
        <v>70.73</v>
      </c>
      <c r="AD191" s="6">
        <f>6+0.5+3.5+8+0+3.5+0+4.63+0</f>
        <v>26.13</v>
      </c>
      <c r="AE191" s="6">
        <f>2+6+6+19+0+7+12+29.81+2</f>
        <v>83.81</v>
      </c>
      <c r="AF191" s="6">
        <f>20+36+1+9+13+8+52+98.38+20</f>
        <v>257.38</v>
      </c>
      <c r="AG191" s="6">
        <f>2+1+0+3+0+2+8+7.73+1</f>
        <v>24.73</v>
      </c>
      <c r="AH191" s="6">
        <f>40+380+190+370+10+140+420+888.17+120</f>
        <v>2558.17</v>
      </c>
      <c r="AI191" s="6">
        <f t="shared" si="218"/>
        <v>3.5602468464659281E-2</v>
      </c>
      <c r="AJ191" s="6">
        <f t="shared" si="219"/>
        <v>1.3152728700431882E-2</v>
      </c>
      <c r="AK191" s="6">
        <f t="shared" si="220"/>
        <v>4.2186383175782473E-2</v>
      </c>
      <c r="AL191" s="6">
        <f t="shared" si="221"/>
        <v>0.12955412602055713</v>
      </c>
      <c r="AM191" s="6">
        <f t="shared" si="222"/>
        <v>1.2448028349088421E-2</v>
      </c>
      <c r="AN191" s="6">
        <f t="shared" si="223"/>
        <v>1.2876737841402153</v>
      </c>
      <c r="AO191" s="7">
        <v>4</v>
      </c>
      <c r="AP191" s="7">
        <v>1</v>
      </c>
      <c r="AQ191" s="7">
        <v>0</v>
      </c>
      <c r="AR191" s="10">
        <v>0</v>
      </c>
      <c r="AS191" s="7">
        <v>0</v>
      </c>
      <c r="AT191" s="7">
        <v>0</v>
      </c>
      <c r="AU191" s="7">
        <v>0</v>
      </c>
      <c r="AV191" s="7">
        <v>0</v>
      </c>
      <c r="AW191" s="7">
        <v>31</v>
      </c>
      <c r="AX191" s="7">
        <v>1</v>
      </c>
      <c r="AY191" s="5">
        <v>6</v>
      </c>
      <c r="AZ191" s="7">
        <v>0</v>
      </c>
      <c r="BA191" s="7">
        <v>0</v>
      </c>
      <c r="BB191" s="7">
        <v>0</v>
      </c>
      <c r="BC191" s="7">
        <v>1</v>
      </c>
      <c r="BD191" s="7">
        <v>1</v>
      </c>
      <c r="BE191" s="7">
        <v>0</v>
      </c>
      <c r="BF191" s="7">
        <v>0</v>
      </c>
      <c r="BG191" s="7">
        <v>0</v>
      </c>
      <c r="BH191" s="7">
        <v>0</v>
      </c>
      <c r="BI191" s="7">
        <v>0</v>
      </c>
      <c r="BJ191" s="7">
        <v>1</v>
      </c>
      <c r="BK191" s="11">
        <v>2</v>
      </c>
      <c r="BL191" s="7" t="s">
        <v>976</v>
      </c>
      <c r="BM191" s="3">
        <v>0</v>
      </c>
    </row>
    <row r="192" spans="1:65" ht="19.95" customHeight="1" x14ac:dyDescent="0.3">
      <c r="A192" s="3" t="s">
        <v>19</v>
      </c>
      <c r="B192" s="3">
        <v>12</v>
      </c>
      <c r="C192" s="8">
        <v>44401</v>
      </c>
      <c r="D192" s="9">
        <v>0.625</v>
      </c>
      <c r="E192" s="4">
        <v>90</v>
      </c>
      <c r="F192" s="3">
        <v>0</v>
      </c>
      <c r="G192" s="3">
        <v>0</v>
      </c>
      <c r="H192" s="3">
        <v>0</v>
      </c>
      <c r="I192" s="3">
        <v>1</v>
      </c>
      <c r="J192" s="9">
        <v>0.27569444444444446</v>
      </c>
      <c r="K192" s="3">
        <v>141.4</v>
      </c>
      <c r="L192" s="11">
        <f t="shared" ref="L192" si="346">K192-K191</f>
        <v>1</v>
      </c>
      <c r="M192" s="5">
        <f t="shared" ref="M192" si="347">AB191</f>
        <v>1986.6599999999999</v>
      </c>
      <c r="N192" s="11">
        <v>30.75</v>
      </c>
      <c r="O192" s="11">
        <v>32.25</v>
      </c>
      <c r="P192" s="11">
        <v>10.625</v>
      </c>
      <c r="Q192" s="11">
        <v>10.75</v>
      </c>
      <c r="R192" s="11">
        <v>19.75</v>
      </c>
      <c r="S192" s="11">
        <v>20</v>
      </c>
      <c r="T192" s="11">
        <v>15</v>
      </c>
      <c r="U192" s="11">
        <v>13</v>
      </c>
      <c r="V192" s="11">
        <v>17</v>
      </c>
      <c r="W192" s="11">
        <v>15</v>
      </c>
      <c r="X192" s="11">
        <v>7</v>
      </c>
      <c r="Y192" s="11">
        <v>7</v>
      </c>
      <c r="Z192" s="3" t="s">
        <v>1020</v>
      </c>
      <c r="AA192" s="10" t="s">
        <v>1024</v>
      </c>
      <c r="AB192" s="5">
        <f>1617+280+190+80+239+220+103</f>
        <v>2729</v>
      </c>
      <c r="AC192" s="6">
        <f>86.7+4+2+5+13.5+13+0.2</f>
        <v>124.4</v>
      </c>
      <c r="AD192" s="6">
        <f>22.9+0+0.5+3.5+9+8+0.1</f>
        <v>44</v>
      </c>
      <c r="AE192" s="6">
        <f>90.9+12+6+6+3+3+0.7</f>
        <v>121.60000000000001</v>
      </c>
      <c r="AF192" s="6">
        <f>132.7+52+36+1+30+26+27.5</f>
        <v>305.2</v>
      </c>
      <c r="AG192" s="6">
        <f>32.2+8+1+0+3+1+5.5</f>
        <v>50.7</v>
      </c>
      <c r="AH192" s="6">
        <f>1420.4+420+380+190+60+35+2</f>
        <v>2507.4</v>
      </c>
      <c r="AI192" s="6">
        <f t="shared" si="218"/>
        <v>4.5584463173323563E-2</v>
      </c>
      <c r="AJ192" s="6">
        <f t="shared" si="219"/>
        <v>1.6123122022718945E-2</v>
      </c>
      <c r="AK192" s="6">
        <f t="shared" si="220"/>
        <v>4.4558446317332356E-2</v>
      </c>
      <c r="AL192" s="6">
        <f t="shared" si="221"/>
        <v>0.1118358373030414</v>
      </c>
      <c r="AM192" s="6">
        <f t="shared" si="222"/>
        <v>1.8578233785269332E-2</v>
      </c>
      <c r="AN192" s="6">
        <f t="shared" si="223"/>
        <v>0.91879809454012462</v>
      </c>
      <c r="AO192" s="7">
        <v>4</v>
      </c>
      <c r="AP192" s="7">
        <v>1</v>
      </c>
      <c r="AQ192" s="7">
        <v>0</v>
      </c>
      <c r="AR192" s="10" t="s">
        <v>1021</v>
      </c>
      <c r="AS192" s="7">
        <v>0</v>
      </c>
      <c r="AT192" s="7">
        <v>0</v>
      </c>
      <c r="AU192" s="7">
        <v>0</v>
      </c>
      <c r="AV192" s="7">
        <v>0</v>
      </c>
      <c r="AW192" s="7">
        <v>31</v>
      </c>
      <c r="AX192" s="7">
        <v>1</v>
      </c>
      <c r="AY192" s="5">
        <v>6.5</v>
      </c>
      <c r="AZ192" s="7">
        <v>0</v>
      </c>
      <c r="BA192" s="7">
        <v>0</v>
      </c>
      <c r="BB192" s="7">
        <v>0</v>
      </c>
      <c r="BC192" s="7">
        <v>1</v>
      </c>
      <c r="BD192" s="7">
        <v>1</v>
      </c>
      <c r="BE192" s="7">
        <v>0</v>
      </c>
      <c r="BF192" s="7">
        <v>0</v>
      </c>
      <c r="BG192" s="7">
        <v>0</v>
      </c>
      <c r="BH192" s="7">
        <v>0</v>
      </c>
      <c r="BI192" s="7">
        <v>0</v>
      </c>
      <c r="BJ192" s="7">
        <v>1</v>
      </c>
      <c r="BK192" s="11">
        <v>2</v>
      </c>
      <c r="BL192" s="7" t="s">
        <v>1022</v>
      </c>
      <c r="BM192" s="3">
        <v>0</v>
      </c>
    </row>
    <row r="193" spans="1:65" ht="19.95" customHeight="1" x14ac:dyDescent="0.3">
      <c r="A193" s="3" t="s">
        <v>23</v>
      </c>
      <c r="B193" s="3">
        <v>13</v>
      </c>
      <c r="C193" s="8">
        <v>44402</v>
      </c>
      <c r="D193" s="9">
        <v>0.27777777777777779</v>
      </c>
      <c r="E193" s="4">
        <v>66</v>
      </c>
      <c r="F193" s="3">
        <v>0</v>
      </c>
      <c r="G193" s="3">
        <v>0</v>
      </c>
      <c r="H193" s="3">
        <v>0</v>
      </c>
      <c r="I193" s="3">
        <v>0</v>
      </c>
      <c r="J193" s="9">
        <v>0.27777777777777779</v>
      </c>
      <c r="K193" s="3">
        <v>141.19999999999999</v>
      </c>
      <c r="L193" s="11">
        <f t="shared" ref="L193" si="348">K193-K192</f>
        <v>-0.20000000000001705</v>
      </c>
      <c r="M193" s="5">
        <f t="shared" ref="M193" si="349">AB192</f>
        <v>2729</v>
      </c>
      <c r="N193" s="11">
        <v>30.5</v>
      </c>
      <c r="O193" s="11">
        <v>32.25</v>
      </c>
      <c r="P193" s="11">
        <v>10.75</v>
      </c>
      <c r="Q193" s="11">
        <v>10.75</v>
      </c>
      <c r="R193" s="11">
        <v>19.75</v>
      </c>
      <c r="S193" s="11">
        <v>20</v>
      </c>
      <c r="T193" s="11">
        <v>16</v>
      </c>
      <c r="U193" s="11">
        <v>14</v>
      </c>
      <c r="V193" s="11">
        <v>17</v>
      </c>
      <c r="W193" s="11">
        <v>15</v>
      </c>
      <c r="X193" s="11">
        <v>7</v>
      </c>
      <c r="Y193" s="11">
        <v>7</v>
      </c>
      <c r="Z193" s="3" t="s">
        <v>1025</v>
      </c>
      <c r="AA193" s="10" t="s">
        <v>1026</v>
      </c>
      <c r="AB193" s="5">
        <f>1514+280+120+6.25+5.25+120+13.38+220</f>
        <v>2278.88</v>
      </c>
      <c r="AC193" s="6">
        <f>86.5+20+0+0+0+0+0+11</f>
        <v>117.5</v>
      </c>
      <c r="AD193" s="6">
        <f>22.8+6+0+0+0+0+0+7</f>
        <v>35.799999999999997</v>
      </c>
      <c r="AE193" s="6">
        <f>90.2+24+0+0+0.13+0+0.13+3</f>
        <v>117.46</v>
      </c>
      <c r="AF193" s="6">
        <f>105.2+0+29+1.5+1.63+34+3.5+29</f>
        <v>203.82999999999998</v>
      </c>
      <c r="AG193" s="6">
        <f>26.7+0+0+0.25+0.25+0+0.38+0</f>
        <v>27.58</v>
      </c>
      <c r="AH193" s="6">
        <f>1418.4+280+16+0+0.13+0+0.38+75</f>
        <v>1789.9100000000003</v>
      </c>
      <c r="AI193" s="6">
        <f t="shared" ref="AI193" si="350">$AC193/$AB193</f>
        <v>5.1560415642771883E-2</v>
      </c>
      <c r="AJ193" s="6">
        <f t="shared" ref="AJ193" si="351">$AD193/$AB193</f>
        <v>1.570947131924454E-2</v>
      </c>
      <c r="AK193" s="6">
        <f t="shared" ref="AK193" si="352">$AE193/$AB193</f>
        <v>5.1542863160850938E-2</v>
      </c>
      <c r="AL193" s="6">
        <f t="shared" ref="AL193" si="353">$AF193/$AB193</f>
        <v>8.9443059748648454E-2</v>
      </c>
      <c r="AM193" s="6">
        <f t="shared" ref="AM193" si="354">$AG193/$AB193</f>
        <v>1.2102436284490625E-2</v>
      </c>
      <c r="AN193" s="6">
        <f t="shared" ref="AN193" si="355">$AH193/$AB193</f>
        <v>0.78543407287790501</v>
      </c>
      <c r="AO193" s="7">
        <v>5</v>
      </c>
      <c r="AP193" s="7">
        <v>1</v>
      </c>
      <c r="AQ193" s="7">
        <v>0</v>
      </c>
      <c r="AR193" s="10">
        <v>0</v>
      </c>
      <c r="AS193" s="7">
        <v>0</v>
      </c>
      <c r="AT193" s="7">
        <v>0</v>
      </c>
      <c r="AU193" s="7">
        <v>0</v>
      </c>
      <c r="AV193" s="7">
        <v>0</v>
      </c>
      <c r="AW193" s="7">
        <v>31</v>
      </c>
      <c r="AX193" s="7">
        <v>1</v>
      </c>
      <c r="AY193" s="5">
        <v>7</v>
      </c>
      <c r="AZ193" s="7">
        <v>0</v>
      </c>
      <c r="BA193" s="7">
        <v>1</v>
      </c>
      <c r="BB193" s="7">
        <v>0</v>
      </c>
      <c r="BC193" s="7">
        <v>1</v>
      </c>
      <c r="BD193" s="7">
        <v>1</v>
      </c>
      <c r="BE193" s="7">
        <v>0</v>
      </c>
      <c r="BF193" s="7">
        <v>0</v>
      </c>
      <c r="BG193" s="7">
        <v>0</v>
      </c>
      <c r="BH193" s="7">
        <v>0</v>
      </c>
      <c r="BI193" s="7">
        <v>0</v>
      </c>
      <c r="BJ193" s="7">
        <v>1</v>
      </c>
      <c r="BK193" s="11">
        <v>0</v>
      </c>
      <c r="BL193" s="3">
        <v>0</v>
      </c>
      <c r="BM193" s="3">
        <v>0</v>
      </c>
    </row>
    <row r="194" spans="1:65" ht="19.95" customHeight="1" x14ac:dyDescent="0.3">
      <c r="A194" s="3" t="s">
        <v>15</v>
      </c>
      <c r="B194" s="3">
        <v>14</v>
      </c>
      <c r="C194" s="8">
        <v>44403</v>
      </c>
      <c r="D194" s="9">
        <v>0.31944444444444448</v>
      </c>
      <c r="E194" s="4">
        <v>69</v>
      </c>
      <c r="F194" s="3">
        <v>0</v>
      </c>
      <c r="G194" s="3">
        <v>0</v>
      </c>
      <c r="H194" s="3">
        <v>0</v>
      </c>
      <c r="I194" s="3">
        <v>0</v>
      </c>
      <c r="J194" s="9">
        <v>0.32847222222222222</v>
      </c>
      <c r="K194" s="3">
        <v>141.4</v>
      </c>
      <c r="L194" s="11">
        <f t="shared" ref="L194" si="356">K194-K193</f>
        <v>0.20000000000001705</v>
      </c>
      <c r="M194" s="5">
        <f t="shared" ref="M194" si="357">AB193</f>
        <v>2278.88</v>
      </c>
      <c r="N194" s="11">
        <v>30.5</v>
      </c>
      <c r="O194" s="11">
        <v>31.75</v>
      </c>
      <c r="P194" s="11">
        <v>10.5</v>
      </c>
      <c r="Q194" s="11">
        <v>10.625</v>
      </c>
      <c r="R194" s="11">
        <v>19.75</v>
      </c>
      <c r="S194" s="11">
        <v>19.75</v>
      </c>
      <c r="T194" s="11">
        <v>17</v>
      </c>
      <c r="U194" s="11">
        <v>15</v>
      </c>
      <c r="V194" s="11">
        <v>16</v>
      </c>
      <c r="W194" s="11">
        <v>15</v>
      </c>
      <c r="X194" s="11">
        <v>7</v>
      </c>
      <c r="Y194" s="11">
        <v>7</v>
      </c>
      <c r="Z194" s="3" t="s">
        <v>1032</v>
      </c>
      <c r="AA194" s="10" t="s">
        <v>1030</v>
      </c>
      <c r="AB194" s="5">
        <f>140+220+100+8+120+120+12+41+520+440+180</f>
        <v>1901</v>
      </c>
      <c r="AC194" s="6">
        <f>10+4+6+0.4+4+3+0.6+3.38+36+8+6</f>
        <v>81.38</v>
      </c>
      <c r="AD194" s="6">
        <f>3+0+4+0.4+2+0+0.6+0.63+10+0+3</f>
        <v>23.630000000000003</v>
      </c>
      <c r="AE194" s="6">
        <f>12+8+8+1.2+9.33+2+1.8+1.18+40+16+14</f>
        <v>113.50999999999999</v>
      </c>
      <c r="AF194" s="6">
        <f>0+38+2+0.8+12.67+20+1.2+2.1+10+76+19</f>
        <v>181.76999999999998</v>
      </c>
      <c r="AG194" s="6">
        <f>0+4+0+0.4+0+1+0.6+0.23+4+8+0</f>
        <v>18.23</v>
      </c>
      <c r="AH194" s="6">
        <f>140+270+280+4+33.33+120+6+1+7+540+50</f>
        <v>1451.33</v>
      </c>
      <c r="AI194" s="6">
        <f t="shared" si="218"/>
        <v>4.2809047869542344E-2</v>
      </c>
      <c r="AJ194" s="6">
        <f t="shared" si="219"/>
        <v>1.2430299842188323E-2</v>
      </c>
      <c r="AK194" s="6">
        <f t="shared" si="220"/>
        <v>5.9710678590215671E-2</v>
      </c>
      <c r="AL194" s="6">
        <f t="shared" si="221"/>
        <v>9.5618095739084683E-2</v>
      </c>
      <c r="AM194" s="6">
        <f t="shared" si="222"/>
        <v>9.58968963703314E-3</v>
      </c>
      <c r="AN194" s="6">
        <f t="shared" si="223"/>
        <v>0.76345607574960539</v>
      </c>
      <c r="AO194" s="7">
        <v>5</v>
      </c>
      <c r="AP194" s="7">
        <v>1</v>
      </c>
      <c r="AQ194" s="7">
        <v>0</v>
      </c>
      <c r="AR194" s="10">
        <v>0</v>
      </c>
      <c r="AS194" s="7">
        <v>0</v>
      </c>
      <c r="AT194" s="7">
        <v>0</v>
      </c>
      <c r="AU194" s="7">
        <v>0</v>
      </c>
      <c r="AV194" s="7">
        <v>0</v>
      </c>
      <c r="AW194" s="7">
        <v>31</v>
      </c>
      <c r="AX194" s="7">
        <v>1</v>
      </c>
      <c r="AY194" s="5">
        <v>7</v>
      </c>
      <c r="AZ194" s="7">
        <v>0</v>
      </c>
      <c r="BA194" s="7">
        <v>0</v>
      </c>
      <c r="BB194" s="7">
        <v>0</v>
      </c>
      <c r="BC194" s="7">
        <v>1</v>
      </c>
      <c r="BD194" s="7">
        <v>1</v>
      </c>
      <c r="BE194" s="7">
        <v>0</v>
      </c>
      <c r="BF194" s="7">
        <v>0</v>
      </c>
      <c r="BG194" s="7">
        <v>0</v>
      </c>
      <c r="BH194" s="7">
        <v>0</v>
      </c>
      <c r="BI194" s="7">
        <v>0</v>
      </c>
      <c r="BJ194" s="7">
        <v>1</v>
      </c>
      <c r="BK194" s="11">
        <v>2</v>
      </c>
      <c r="BL194" s="3" t="s">
        <v>1031</v>
      </c>
      <c r="BM194" s="3">
        <v>0</v>
      </c>
    </row>
    <row r="195" spans="1:65" ht="19.95" customHeight="1" x14ac:dyDescent="0.3">
      <c r="A195" s="3" t="s">
        <v>16</v>
      </c>
      <c r="B195" s="3">
        <v>0</v>
      </c>
      <c r="C195" s="8">
        <v>44404</v>
      </c>
      <c r="D195" s="9">
        <v>0.32291666666666669</v>
      </c>
      <c r="E195" s="4">
        <v>71</v>
      </c>
      <c r="F195" s="3">
        <v>0</v>
      </c>
      <c r="G195" s="3">
        <v>0</v>
      </c>
      <c r="H195" s="3">
        <v>0</v>
      </c>
      <c r="I195" s="3">
        <v>0</v>
      </c>
      <c r="J195" s="9">
        <v>0.46736111111111112</v>
      </c>
      <c r="K195" s="3">
        <v>140.6</v>
      </c>
      <c r="L195" s="11">
        <f t="shared" ref="L195" si="358">K195-K194</f>
        <v>-0.80000000000001137</v>
      </c>
      <c r="M195" s="5">
        <f t="shared" ref="M195" si="359">AB194</f>
        <v>1901</v>
      </c>
      <c r="N195" s="11">
        <v>29.75</v>
      </c>
      <c r="O195" s="11">
        <v>31.625</v>
      </c>
      <c r="P195" s="11">
        <v>10.5</v>
      </c>
      <c r="Q195" s="11">
        <v>10.5</v>
      </c>
      <c r="R195" s="11">
        <v>19.75</v>
      </c>
      <c r="S195" s="11">
        <v>19.75</v>
      </c>
      <c r="T195" s="11">
        <v>15</v>
      </c>
      <c r="U195" s="11">
        <v>15</v>
      </c>
      <c r="V195" s="11">
        <v>15</v>
      </c>
      <c r="W195" s="11">
        <v>16</v>
      </c>
      <c r="X195" s="11">
        <v>7</v>
      </c>
      <c r="Y195" s="11">
        <v>7</v>
      </c>
      <c r="Z195" s="3" t="s">
        <v>1038</v>
      </c>
      <c r="AA195" s="10" t="s">
        <v>1037</v>
      </c>
      <c r="AB195" s="5">
        <f>450+152+180+450+80+110+10+120+210+220+100+180</f>
        <v>2262</v>
      </c>
      <c r="AC195" s="6">
        <f>11+11.6+6+11+6+9+0.5+3+11+4+6+6</f>
        <v>85.1</v>
      </c>
      <c r="AD195" s="6">
        <f>2+5.2+3+2+3+5+0.5+0+9+0+4+3</f>
        <v>36.700000000000003</v>
      </c>
      <c r="AE195" s="6">
        <f>9+5.8+14+9+7+6+1.5+2+20+8+8+14</f>
        <v>104.3</v>
      </c>
      <c r="AF195" s="6">
        <f>80+6+19+80+2+1+1+20+7+38+2+19</f>
        <v>275</v>
      </c>
      <c r="AG195" s="6">
        <f>3+0.4+0+3+0+0+0.5+1+1+4+0+0</f>
        <v>12.9</v>
      </c>
      <c r="AH195" s="6">
        <f>360+722+50+360+190+180+5+120+450+270+280+50</f>
        <v>3037</v>
      </c>
      <c r="AI195" s="6">
        <f t="shared" si="218"/>
        <v>3.7621573828470381E-2</v>
      </c>
      <c r="AJ195" s="6">
        <f t="shared" si="219"/>
        <v>1.6224580017683468E-2</v>
      </c>
      <c r="AK195" s="6">
        <f t="shared" si="220"/>
        <v>4.6109637488947836E-2</v>
      </c>
      <c r="AL195" s="6">
        <f t="shared" si="221"/>
        <v>0.12157382847038019</v>
      </c>
      <c r="AM195" s="6">
        <f t="shared" si="222"/>
        <v>5.7029177718832891E-3</v>
      </c>
      <c r="AN195" s="6">
        <f t="shared" si="223"/>
        <v>1.3426171529619806</v>
      </c>
      <c r="AO195" s="7">
        <v>5</v>
      </c>
      <c r="AP195" s="7">
        <v>1</v>
      </c>
      <c r="AQ195" s="7">
        <v>1</v>
      </c>
      <c r="AR195" s="10">
        <v>0</v>
      </c>
      <c r="AS195" s="7">
        <v>0</v>
      </c>
      <c r="AT195" s="7">
        <v>0</v>
      </c>
      <c r="AU195" s="7">
        <v>0</v>
      </c>
      <c r="AV195" s="7">
        <v>0</v>
      </c>
      <c r="AW195" s="7">
        <v>31</v>
      </c>
      <c r="AX195" s="7">
        <v>1</v>
      </c>
      <c r="AY195" s="5">
        <v>5</v>
      </c>
      <c r="AZ195" s="7">
        <v>0</v>
      </c>
      <c r="BA195" s="7">
        <v>1</v>
      </c>
      <c r="BB195" s="7">
        <v>0</v>
      </c>
      <c r="BC195" s="7">
        <v>0</v>
      </c>
      <c r="BD195" s="7">
        <v>1</v>
      </c>
      <c r="BE195" s="7">
        <v>0</v>
      </c>
      <c r="BF195" s="7">
        <v>0</v>
      </c>
      <c r="BG195" s="7">
        <v>0</v>
      </c>
      <c r="BH195" s="7">
        <v>0</v>
      </c>
      <c r="BI195" s="7">
        <v>0</v>
      </c>
      <c r="BJ195" s="7">
        <v>1</v>
      </c>
      <c r="BK195" s="11">
        <v>0</v>
      </c>
      <c r="BL195" s="7">
        <v>0</v>
      </c>
      <c r="BM195" s="3">
        <v>0</v>
      </c>
    </row>
    <row r="196" spans="1:65" ht="19.95" customHeight="1" x14ac:dyDescent="0.3">
      <c r="A196" s="3" t="s">
        <v>17</v>
      </c>
      <c r="B196" s="3">
        <v>1</v>
      </c>
      <c r="C196" s="8">
        <v>44405</v>
      </c>
      <c r="D196" s="9">
        <v>0.32291666666666669</v>
      </c>
      <c r="E196" s="4">
        <v>71</v>
      </c>
      <c r="F196" s="3">
        <v>0</v>
      </c>
      <c r="G196" s="3">
        <v>0</v>
      </c>
      <c r="H196" s="3">
        <v>0</v>
      </c>
      <c r="I196" s="3">
        <v>0</v>
      </c>
      <c r="J196" s="9">
        <v>0.31944444444444448</v>
      </c>
      <c r="K196" s="3">
        <v>140</v>
      </c>
      <c r="L196" s="11">
        <f t="shared" ref="L196" si="360">K196-K195</f>
        <v>-0.59999999999999432</v>
      </c>
      <c r="M196" s="5">
        <f t="shared" ref="M196" si="361">AB195</f>
        <v>2262</v>
      </c>
      <c r="N196" s="11">
        <v>30.125</v>
      </c>
      <c r="O196" s="11">
        <v>31.75</v>
      </c>
      <c r="P196" s="11">
        <v>10.5</v>
      </c>
      <c r="Q196" s="11">
        <v>10.5</v>
      </c>
      <c r="R196" s="11">
        <v>19.5</v>
      </c>
      <c r="S196" s="11">
        <v>19.625</v>
      </c>
      <c r="T196" s="11">
        <v>13</v>
      </c>
      <c r="U196" s="11">
        <v>13</v>
      </c>
      <c r="V196" s="11">
        <v>15</v>
      </c>
      <c r="W196" s="11">
        <v>15</v>
      </c>
      <c r="X196" s="11">
        <v>7</v>
      </c>
      <c r="Y196" s="11">
        <v>7</v>
      </c>
      <c r="Z196" s="3" t="s">
        <v>1041</v>
      </c>
      <c r="AA196" s="10" t="s">
        <v>1042</v>
      </c>
      <c r="AB196" s="5">
        <f>550+275+110+80+41+210+240+107+20+140+180+70+200+120+70</f>
        <v>2413</v>
      </c>
      <c r="AC196" s="6">
        <f>10+22.5+9+6+3.38+11+14+0+1+10+6+0+12+3+5</f>
        <v>112.88</v>
      </c>
      <c r="AD196" s="6">
        <f>0+12.5+5+3+0.63+9+8+0+1+3+3+0+8+0+3.5</f>
        <v>56.629999999999995</v>
      </c>
      <c r="AE196" s="6">
        <f>20+17.5+6+7+1.18+20+19+1+3+12+14+0+16+2+1</f>
        <v>139.68</v>
      </c>
      <c r="AF196" s="6">
        <f>95+0+1+2+2.1+7+9+28+2+0+19+14+4+20+4</f>
        <v>207.1</v>
      </c>
      <c r="AG196" s="6">
        <f>10+0+0+0+0.23+1+3+3+1+0+0+0+0+1+0</f>
        <v>19.23</v>
      </c>
      <c r="AH196" s="6">
        <f>675+425+180+190+1+450+370+3+10+140+50+0+560+120+20</f>
        <v>3194</v>
      </c>
      <c r="AI196" s="6">
        <f t="shared" si="218"/>
        <v>4.6779941980936594E-2</v>
      </c>
      <c r="AJ196" s="6">
        <f t="shared" si="219"/>
        <v>2.3468711147948611E-2</v>
      </c>
      <c r="AK196" s="6">
        <f t="shared" si="220"/>
        <v>5.7886448404475759E-2</v>
      </c>
      <c r="AL196" s="6">
        <f t="shared" si="221"/>
        <v>8.5826771653543299E-2</v>
      </c>
      <c r="AM196" s="6">
        <f t="shared" si="222"/>
        <v>7.9693327807708256E-3</v>
      </c>
      <c r="AN196" s="6">
        <f t="shared" si="223"/>
        <v>1.3236634894322421</v>
      </c>
      <c r="AO196" s="7">
        <v>5</v>
      </c>
      <c r="AP196" s="7">
        <v>1</v>
      </c>
      <c r="AQ196" s="7">
        <v>1</v>
      </c>
      <c r="AR196" s="10">
        <v>0</v>
      </c>
      <c r="AS196" s="7">
        <v>0</v>
      </c>
      <c r="AT196" s="7">
        <v>0</v>
      </c>
      <c r="AU196" s="7">
        <v>0</v>
      </c>
      <c r="AV196" s="7">
        <v>0</v>
      </c>
      <c r="AW196" s="7">
        <v>31</v>
      </c>
      <c r="AX196" s="7">
        <v>1</v>
      </c>
      <c r="AY196" s="5">
        <v>7</v>
      </c>
      <c r="AZ196" s="7">
        <v>0</v>
      </c>
      <c r="BA196" s="7">
        <v>0</v>
      </c>
      <c r="BB196" s="7">
        <v>0</v>
      </c>
      <c r="BC196" s="7">
        <v>1</v>
      </c>
      <c r="BD196" s="7">
        <v>1</v>
      </c>
      <c r="BE196" s="7">
        <v>0</v>
      </c>
      <c r="BF196" s="7">
        <v>1</v>
      </c>
      <c r="BG196" s="7">
        <v>10</v>
      </c>
      <c r="BH196" s="7">
        <v>0</v>
      </c>
      <c r="BI196" s="7">
        <v>0</v>
      </c>
      <c r="BJ196" s="7">
        <v>1</v>
      </c>
      <c r="BK196" s="11">
        <v>2</v>
      </c>
      <c r="BL196" s="7" t="s">
        <v>1040</v>
      </c>
      <c r="BM196" s="3">
        <v>0</v>
      </c>
    </row>
    <row r="197" spans="1:65" ht="19.95" customHeight="1" x14ac:dyDescent="0.3">
      <c r="A197" s="3" t="s">
        <v>18</v>
      </c>
      <c r="B197" s="3">
        <v>2</v>
      </c>
      <c r="C197" s="8">
        <v>44406</v>
      </c>
      <c r="D197" s="9">
        <v>0.41180555555555554</v>
      </c>
      <c r="E197" s="4">
        <v>83</v>
      </c>
      <c r="F197" s="3">
        <v>0</v>
      </c>
      <c r="G197" s="3">
        <v>0</v>
      </c>
      <c r="H197" s="3">
        <v>0</v>
      </c>
      <c r="I197" s="3">
        <v>0</v>
      </c>
      <c r="J197" s="9">
        <v>0.41319444444444442</v>
      </c>
      <c r="K197" s="3">
        <v>138.6</v>
      </c>
      <c r="L197" s="11">
        <f t="shared" ref="L197" si="362">K197-K196</f>
        <v>-1.4000000000000057</v>
      </c>
      <c r="M197" s="5">
        <f t="shared" ref="M197" si="363">AB196</f>
        <v>2413</v>
      </c>
      <c r="N197" s="11">
        <v>30.25</v>
      </c>
      <c r="O197" s="11">
        <v>31.625</v>
      </c>
      <c r="P197" s="11">
        <v>10.625</v>
      </c>
      <c r="Q197" s="11">
        <v>10.625</v>
      </c>
      <c r="R197" s="11">
        <v>19.75</v>
      </c>
      <c r="S197" s="11">
        <v>19.75</v>
      </c>
      <c r="T197" s="11">
        <v>15</v>
      </c>
      <c r="U197" s="11">
        <v>14</v>
      </c>
      <c r="V197" s="11">
        <v>15</v>
      </c>
      <c r="W197" s="11">
        <v>15</v>
      </c>
      <c r="X197" s="11">
        <v>7</v>
      </c>
      <c r="Y197" s="11">
        <v>7</v>
      </c>
      <c r="Z197" s="3" t="s">
        <v>1044</v>
      </c>
      <c r="AA197" s="10" t="s">
        <v>1045</v>
      </c>
      <c r="AB197" s="5">
        <f>440+200+240+220+180+140+25+53.5+280+41+110</f>
        <v>1929.5</v>
      </c>
      <c r="AC197" s="6">
        <f>8+12+14+18+6+10+0+0+20+3.38+9</f>
        <v>100.38</v>
      </c>
      <c r="AD197" s="6">
        <f>0+8+8+10+3+7+0+0+6+0.63+5</f>
        <v>47.63</v>
      </c>
      <c r="AE197" s="6">
        <f>16+16+19+14+14+2+0+0.5+24+1.18+6</f>
        <v>112.68</v>
      </c>
      <c r="AF197" s="6">
        <f>76+4+9+0+19+8+6+14+0+2.1+1</f>
        <v>139.1</v>
      </c>
      <c r="AG197" s="6">
        <f>8+0+3+0+0+0+1+1.5+0+0.23+0</f>
        <v>13.73</v>
      </c>
      <c r="AH197" s="6">
        <f>540+560+370+340+50+40+0+1.5+280+1+180</f>
        <v>2362.5</v>
      </c>
      <c r="AI197" s="6">
        <f t="shared" si="218"/>
        <v>5.2023840373153662E-2</v>
      </c>
      <c r="AJ197" s="6">
        <f t="shared" si="219"/>
        <v>2.468515159367712E-2</v>
      </c>
      <c r="AK197" s="6">
        <f t="shared" si="220"/>
        <v>5.8398548846851521E-2</v>
      </c>
      <c r="AL197" s="6">
        <f t="shared" si="221"/>
        <v>7.2091215340761849E-2</v>
      </c>
      <c r="AM197" s="6">
        <f t="shared" si="222"/>
        <v>7.1158331173879243E-3</v>
      </c>
      <c r="AN197" s="6">
        <f t="shared" si="223"/>
        <v>1.2244104690334283</v>
      </c>
      <c r="AO197" s="7">
        <v>5</v>
      </c>
      <c r="AP197" s="7">
        <v>1</v>
      </c>
      <c r="AQ197" s="7">
        <v>1</v>
      </c>
      <c r="AR197" s="10">
        <v>0</v>
      </c>
      <c r="AS197" s="7">
        <v>0</v>
      </c>
      <c r="AT197" s="7">
        <v>0</v>
      </c>
      <c r="AU197" s="7">
        <v>0</v>
      </c>
      <c r="AV197" s="7">
        <v>0</v>
      </c>
      <c r="AW197" s="7">
        <v>31</v>
      </c>
      <c r="AX197" s="7">
        <v>0</v>
      </c>
      <c r="AY197" s="5">
        <v>6</v>
      </c>
      <c r="AZ197" s="7">
        <v>0</v>
      </c>
      <c r="BA197" s="7">
        <v>0</v>
      </c>
      <c r="BB197" s="7">
        <v>0</v>
      </c>
      <c r="BC197" s="7">
        <v>1</v>
      </c>
      <c r="BD197" s="7">
        <v>1</v>
      </c>
      <c r="BE197" s="7">
        <v>0</v>
      </c>
      <c r="BF197" s="7">
        <v>0</v>
      </c>
      <c r="BG197" s="7">
        <v>0</v>
      </c>
      <c r="BH197" s="7">
        <v>0</v>
      </c>
      <c r="BI197" s="7">
        <v>0</v>
      </c>
      <c r="BJ197" s="7">
        <v>1</v>
      </c>
      <c r="BK197" s="11">
        <v>5</v>
      </c>
      <c r="BL197" s="11" t="s">
        <v>1043</v>
      </c>
      <c r="BM197" s="3">
        <v>0</v>
      </c>
    </row>
    <row r="198" spans="1:65" ht="19.95" customHeight="1" x14ac:dyDescent="0.3">
      <c r="A198" s="3" t="s">
        <v>137</v>
      </c>
      <c r="B198" s="3">
        <v>3</v>
      </c>
      <c r="C198" s="8">
        <v>44407</v>
      </c>
      <c r="D198" s="9">
        <v>0.27777777777777779</v>
      </c>
      <c r="E198" s="4">
        <v>70</v>
      </c>
      <c r="F198" s="3">
        <v>0</v>
      </c>
      <c r="G198" s="3">
        <v>0</v>
      </c>
      <c r="H198" s="3">
        <v>0</v>
      </c>
      <c r="I198" s="3">
        <v>0</v>
      </c>
      <c r="J198" s="9">
        <v>0.29722222222222222</v>
      </c>
      <c r="K198" s="3">
        <v>139.80000000000001</v>
      </c>
      <c r="L198" s="11">
        <f t="shared" ref="L198" si="364">K198-K197</f>
        <v>1.2000000000000171</v>
      </c>
      <c r="M198" s="5">
        <f t="shared" ref="M198" si="365">AB197</f>
        <v>1929.5</v>
      </c>
      <c r="N198" s="11">
        <v>30.5</v>
      </c>
      <c r="O198" s="11">
        <v>31.875</v>
      </c>
      <c r="P198" s="11">
        <v>10.875</v>
      </c>
      <c r="Q198" s="11">
        <v>10.875</v>
      </c>
      <c r="R198" s="11">
        <v>19.75</v>
      </c>
      <c r="S198" s="11">
        <v>20</v>
      </c>
      <c r="T198" s="11">
        <v>15</v>
      </c>
      <c r="U198" s="11">
        <v>15</v>
      </c>
      <c r="V198" s="11">
        <v>17</v>
      </c>
      <c r="W198" s="11">
        <v>15</v>
      </c>
      <c r="X198" s="11">
        <v>7</v>
      </c>
      <c r="Y198" s="11">
        <v>7</v>
      </c>
      <c r="Z198" s="3" t="s">
        <v>1047</v>
      </c>
      <c r="AA198" s="10" t="s">
        <v>1046</v>
      </c>
      <c r="AB198" s="5">
        <f>420+440+20+25+53.5+120+180+80+110+100+35+100+120+25+110</f>
        <v>1938.5</v>
      </c>
      <c r="AC198" s="6">
        <f>22+6+1.5+0+0+3+6+6+9+6+0+6+4+0+9</f>
        <v>78.5</v>
      </c>
      <c r="AD198" s="6">
        <f>18+0+1+0+0+0+3+3+5+4+0+4+2+0+5</f>
        <v>45</v>
      </c>
      <c r="AE198" s="6">
        <f>40+12+2+0+0.5+2+14+7+6+8+0+8+9.33+0+6</f>
        <v>114.83</v>
      </c>
      <c r="AF198" s="6">
        <f>14+80+0+6+14+20+19+2+1+2+7+2+12.67+6+1</f>
        <v>186.67</v>
      </c>
      <c r="AG198" s="6">
        <f>2+4+0+1+1.5+1+0+0+0+0+0+0+0+1+0</f>
        <v>10.5</v>
      </c>
      <c r="AH198" s="6">
        <f>900+760+100+0+1.5+120+50+190+180+280+0+280+33.33+0+180</f>
        <v>3074.83</v>
      </c>
      <c r="AI198" s="6">
        <f t="shared" si="218"/>
        <v>4.049522826928037E-2</v>
      </c>
      <c r="AJ198" s="6">
        <f t="shared" si="219"/>
        <v>2.321382512251741E-2</v>
      </c>
      <c r="AK198" s="6">
        <f t="shared" si="220"/>
        <v>5.9236523084859424E-2</v>
      </c>
      <c r="AL198" s="6">
        <f t="shared" si="221"/>
        <v>9.6296105236007221E-2</v>
      </c>
      <c r="AM198" s="6">
        <f t="shared" si="222"/>
        <v>5.4165591952540625E-3</v>
      </c>
      <c r="AN198" s="6">
        <f t="shared" si="223"/>
        <v>1.5861903533660047</v>
      </c>
      <c r="AO198" s="7">
        <v>5</v>
      </c>
      <c r="AP198" s="7">
        <v>1</v>
      </c>
      <c r="AQ198" s="7">
        <v>1</v>
      </c>
      <c r="AR198" s="10">
        <v>0</v>
      </c>
      <c r="AS198" s="7">
        <v>0</v>
      </c>
      <c r="AT198" s="7">
        <v>0</v>
      </c>
      <c r="AU198" s="7">
        <v>0</v>
      </c>
      <c r="AV198" s="7">
        <v>0</v>
      </c>
      <c r="AW198" s="7">
        <v>31</v>
      </c>
      <c r="AX198" s="7">
        <v>1</v>
      </c>
      <c r="AY198" s="5">
        <v>7</v>
      </c>
      <c r="AZ198" s="7">
        <v>0</v>
      </c>
      <c r="BA198" s="7">
        <v>0</v>
      </c>
      <c r="BB198" s="7">
        <v>0</v>
      </c>
      <c r="BC198" s="7">
        <v>1</v>
      </c>
      <c r="BD198" s="7">
        <v>1</v>
      </c>
      <c r="BE198" s="7">
        <v>0</v>
      </c>
      <c r="BF198" s="7">
        <v>0</v>
      </c>
      <c r="BG198" s="7">
        <v>0</v>
      </c>
      <c r="BH198" s="7">
        <v>0</v>
      </c>
      <c r="BI198" s="7">
        <v>0</v>
      </c>
      <c r="BJ198" s="7">
        <v>1</v>
      </c>
      <c r="BK198" s="11">
        <v>2</v>
      </c>
      <c r="BL198" s="3" t="s">
        <v>1048</v>
      </c>
      <c r="BM198" s="3">
        <v>0</v>
      </c>
    </row>
    <row r="199" spans="1:65" ht="19.95" customHeight="1" x14ac:dyDescent="0.3">
      <c r="A199" s="3" t="s">
        <v>19</v>
      </c>
      <c r="B199" s="3">
        <v>4</v>
      </c>
      <c r="C199" s="8">
        <v>44408</v>
      </c>
      <c r="D199" s="9">
        <v>0.28402777777777777</v>
      </c>
      <c r="E199" s="4">
        <v>70</v>
      </c>
      <c r="F199" s="3">
        <v>0</v>
      </c>
      <c r="G199" s="3">
        <v>0</v>
      </c>
      <c r="H199" s="3">
        <v>0</v>
      </c>
      <c r="I199" s="3">
        <v>0</v>
      </c>
      <c r="J199" s="9">
        <v>0.28472222222222221</v>
      </c>
      <c r="K199" s="3">
        <v>141.6</v>
      </c>
      <c r="L199" s="11">
        <f t="shared" ref="L199" si="366">K199-K198</f>
        <v>1.7999999999999829</v>
      </c>
      <c r="M199" s="5">
        <f t="shared" ref="M199" si="367">AB198</f>
        <v>1938.5</v>
      </c>
      <c r="N199" s="11">
        <v>31</v>
      </c>
      <c r="O199" s="11">
        <v>32.625</v>
      </c>
      <c r="P199" s="11">
        <v>10.625</v>
      </c>
      <c r="Q199" s="11">
        <v>10.75</v>
      </c>
      <c r="R199" s="11">
        <v>19.625</v>
      </c>
      <c r="S199" s="11">
        <v>20</v>
      </c>
      <c r="T199" s="11">
        <v>15</v>
      </c>
      <c r="U199" s="11">
        <v>13</v>
      </c>
      <c r="V199" s="11">
        <v>17</v>
      </c>
      <c r="W199" s="11">
        <v>17</v>
      </c>
      <c r="X199" s="11">
        <v>7</v>
      </c>
      <c r="Y199" s="11">
        <v>7</v>
      </c>
      <c r="Z199" s="3" t="s">
        <v>1054</v>
      </c>
      <c r="AA199" s="10" t="s">
        <v>1053</v>
      </c>
      <c r="AB199" s="5">
        <f>450+110+330+240+220+100+220+100+123</f>
        <v>1893</v>
      </c>
      <c r="AC199" s="6">
        <f>15+9+18+18+4+6+4+6+8.02</f>
        <v>88.02</v>
      </c>
      <c r="AD199" s="6">
        <f>7.5+5+9+9+0+4+0+4+2.22</f>
        <v>40.72</v>
      </c>
      <c r="AE199" s="6">
        <f>35+6+6+21+8+8+8+8+9.22</f>
        <v>109.22</v>
      </c>
      <c r="AF199" s="6">
        <f>47.5+1+37.5+6+38+2+38+2+3.83</f>
        <v>175.83</v>
      </c>
      <c r="AG199" s="6">
        <f>0+0+1.5+0+4+0+4+0+1.33</f>
        <v>10.83</v>
      </c>
      <c r="AH199" s="6">
        <f>125+180+90+570+270+280+270+280+157.61</f>
        <v>2222.61</v>
      </c>
      <c r="AI199" s="6">
        <f t="shared" si="218"/>
        <v>4.6497622820919175E-2</v>
      </c>
      <c r="AJ199" s="6">
        <f t="shared" si="219"/>
        <v>2.1510829371368199E-2</v>
      </c>
      <c r="AK199" s="6">
        <f t="shared" si="220"/>
        <v>5.7696777601690438E-2</v>
      </c>
      <c r="AL199" s="6">
        <f t="shared" si="221"/>
        <v>9.2884310618066568E-2</v>
      </c>
      <c r="AM199" s="6">
        <f t="shared" si="222"/>
        <v>5.7210776545166403E-3</v>
      </c>
      <c r="AN199" s="6">
        <f t="shared" si="223"/>
        <v>1.1741204437400952</v>
      </c>
      <c r="AO199" s="7">
        <v>5</v>
      </c>
      <c r="AP199" s="7">
        <v>1</v>
      </c>
      <c r="AQ199" s="7">
        <v>0</v>
      </c>
      <c r="AR199" s="10">
        <v>0</v>
      </c>
      <c r="AS199" s="7">
        <v>0</v>
      </c>
      <c r="AT199" s="7">
        <v>0</v>
      </c>
      <c r="AU199" s="7">
        <v>0</v>
      </c>
      <c r="AV199" s="7">
        <v>0</v>
      </c>
      <c r="AW199" s="7">
        <v>31</v>
      </c>
      <c r="AX199" s="7">
        <v>1</v>
      </c>
      <c r="AY199" s="5">
        <v>6.5</v>
      </c>
      <c r="AZ199" s="7">
        <v>0</v>
      </c>
      <c r="BA199" s="7">
        <v>0</v>
      </c>
      <c r="BB199" s="7">
        <v>0</v>
      </c>
      <c r="BC199" s="7">
        <v>1</v>
      </c>
      <c r="BD199" s="7">
        <v>1</v>
      </c>
      <c r="BE199" s="7">
        <v>0</v>
      </c>
      <c r="BF199" s="7">
        <v>0</v>
      </c>
      <c r="BG199" s="7">
        <v>0</v>
      </c>
      <c r="BH199" s="7">
        <v>0</v>
      </c>
      <c r="BI199" s="7">
        <v>0</v>
      </c>
      <c r="BJ199" s="7">
        <v>1</v>
      </c>
      <c r="BK199" s="11">
        <v>3</v>
      </c>
      <c r="BL199" s="3" t="s">
        <v>1050</v>
      </c>
      <c r="BM199" s="3">
        <v>0</v>
      </c>
    </row>
    <row r="200" spans="1:65" ht="19.95" customHeight="1" x14ac:dyDescent="0.3">
      <c r="A200" s="3" t="s">
        <v>23</v>
      </c>
      <c r="B200" s="3">
        <v>5</v>
      </c>
      <c r="C200" s="8">
        <v>44409</v>
      </c>
      <c r="D200" s="9">
        <v>0.25694444444444448</v>
      </c>
      <c r="E200" s="4">
        <v>70</v>
      </c>
      <c r="F200" s="3">
        <v>0</v>
      </c>
      <c r="G200" s="3">
        <v>0</v>
      </c>
      <c r="H200" s="3">
        <v>0</v>
      </c>
      <c r="I200" s="3">
        <v>0</v>
      </c>
      <c r="J200" s="9">
        <v>0.25763888888888892</v>
      </c>
      <c r="K200" s="3">
        <v>140.6</v>
      </c>
      <c r="L200" s="11">
        <f t="shared" ref="L200" si="368">K200-K199</f>
        <v>-1</v>
      </c>
      <c r="M200" s="5">
        <f t="shared" ref="M200" si="369">AB199</f>
        <v>1893</v>
      </c>
      <c r="N200" s="11">
        <v>30.75</v>
      </c>
      <c r="O200" s="11">
        <v>32.5</v>
      </c>
      <c r="P200" s="11">
        <v>10.625</v>
      </c>
      <c r="Q200" s="11">
        <v>10.625</v>
      </c>
      <c r="R200" s="11">
        <v>19.5</v>
      </c>
      <c r="S200" s="11">
        <v>20</v>
      </c>
      <c r="T200" s="11">
        <v>15</v>
      </c>
      <c r="U200" s="11">
        <v>15</v>
      </c>
      <c r="V200" s="11">
        <v>17</v>
      </c>
      <c r="W200" s="11">
        <v>13</v>
      </c>
      <c r="X200" s="11">
        <v>7</v>
      </c>
      <c r="Y200" s="11">
        <v>7</v>
      </c>
      <c r="Z200" s="3" t="s">
        <v>1055</v>
      </c>
      <c r="AA200" s="10" t="s">
        <v>1059</v>
      </c>
      <c r="AB200" s="5">
        <f>220+100+150+738.3+452+448.5+120+199</f>
        <v>2427.8000000000002</v>
      </c>
      <c r="AC200" s="6">
        <f>4+6+1.5+48.11+16.6+18+3+0</f>
        <v>97.210000000000008</v>
      </c>
      <c r="AD200" s="6">
        <f>0+4+0+13.35+8.2+9.45+0+0</f>
        <v>35</v>
      </c>
      <c r="AE200" s="6">
        <f>8+8+3+55.33+25.8+7.8+2+0</f>
        <v>109.92999999999999</v>
      </c>
      <c r="AF200" s="6">
        <f>38+2+31.5+23+60.6+66+20+55.9</f>
        <v>297</v>
      </c>
      <c r="AG200" s="6">
        <f>4+0+3+8+13.4+7.8+1+0</f>
        <v>37.199999999999996</v>
      </c>
      <c r="AH200" s="6">
        <f>270+280+30+945.68+527.6+534+120+50</f>
        <v>2757.2799999999997</v>
      </c>
      <c r="AI200" s="6">
        <f t="shared" si="218"/>
        <v>4.0040365763242443E-2</v>
      </c>
      <c r="AJ200" s="6">
        <f t="shared" si="219"/>
        <v>1.4416344015157755E-2</v>
      </c>
      <c r="AK200" s="6">
        <f t="shared" si="220"/>
        <v>4.5279677073894055E-2</v>
      </c>
      <c r="AL200" s="6">
        <f t="shared" si="221"/>
        <v>0.12233297635719581</v>
      </c>
      <c r="AM200" s="6">
        <f t="shared" si="222"/>
        <v>1.5322514210396241E-2</v>
      </c>
      <c r="AN200" s="6">
        <f t="shared" si="223"/>
        <v>1.135711343603262</v>
      </c>
      <c r="AO200" s="7">
        <v>5</v>
      </c>
      <c r="AP200" s="7">
        <v>1</v>
      </c>
      <c r="AQ200" s="7">
        <v>0</v>
      </c>
      <c r="AR200" s="10">
        <v>0</v>
      </c>
      <c r="AS200" s="7">
        <v>0</v>
      </c>
      <c r="AT200" s="7">
        <v>0</v>
      </c>
      <c r="AU200" s="7">
        <v>0</v>
      </c>
      <c r="AV200" s="7">
        <v>0</v>
      </c>
      <c r="AW200" s="7">
        <v>30</v>
      </c>
      <c r="AX200" s="7">
        <v>1</v>
      </c>
      <c r="AY200" s="5">
        <v>7</v>
      </c>
      <c r="AZ200" s="7">
        <v>0</v>
      </c>
      <c r="BA200" s="7">
        <v>1</v>
      </c>
      <c r="BB200" s="7">
        <v>0</v>
      </c>
      <c r="BC200" s="7">
        <v>1</v>
      </c>
      <c r="BD200" s="7">
        <v>1</v>
      </c>
      <c r="BE200" s="7">
        <v>0</v>
      </c>
      <c r="BF200" s="7">
        <v>0</v>
      </c>
      <c r="BG200" s="7">
        <v>0</v>
      </c>
      <c r="BH200" s="7">
        <v>0</v>
      </c>
      <c r="BI200" s="7">
        <v>0</v>
      </c>
      <c r="BJ200" s="7">
        <v>1</v>
      </c>
      <c r="BK200" s="11">
        <v>0</v>
      </c>
      <c r="BL200" s="7">
        <v>0</v>
      </c>
      <c r="BM200" s="3">
        <v>0</v>
      </c>
    </row>
    <row r="201" spans="1:65" ht="19.95" customHeight="1" x14ac:dyDescent="0.3">
      <c r="A201" s="3" t="s">
        <v>15</v>
      </c>
      <c r="B201" s="3">
        <v>6</v>
      </c>
      <c r="C201" s="8">
        <v>44410</v>
      </c>
      <c r="D201" s="9">
        <v>0.32013888888888892</v>
      </c>
      <c r="E201" s="4">
        <v>66</v>
      </c>
      <c r="F201" s="3">
        <v>0</v>
      </c>
      <c r="G201" s="3">
        <v>0</v>
      </c>
      <c r="H201" s="3">
        <v>0</v>
      </c>
      <c r="I201" s="3">
        <v>0</v>
      </c>
      <c r="J201" s="9">
        <v>0.31666666666666665</v>
      </c>
      <c r="K201" s="3">
        <v>141</v>
      </c>
      <c r="L201" s="11">
        <f t="shared" ref="L201" si="370">K201-K200</f>
        <v>0.40000000000000568</v>
      </c>
      <c r="M201" s="5">
        <f t="shared" ref="M201" si="371">AB200</f>
        <v>2427.8000000000002</v>
      </c>
      <c r="N201" s="11">
        <v>31</v>
      </c>
      <c r="O201" s="11">
        <v>32.625</v>
      </c>
      <c r="P201" s="11">
        <v>10.625</v>
      </c>
      <c r="Q201" s="11">
        <v>10.875</v>
      </c>
      <c r="R201" s="11">
        <v>19.875</v>
      </c>
      <c r="S201" s="11">
        <v>20</v>
      </c>
      <c r="T201" s="11">
        <v>17</v>
      </c>
      <c r="U201" s="11">
        <v>15</v>
      </c>
      <c r="V201" s="11">
        <v>17</v>
      </c>
      <c r="W201" s="11">
        <v>15</v>
      </c>
      <c r="X201" s="11">
        <v>7</v>
      </c>
      <c r="Y201" s="11">
        <v>7</v>
      </c>
      <c r="Z201" s="3" t="s">
        <v>1073</v>
      </c>
      <c r="AA201" s="10" t="s">
        <v>1072</v>
      </c>
      <c r="AB201" s="5">
        <f>280+322+140+10+420+390+267</f>
        <v>1829</v>
      </c>
      <c r="AC201" s="6">
        <f>7+29+10+0.75+16+25+13.7</f>
        <v>101.45</v>
      </c>
      <c r="AD201" s="6">
        <f>1+4+3+0+9+8+1.8</f>
        <v>26.8</v>
      </c>
      <c r="AE201" s="6">
        <f>8+4+12+0.25+6+14+3.2</f>
        <v>47.45</v>
      </c>
      <c r="AF201" s="6">
        <f>42+17+0+0.5+64+28+32.7</f>
        <v>184.2</v>
      </c>
      <c r="AG201" s="6">
        <f>8+18+0+0.25+0+3+3</f>
        <v>32.25</v>
      </c>
      <c r="AH201" s="6">
        <f>360+14+140+45+210+15+247</f>
        <v>1031</v>
      </c>
      <c r="AI201" s="6">
        <f t="shared" si="218"/>
        <v>5.5467468562055769E-2</v>
      </c>
      <c r="AJ201" s="6">
        <f t="shared" si="219"/>
        <v>1.4652815746309458E-2</v>
      </c>
      <c r="AK201" s="6">
        <f t="shared" si="220"/>
        <v>2.5943138326954621E-2</v>
      </c>
      <c r="AL201" s="6">
        <f t="shared" si="221"/>
        <v>0.10071077091306724</v>
      </c>
      <c r="AM201" s="6">
        <f t="shared" si="222"/>
        <v>1.7632586112629852E-2</v>
      </c>
      <c r="AN201" s="6">
        <f t="shared" si="223"/>
        <v>0.56369600874794967</v>
      </c>
      <c r="AO201" s="7">
        <v>5</v>
      </c>
      <c r="AP201" s="7">
        <v>1</v>
      </c>
      <c r="AQ201" s="7">
        <v>0</v>
      </c>
      <c r="AR201" s="10">
        <v>0</v>
      </c>
      <c r="AS201" s="7">
        <v>0</v>
      </c>
      <c r="AT201" s="7">
        <v>0</v>
      </c>
      <c r="AU201" s="7">
        <v>0</v>
      </c>
      <c r="AV201" s="7">
        <v>0</v>
      </c>
      <c r="AW201" s="7">
        <v>30</v>
      </c>
      <c r="AX201" s="7">
        <v>1</v>
      </c>
      <c r="AY201" s="5">
        <v>6</v>
      </c>
      <c r="AZ201" s="7">
        <v>0</v>
      </c>
      <c r="BA201" s="7">
        <v>1</v>
      </c>
      <c r="BB201" s="7">
        <v>0</v>
      </c>
      <c r="BC201" s="7">
        <v>1</v>
      </c>
      <c r="BD201" s="7">
        <v>1</v>
      </c>
      <c r="BE201" s="7">
        <v>0</v>
      </c>
      <c r="BF201" s="7">
        <v>0</v>
      </c>
      <c r="BG201" s="7">
        <v>0</v>
      </c>
      <c r="BH201" s="7">
        <v>0</v>
      </c>
      <c r="BI201" s="7">
        <v>0</v>
      </c>
      <c r="BJ201" s="7">
        <v>1</v>
      </c>
      <c r="BK201" s="11">
        <v>0</v>
      </c>
      <c r="BL201" s="7">
        <v>0</v>
      </c>
      <c r="BM201" s="3">
        <v>0</v>
      </c>
    </row>
    <row r="202" spans="1:65" ht="19.95" customHeight="1" x14ac:dyDescent="0.3">
      <c r="A202" s="3" t="s">
        <v>16</v>
      </c>
      <c r="B202" s="3">
        <v>7</v>
      </c>
      <c r="C202" s="8">
        <v>44411</v>
      </c>
      <c r="D202" s="9">
        <v>0.28263888888888888</v>
      </c>
      <c r="E202" s="4">
        <v>64</v>
      </c>
      <c r="F202" s="3">
        <v>0</v>
      </c>
      <c r="G202" s="3">
        <v>0</v>
      </c>
      <c r="H202" s="3">
        <v>0</v>
      </c>
      <c r="I202" s="3">
        <v>0</v>
      </c>
      <c r="J202" s="9">
        <v>0.27569444444444446</v>
      </c>
      <c r="K202" s="3">
        <v>139.6</v>
      </c>
      <c r="L202" s="11">
        <f t="shared" ref="L202" si="372">K202-K201</f>
        <v>-1.4000000000000057</v>
      </c>
      <c r="M202" s="5">
        <f t="shared" ref="M202" si="373">AB201</f>
        <v>1829</v>
      </c>
      <c r="N202" s="11">
        <v>30.6</v>
      </c>
      <c r="O202" s="11">
        <v>32</v>
      </c>
      <c r="P202" s="11">
        <v>10.75</v>
      </c>
      <c r="Q202" s="11">
        <v>10.75</v>
      </c>
      <c r="R202" s="11">
        <v>20.125</v>
      </c>
      <c r="S202" s="11">
        <v>20.375</v>
      </c>
      <c r="T202" s="11">
        <v>15</v>
      </c>
      <c r="U202" s="11">
        <v>13</v>
      </c>
      <c r="V202" s="11">
        <v>17</v>
      </c>
      <c r="W202" s="11">
        <v>17</v>
      </c>
      <c r="X202" s="11">
        <v>7</v>
      </c>
      <c r="Y202" s="11">
        <v>7</v>
      </c>
      <c r="Z202" s="3" t="s">
        <v>1085</v>
      </c>
      <c r="AA202" s="10" t="s">
        <v>1094</v>
      </c>
      <c r="AB202" s="5">
        <f>577.5+660+180+230+537.5+360</f>
        <v>2545</v>
      </c>
      <c r="AC202" s="6">
        <f>30+27.75+3.5+13+0.13+13.5</f>
        <v>87.88</v>
      </c>
      <c r="AD202" s="6">
        <f>16.5+12.75+2+1.5+0+3</f>
        <v>35.75</v>
      </c>
      <c r="AE202" s="6">
        <f>11.75+9.75+3+3+0.5+6</f>
        <v>34</v>
      </c>
      <c r="AF202" s="6">
        <f>65.25+95.25+34+25+134.75+51</f>
        <v>405.25</v>
      </c>
      <c r="AG202" s="6">
        <f>3.75+1.5+0+2+3.25+3</f>
        <v>13.5</v>
      </c>
      <c r="AH202" s="6">
        <f>1060+855+100+180+25+600</f>
        <v>2820</v>
      </c>
      <c r="AI202" s="6">
        <f t="shared" si="218"/>
        <v>3.4530451866404716E-2</v>
      </c>
      <c r="AJ202" s="6">
        <f t="shared" si="219"/>
        <v>1.4047151277013753E-2</v>
      </c>
      <c r="AK202" s="6">
        <f t="shared" si="220"/>
        <v>1.3359528487229863E-2</v>
      </c>
      <c r="AL202" s="6">
        <f t="shared" si="221"/>
        <v>0.15923379174852653</v>
      </c>
      <c r="AM202" s="6">
        <f t="shared" si="222"/>
        <v>5.3045186640471509E-3</v>
      </c>
      <c r="AN202" s="6">
        <f t="shared" si="223"/>
        <v>1.1080550098231827</v>
      </c>
      <c r="AO202" s="7">
        <v>5</v>
      </c>
      <c r="AP202" s="7">
        <v>1</v>
      </c>
      <c r="AQ202" s="7">
        <v>0</v>
      </c>
      <c r="AR202" s="10">
        <v>0</v>
      </c>
      <c r="AS202" s="7">
        <v>0</v>
      </c>
      <c r="AT202" s="7">
        <v>0</v>
      </c>
      <c r="AU202" s="7">
        <v>0</v>
      </c>
      <c r="AV202" s="7">
        <v>0</v>
      </c>
      <c r="AW202" s="7">
        <v>31</v>
      </c>
      <c r="AX202" s="7">
        <v>1</v>
      </c>
      <c r="AY202" s="5">
        <v>6</v>
      </c>
      <c r="AZ202" s="7">
        <v>0</v>
      </c>
      <c r="BA202" s="7">
        <v>0</v>
      </c>
      <c r="BB202" s="7">
        <v>0</v>
      </c>
      <c r="BC202" s="7">
        <v>1</v>
      </c>
      <c r="BD202" s="7">
        <v>1</v>
      </c>
      <c r="BE202" s="7">
        <v>0</v>
      </c>
      <c r="BF202" s="7">
        <v>0</v>
      </c>
      <c r="BG202" s="7">
        <v>0</v>
      </c>
      <c r="BH202" s="7">
        <v>0</v>
      </c>
      <c r="BI202" s="7">
        <v>0</v>
      </c>
      <c r="BJ202" s="7">
        <v>1</v>
      </c>
      <c r="BK202" s="11">
        <v>2</v>
      </c>
      <c r="BL202" s="7" t="s">
        <v>1050</v>
      </c>
      <c r="BM202" s="3">
        <v>0</v>
      </c>
    </row>
    <row r="203" spans="1:65" ht="19.95" customHeight="1" x14ac:dyDescent="0.3">
      <c r="A203" s="3" t="s">
        <v>17</v>
      </c>
      <c r="B203" s="3">
        <v>8</v>
      </c>
      <c r="C203" s="8">
        <v>44412</v>
      </c>
      <c r="D203" s="9">
        <v>0.39583333333333331</v>
      </c>
      <c r="E203" s="4">
        <v>85</v>
      </c>
      <c r="F203" s="3">
        <v>0</v>
      </c>
      <c r="G203" s="3">
        <v>0</v>
      </c>
      <c r="H203" s="3">
        <v>0</v>
      </c>
      <c r="I203" s="3">
        <v>1</v>
      </c>
      <c r="J203" s="9">
        <v>0.34097222222222223</v>
      </c>
      <c r="K203" s="3">
        <v>142.80000000000001</v>
      </c>
      <c r="L203" s="11">
        <f t="shared" ref="L203" si="374">K203-K202</f>
        <v>3.2000000000000171</v>
      </c>
      <c r="M203" s="5">
        <f t="shared" ref="M203" si="375">AB202</f>
        <v>2545</v>
      </c>
      <c r="N203" s="11">
        <v>30.625</v>
      </c>
      <c r="O203" s="11">
        <v>32.5</v>
      </c>
      <c r="P203" s="11">
        <v>10.5</v>
      </c>
      <c r="Q203" s="11">
        <v>10.625</v>
      </c>
      <c r="R203" s="11">
        <v>20</v>
      </c>
      <c r="S203" s="11">
        <v>19.875</v>
      </c>
      <c r="T203" s="11">
        <v>14</v>
      </c>
      <c r="U203" s="11">
        <v>13</v>
      </c>
      <c r="V203" s="11">
        <v>18</v>
      </c>
      <c r="W203" s="11">
        <v>16</v>
      </c>
      <c r="X203" s="11">
        <v>7</v>
      </c>
      <c r="Y203" s="11">
        <v>7</v>
      </c>
      <c r="Z203" s="3" t="s">
        <v>1102</v>
      </c>
      <c r="AA203" s="10" t="s">
        <v>1101</v>
      </c>
      <c r="AB203" s="5">
        <f>1039+35+306+1160+240+420+360+1095</f>
        <v>4655</v>
      </c>
      <c r="AC203" s="6">
        <f>42.5+0.75+13.1+44+9+26+0+57.33</f>
        <v>192.68</v>
      </c>
      <c r="AD203" s="6">
        <f>9.5+0+6.1+24+2+10+0+9.23</f>
        <v>60.83</v>
      </c>
      <c r="AE203" s="6">
        <f>18.9+1.5+12.3+48+4+14+0+33.28</f>
        <v>131.98000000000002</v>
      </c>
      <c r="AF203" s="6">
        <f>132.3+5+34.2+144+34+32+100+116.75</f>
        <v>598.25</v>
      </c>
      <c r="AG203" s="6">
        <f>0+0.5+1.8+16+2+1+0+25.13</f>
        <v>46.43</v>
      </c>
      <c r="AH203" s="6">
        <f>2457+180+648+2200+400+780+120+601.5</f>
        <v>7386.5</v>
      </c>
      <c r="AI203" s="6">
        <f t="shared" si="218"/>
        <v>4.1392051557465094E-2</v>
      </c>
      <c r="AJ203" s="6">
        <f t="shared" si="219"/>
        <v>1.306766917293233E-2</v>
      </c>
      <c r="AK203" s="6">
        <f t="shared" si="220"/>
        <v>2.8352309344790553E-2</v>
      </c>
      <c r="AL203" s="6">
        <f t="shared" si="221"/>
        <v>0.12851772287862515</v>
      </c>
      <c r="AM203" s="6">
        <f t="shared" si="222"/>
        <v>9.9742212674543505E-3</v>
      </c>
      <c r="AN203" s="6">
        <f t="shared" si="223"/>
        <v>1.5867883995703544</v>
      </c>
      <c r="AO203" s="7">
        <v>5</v>
      </c>
      <c r="AP203" s="7">
        <v>2</v>
      </c>
      <c r="AQ203" s="7">
        <v>0</v>
      </c>
      <c r="AR203" s="10" t="s">
        <v>1095</v>
      </c>
      <c r="AS203" s="7">
        <v>0</v>
      </c>
      <c r="AT203" s="7">
        <v>0</v>
      </c>
      <c r="AU203" s="7">
        <v>0</v>
      </c>
      <c r="AV203" s="7">
        <v>0</v>
      </c>
      <c r="AW203" s="7">
        <v>0</v>
      </c>
      <c r="AX203" s="7">
        <v>0</v>
      </c>
      <c r="AY203" s="5">
        <v>7.5</v>
      </c>
      <c r="AZ203" s="7">
        <v>0</v>
      </c>
      <c r="BA203" s="7">
        <v>0</v>
      </c>
      <c r="BB203" s="7">
        <v>0</v>
      </c>
      <c r="BC203" s="7">
        <v>1</v>
      </c>
      <c r="BD203" s="7">
        <v>1</v>
      </c>
      <c r="BE203" s="7">
        <v>0</v>
      </c>
      <c r="BF203" s="7">
        <v>0</v>
      </c>
      <c r="BG203" s="7">
        <v>0</v>
      </c>
      <c r="BH203" s="7">
        <v>0</v>
      </c>
      <c r="BI203" s="7">
        <v>0</v>
      </c>
      <c r="BJ203" s="7">
        <v>1</v>
      </c>
      <c r="BK203" s="11">
        <v>3</v>
      </c>
      <c r="BL203" s="7" t="s">
        <v>1050</v>
      </c>
      <c r="BM203" s="3">
        <v>0</v>
      </c>
    </row>
    <row r="204" spans="1:65" ht="19.95" customHeight="1" x14ac:dyDescent="0.3">
      <c r="A204" s="3" t="s">
        <v>18</v>
      </c>
      <c r="B204" s="3">
        <v>9</v>
      </c>
      <c r="C204" s="8">
        <v>44413</v>
      </c>
      <c r="D204" s="9">
        <v>0.32291666666666669</v>
      </c>
      <c r="E204" s="4">
        <v>70</v>
      </c>
      <c r="F204" s="3">
        <v>0</v>
      </c>
      <c r="G204" s="3">
        <v>0</v>
      </c>
      <c r="H204" s="3">
        <v>0</v>
      </c>
      <c r="I204" s="3">
        <v>0</v>
      </c>
      <c r="J204" s="9">
        <v>0.31875000000000003</v>
      </c>
      <c r="K204" s="3">
        <v>145.80000000000001</v>
      </c>
      <c r="L204" s="11">
        <f t="shared" ref="L204" si="376">K204-K203</f>
        <v>3</v>
      </c>
      <c r="M204" s="5">
        <f t="shared" ref="M204" si="377">AB203</f>
        <v>4655</v>
      </c>
      <c r="N204" s="11">
        <v>31.5</v>
      </c>
      <c r="O204" s="11">
        <v>32.5</v>
      </c>
      <c r="P204" s="11">
        <v>10.5</v>
      </c>
      <c r="Q204" s="11">
        <v>10.75</v>
      </c>
      <c r="R204" s="11">
        <v>19.875</v>
      </c>
      <c r="S204" s="11">
        <v>20.125</v>
      </c>
      <c r="T204" s="11">
        <v>17</v>
      </c>
      <c r="U204" s="11">
        <v>15</v>
      </c>
      <c r="V204" s="11">
        <v>17</v>
      </c>
      <c r="W204" s="11">
        <v>15</v>
      </c>
      <c r="X204" s="11">
        <v>7</v>
      </c>
      <c r="Y204" s="11">
        <v>7</v>
      </c>
      <c r="Z204" s="3" t="s">
        <v>1105</v>
      </c>
      <c r="AA204" s="10" t="s">
        <v>1104</v>
      </c>
      <c r="AB204" s="5">
        <f>420+918+1160+70+120+420+1160</f>
        <v>4268</v>
      </c>
      <c r="AC204" s="6">
        <f>26+39.3+44+5+4+26+44</f>
        <v>188.3</v>
      </c>
      <c r="AD204" s="6">
        <f>10+18.3+24+3.5+2+10+24</f>
        <v>91.8</v>
      </c>
      <c r="AE204" s="6">
        <f>14+36.9+48+1+9.33+14+48</f>
        <v>171.23000000000002</v>
      </c>
      <c r="AF204" s="6">
        <f>32+102.6+144+4+12.67+32+144</f>
        <v>471.27000000000004</v>
      </c>
      <c r="AG204" s="6">
        <f>1+5.4+16+0+0+1+16</f>
        <v>39.4</v>
      </c>
      <c r="AH204" s="6">
        <f>780+1944+2200+15+33.33+780+2200</f>
        <v>7952.33</v>
      </c>
      <c r="AI204" s="6">
        <f t="shared" si="218"/>
        <v>4.4119025304592316E-2</v>
      </c>
      <c r="AJ204" s="6">
        <f t="shared" si="219"/>
        <v>2.1508903467666353E-2</v>
      </c>
      <c r="AK204" s="6">
        <f t="shared" si="220"/>
        <v>4.0119493908153704E-2</v>
      </c>
      <c r="AL204" s="6">
        <f t="shared" si="221"/>
        <v>0.11041940018744144</v>
      </c>
      <c r="AM204" s="6">
        <f t="shared" si="222"/>
        <v>9.2314901593252112E-3</v>
      </c>
      <c r="AN204" s="6">
        <f t="shared" si="223"/>
        <v>1.8632450796626054</v>
      </c>
      <c r="AO204" s="7">
        <v>5</v>
      </c>
      <c r="AP204" s="7">
        <v>2</v>
      </c>
      <c r="AQ204" s="7">
        <v>0</v>
      </c>
      <c r="AR204" s="10">
        <v>0</v>
      </c>
      <c r="AS204" s="7">
        <v>0</v>
      </c>
      <c r="AT204" s="7">
        <v>0</v>
      </c>
      <c r="AU204" s="7">
        <v>0</v>
      </c>
      <c r="AV204" s="7">
        <v>0</v>
      </c>
      <c r="AW204" s="7">
        <v>31</v>
      </c>
      <c r="AX204" s="7">
        <v>1</v>
      </c>
      <c r="AY204" s="5">
        <f>5+1+0.5</f>
        <v>6.5</v>
      </c>
      <c r="AZ204" s="7">
        <v>0</v>
      </c>
      <c r="BA204" s="7">
        <v>0</v>
      </c>
      <c r="BB204" s="7">
        <v>0</v>
      </c>
      <c r="BC204" s="7">
        <v>1</v>
      </c>
      <c r="BD204" s="7">
        <v>1</v>
      </c>
      <c r="BE204" s="7">
        <v>0</v>
      </c>
      <c r="BF204" s="7">
        <v>2</v>
      </c>
      <c r="BG204" s="7">
        <f>60+45</f>
        <v>105</v>
      </c>
      <c r="BH204" s="7">
        <v>0</v>
      </c>
      <c r="BI204" s="7">
        <v>0</v>
      </c>
      <c r="BJ204" s="7">
        <v>1</v>
      </c>
      <c r="BK204" s="11">
        <v>2</v>
      </c>
      <c r="BL204" s="7" t="s">
        <v>1050</v>
      </c>
      <c r="BM204" s="7">
        <v>1</v>
      </c>
    </row>
    <row r="205" spans="1:65" ht="19.95" customHeight="1" x14ac:dyDescent="0.3">
      <c r="A205" s="3" t="s">
        <v>137</v>
      </c>
      <c r="B205" s="3">
        <v>10</v>
      </c>
      <c r="C205" s="8">
        <v>44414</v>
      </c>
      <c r="D205" s="9">
        <v>0.3125</v>
      </c>
      <c r="E205" s="4">
        <v>67</v>
      </c>
      <c r="F205" s="3">
        <v>0</v>
      </c>
      <c r="G205" s="3">
        <v>0</v>
      </c>
      <c r="H205" s="3">
        <v>0</v>
      </c>
      <c r="I205" s="3">
        <v>0</v>
      </c>
      <c r="J205" s="9">
        <v>0.31111111111111112</v>
      </c>
      <c r="K205" s="3">
        <v>146.4</v>
      </c>
      <c r="L205" s="11">
        <f t="shared" ref="L205" si="378">K205-K204</f>
        <v>0.59999999999999432</v>
      </c>
      <c r="M205" s="5">
        <f t="shared" ref="M205" si="379">AB204</f>
        <v>4268</v>
      </c>
      <c r="N205" s="11">
        <v>31.25</v>
      </c>
      <c r="O205" s="11">
        <v>32.5</v>
      </c>
      <c r="P205" s="11">
        <v>10.875</v>
      </c>
      <c r="Q205" s="11">
        <v>10.875</v>
      </c>
      <c r="R205" s="11">
        <v>20.125</v>
      </c>
      <c r="S205" s="11">
        <v>20.375</v>
      </c>
      <c r="T205" s="11">
        <v>15</v>
      </c>
      <c r="U205" s="11">
        <v>15</v>
      </c>
      <c r="V205" s="11">
        <v>17</v>
      </c>
      <c r="W205" s="11">
        <v>17</v>
      </c>
      <c r="X205" s="11">
        <v>7</v>
      </c>
      <c r="Y205" s="11">
        <v>7</v>
      </c>
      <c r="Z205" s="3" t="s">
        <v>1107</v>
      </c>
      <c r="AA205" s="10" t="s">
        <v>1112</v>
      </c>
      <c r="AB205" s="5">
        <f>1160+120+105+260+190+100+17+4+59+480+180+280</f>
        <v>2955</v>
      </c>
      <c r="AC205" s="6">
        <f>44+3+4.5+18+2+9+0.1+0.1+5.6+23+0+20</f>
        <v>129.29999999999998</v>
      </c>
      <c r="AD205" s="6">
        <f>24+0+0+5+0.5+4.5+0.1+0.1+0.8+4+0+6</f>
        <v>45</v>
      </c>
      <c r="AE205" s="6">
        <f>48+0+20+6+2+1.3+0.2+0.2+7+0+24</f>
        <v>108.7</v>
      </c>
      <c r="AF205" s="6">
        <f>144+20+15+5+36+4+3.3+0.8+2.6+63+50+0</f>
        <v>343.70000000000005</v>
      </c>
      <c r="AG205" s="6">
        <f>16+1+0+2+1+0+0+0.2+0.1+6+0+0</f>
        <v>26.3</v>
      </c>
      <c r="AH205" s="6">
        <f>2200+120+45+350+380+115+27+1+138+370+60+280</f>
        <v>4086</v>
      </c>
      <c r="AI205" s="6">
        <f t="shared" si="218"/>
        <v>4.3756345177664968E-2</v>
      </c>
      <c r="AJ205" s="6">
        <f t="shared" si="219"/>
        <v>1.5228426395939087E-2</v>
      </c>
      <c r="AK205" s="6">
        <f t="shared" si="220"/>
        <v>3.6785109983079524E-2</v>
      </c>
      <c r="AL205" s="6">
        <f t="shared" si="221"/>
        <v>0.1163113367174281</v>
      </c>
      <c r="AM205" s="6">
        <f t="shared" si="222"/>
        <v>8.9001692047377332E-3</v>
      </c>
      <c r="AN205" s="6">
        <f t="shared" si="223"/>
        <v>1.3827411167512691</v>
      </c>
      <c r="AO205" s="7">
        <v>5</v>
      </c>
      <c r="AP205" s="7">
        <v>1</v>
      </c>
      <c r="AQ205" s="7">
        <v>0</v>
      </c>
      <c r="AR205" s="10">
        <v>0</v>
      </c>
      <c r="AS205" s="7">
        <v>0</v>
      </c>
      <c r="AT205" s="7">
        <v>0</v>
      </c>
      <c r="AU205" s="7">
        <v>0</v>
      </c>
      <c r="AV205" s="7">
        <v>0</v>
      </c>
      <c r="AW205" s="7">
        <v>31</v>
      </c>
      <c r="AX205" s="7">
        <v>0</v>
      </c>
      <c r="AY205" s="5">
        <v>7</v>
      </c>
      <c r="AZ205" s="7">
        <v>0</v>
      </c>
      <c r="BA205" s="7">
        <v>0</v>
      </c>
      <c r="BB205" s="7">
        <v>0</v>
      </c>
      <c r="BC205" s="7">
        <v>1</v>
      </c>
      <c r="BD205" s="7">
        <v>1</v>
      </c>
      <c r="BE205" s="7">
        <v>0</v>
      </c>
      <c r="BF205" s="7">
        <v>0</v>
      </c>
      <c r="BG205" s="7">
        <v>0</v>
      </c>
      <c r="BH205" s="7">
        <v>0</v>
      </c>
      <c r="BI205" s="7">
        <v>0</v>
      </c>
      <c r="BJ205" s="7">
        <v>1</v>
      </c>
      <c r="BK205" s="11">
        <v>2</v>
      </c>
      <c r="BL205" s="7" t="s">
        <v>1050</v>
      </c>
      <c r="BM205" s="7">
        <v>1</v>
      </c>
    </row>
    <row r="206" spans="1:65" ht="30" customHeight="1" x14ac:dyDescent="0.3">
      <c r="A206" s="3" t="s">
        <v>19</v>
      </c>
      <c r="B206" s="3">
        <v>0</v>
      </c>
      <c r="C206" s="8">
        <v>44415</v>
      </c>
      <c r="D206" s="9">
        <v>0.27430555555555552</v>
      </c>
      <c r="E206" s="4">
        <v>63</v>
      </c>
      <c r="F206" s="3">
        <v>0</v>
      </c>
      <c r="G206" s="3">
        <v>0</v>
      </c>
      <c r="H206" s="3">
        <v>0</v>
      </c>
      <c r="I206" s="3">
        <v>0</v>
      </c>
      <c r="J206" s="9">
        <v>0.27430555555555552</v>
      </c>
      <c r="K206" s="3">
        <v>147.80000000000001</v>
      </c>
      <c r="L206" s="11">
        <f t="shared" ref="L206" si="380">K206-K205</f>
        <v>1.4000000000000057</v>
      </c>
      <c r="M206" s="5">
        <f t="shared" ref="M206" si="381">AB205</f>
        <v>2955</v>
      </c>
      <c r="N206" s="11">
        <v>31.25</v>
      </c>
      <c r="O206" s="11">
        <v>33</v>
      </c>
      <c r="P206" s="11">
        <v>11</v>
      </c>
      <c r="Q206" s="11">
        <v>10.875</v>
      </c>
      <c r="R206" s="11">
        <v>20.5</v>
      </c>
      <c r="S206" s="11">
        <v>20.5</v>
      </c>
      <c r="T206" s="11">
        <v>17</v>
      </c>
      <c r="U206" s="11">
        <v>17</v>
      </c>
      <c r="V206" s="11">
        <v>17</v>
      </c>
      <c r="W206" s="11">
        <v>17</v>
      </c>
      <c r="X206" s="11">
        <v>7</v>
      </c>
      <c r="Y206" s="11">
        <v>7</v>
      </c>
      <c r="Z206" s="3" t="s">
        <v>1113</v>
      </c>
      <c r="AA206" s="10" t="s">
        <v>1115</v>
      </c>
      <c r="AB206" s="5">
        <f>315+550+300+13.3+240+285+280</f>
        <v>1983.3</v>
      </c>
      <c r="AC206" s="6">
        <f>16.5+10+18+0+8+13.5+20</f>
        <v>86</v>
      </c>
      <c r="AD206" s="6">
        <f>13.5+0+12+0+4+9+6</f>
        <v>44.5</v>
      </c>
      <c r="AE206" s="6">
        <f>30+20+24+1.3+18.67+4.5+24</f>
        <v>122.47</v>
      </c>
      <c r="AF206" s="6">
        <f>10.5+95+6+2.67+25.3+37.5+0</f>
        <v>176.97</v>
      </c>
      <c r="AG206" s="6">
        <f>1.5+10+0+2+0+0+0</f>
        <v>13.5</v>
      </c>
      <c r="AH206" s="6">
        <f>675+675+840+13.3+66.67+120+280</f>
        <v>2669.9700000000003</v>
      </c>
      <c r="AI206" s="6">
        <f t="shared" si="218"/>
        <v>4.336207331215651E-2</v>
      </c>
      <c r="AJ206" s="6">
        <f t="shared" si="219"/>
        <v>2.2437351888267031E-2</v>
      </c>
      <c r="AK206" s="6">
        <f t="shared" si="220"/>
        <v>6.1750617657439624E-2</v>
      </c>
      <c r="AL206" s="6">
        <f t="shared" si="221"/>
        <v>8.9230071093631833E-2</v>
      </c>
      <c r="AM206" s="6">
        <f t="shared" si="222"/>
        <v>6.8068370896989866E-3</v>
      </c>
      <c r="AN206" s="6">
        <f t="shared" si="223"/>
        <v>1.3462259869913782</v>
      </c>
      <c r="AO206" s="7">
        <v>5</v>
      </c>
      <c r="AP206" s="7">
        <v>2</v>
      </c>
      <c r="AQ206" s="7">
        <v>1</v>
      </c>
      <c r="AR206" s="10">
        <v>0</v>
      </c>
      <c r="AS206" s="7">
        <v>0</v>
      </c>
      <c r="AT206" s="7">
        <v>0</v>
      </c>
      <c r="AU206" s="7">
        <v>0</v>
      </c>
      <c r="AV206" s="7">
        <v>0</v>
      </c>
      <c r="AW206" s="7">
        <v>31</v>
      </c>
      <c r="AX206" s="7">
        <v>1</v>
      </c>
      <c r="AY206" s="5">
        <v>7.25</v>
      </c>
      <c r="AZ206" s="7">
        <v>0</v>
      </c>
      <c r="BA206" s="7">
        <v>0</v>
      </c>
      <c r="BB206" s="7">
        <v>0</v>
      </c>
      <c r="BC206" s="7">
        <v>1</v>
      </c>
      <c r="BD206" s="7">
        <v>1</v>
      </c>
      <c r="BE206" s="7">
        <v>0</v>
      </c>
      <c r="BF206" s="7">
        <v>1</v>
      </c>
      <c r="BG206" s="7">
        <v>15</v>
      </c>
      <c r="BH206" s="7">
        <v>0</v>
      </c>
      <c r="BI206" s="7">
        <v>0</v>
      </c>
      <c r="BJ206" s="7">
        <v>1</v>
      </c>
      <c r="BK206" s="11">
        <v>2</v>
      </c>
      <c r="BL206" s="7" t="s">
        <v>1050</v>
      </c>
      <c r="BM206" s="3">
        <v>1</v>
      </c>
    </row>
    <row r="207" spans="1:65" ht="19.95" customHeight="1" x14ac:dyDescent="0.3">
      <c r="A207" s="3" t="s">
        <v>23</v>
      </c>
      <c r="B207" s="3">
        <v>1</v>
      </c>
      <c r="C207" s="8">
        <v>44416</v>
      </c>
      <c r="D207" s="9">
        <v>0.27291666666666664</v>
      </c>
      <c r="E207" s="4">
        <v>64</v>
      </c>
      <c r="F207" s="3">
        <v>0</v>
      </c>
      <c r="G207" s="3">
        <v>0</v>
      </c>
      <c r="H207" s="3">
        <v>0</v>
      </c>
      <c r="I207" s="3">
        <v>0</v>
      </c>
      <c r="J207" s="9">
        <v>0.28055555555555556</v>
      </c>
      <c r="K207" s="3">
        <v>145.80000000000001</v>
      </c>
      <c r="L207" s="11">
        <f t="shared" ref="L207" si="382">K207-K206</f>
        <v>-2</v>
      </c>
      <c r="M207" s="5">
        <f t="shared" ref="M207" si="383">AB206</f>
        <v>1983.3</v>
      </c>
      <c r="N207" s="11">
        <v>31.9375</v>
      </c>
      <c r="O207" s="11">
        <v>33.25</v>
      </c>
      <c r="P207" s="11">
        <v>10.75</v>
      </c>
      <c r="Q207" s="11">
        <v>10.75</v>
      </c>
      <c r="R207" s="11">
        <v>20</v>
      </c>
      <c r="S207" s="11">
        <v>20</v>
      </c>
      <c r="T207" s="11">
        <v>15</v>
      </c>
      <c r="U207" s="11">
        <v>15</v>
      </c>
      <c r="V207" s="11">
        <v>17</v>
      </c>
      <c r="W207" s="11">
        <v>15</v>
      </c>
      <c r="X207" s="11">
        <v>7</v>
      </c>
      <c r="Y207" s="11">
        <v>7</v>
      </c>
      <c r="Z207" s="3" t="s">
        <v>1119</v>
      </c>
      <c r="AA207" s="10" t="s">
        <v>1118</v>
      </c>
      <c r="AB207" s="5">
        <f>315+330+300+240+280+210+350</f>
        <v>2025</v>
      </c>
      <c r="AC207" s="6">
        <f>16.5+6+18+8+20+9+9</f>
        <v>86.5</v>
      </c>
      <c r="AD207" s="6">
        <f>13.5+0+12+4+6+0+9</f>
        <v>44.5</v>
      </c>
      <c r="AE207" s="6">
        <f>30+12+24+18.67+24+0+2</f>
        <v>110.67</v>
      </c>
      <c r="AF207" s="6">
        <f>10.5+57+6+25.33+0+30+65</f>
        <v>193.82999999999998</v>
      </c>
      <c r="AG207" s="6">
        <f>1.5+6+0+0+0+0+10</f>
        <v>17.5</v>
      </c>
      <c r="AH207" s="6">
        <f>675+405+840+66.67+280+90+71</f>
        <v>2427.67</v>
      </c>
      <c r="AI207" s="6">
        <f t="shared" si="218"/>
        <v>4.2716049382716052E-2</v>
      </c>
      <c r="AJ207" s="6">
        <f t="shared" si="219"/>
        <v>2.1975308641975309E-2</v>
      </c>
      <c r="AK207" s="6">
        <f t="shared" si="220"/>
        <v>5.4651851851851854E-2</v>
      </c>
      <c r="AL207" s="6">
        <f t="shared" si="221"/>
        <v>9.5718518518518508E-2</v>
      </c>
      <c r="AM207" s="6">
        <f t="shared" si="222"/>
        <v>8.6419753086419745E-3</v>
      </c>
      <c r="AN207" s="6">
        <f t="shared" si="223"/>
        <v>1.1988493827160493</v>
      </c>
      <c r="AO207" s="7">
        <v>5</v>
      </c>
      <c r="AP207" s="7">
        <v>1</v>
      </c>
      <c r="AQ207" s="7">
        <v>1</v>
      </c>
      <c r="AR207" s="10">
        <v>0</v>
      </c>
      <c r="AS207" s="7">
        <v>0</v>
      </c>
      <c r="AT207" s="7">
        <v>0</v>
      </c>
      <c r="AU207" s="7">
        <v>0</v>
      </c>
      <c r="AV207" s="7">
        <v>0</v>
      </c>
      <c r="AW207" s="7">
        <v>31</v>
      </c>
      <c r="AX207" s="7">
        <v>1</v>
      </c>
      <c r="AY207" s="5">
        <v>7.5</v>
      </c>
      <c r="AZ207" s="7">
        <v>0</v>
      </c>
      <c r="BA207" s="7">
        <v>1</v>
      </c>
      <c r="BB207" s="7">
        <v>0</v>
      </c>
      <c r="BC207" s="7">
        <v>1</v>
      </c>
      <c r="BD207" s="7">
        <v>1</v>
      </c>
      <c r="BE207" s="7">
        <v>0</v>
      </c>
      <c r="BF207" s="7">
        <v>0</v>
      </c>
      <c r="BG207" s="7">
        <v>0</v>
      </c>
      <c r="BH207" s="7">
        <v>0</v>
      </c>
      <c r="BI207" s="7">
        <v>0</v>
      </c>
      <c r="BJ207" s="7">
        <v>1</v>
      </c>
      <c r="BK207" s="11">
        <v>0</v>
      </c>
      <c r="BL207" s="3">
        <v>0</v>
      </c>
      <c r="BM207" s="3">
        <v>1</v>
      </c>
    </row>
    <row r="208" spans="1:65" ht="19.95" customHeight="1" x14ac:dyDescent="0.3">
      <c r="A208" s="3" t="s">
        <v>15</v>
      </c>
      <c r="B208" s="3">
        <v>2</v>
      </c>
      <c r="C208" s="8">
        <v>44417</v>
      </c>
      <c r="D208" s="9">
        <v>0.37152777777777773</v>
      </c>
      <c r="E208" s="4">
        <v>70</v>
      </c>
      <c r="F208" s="3">
        <v>0</v>
      </c>
      <c r="G208" s="3">
        <v>0</v>
      </c>
      <c r="H208" s="3">
        <v>0</v>
      </c>
      <c r="I208" s="3">
        <v>0</v>
      </c>
      <c r="J208" s="9">
        <v>0.40277777777777773</v>
      </c>
      <c r="K208" s="3">
        <v>147.4</v>
      </c>
      <c r="L208" s="11">
        <f t="shared" ref="L208" si="384">K208-K207</f>
        <v>1.5999999999999943</v>
      </c>
      <c r="M208" s="5">
        <f t="shared" ref="M208" si="385">AB207</f>
        <v>2025</v>
      </c>
      <c r="N208" s="11">
        <v>31.5</v>
      </c>
      <c r="O208" s="11">
        <v>33</v>
      </c>
      <c r="P208" s="11">
        <v>10.75</v>
      </c>
      <c r="Q208" s="11">
        <v>10.75</v>
      </c>
      <c r="R208" s="11">
        <v>20</v>
      </c>
      <c r="S208" s="11">
        <v>20.5</v>
      </c>
      <c r="T208" s="11">
        <v>15</v>
      </c>
      <c r="U208" s="11">
        <v>14</v>
      </c>
      <c r="V208" s="11">
        <v>17</v>
      </c>
      <c r="W208" s="11">
        <v>15</v>
      </c>
      <c r="X208" s="11">
        <v>7</v>
      </c>
      <c r="Y208" s="11">
        <v>7</v>
      </c>
      <c r="Z208" s="3" t="s">
        <v>1120</v>
      </c>
      <c r="AA208" s="10" t="s">
        <v>1124</v>
      </c>
      <c r="AB208" s="5">
        <f>240+220+100+481+589+402.5</f>
        <v>2032.5</v>
      </c>
      <c r="AC208" s="6">
        <f>8+4+6+16.2+21+11.25</f>
        <v>66.45</v>
      </c>
      <c r="AD208" s="6">
        <f>4+0+4+8.7+4.1+11.25</f>
        <v>32.049999999999997</v>
      </c>
      <c r="AE208" s="6">
        <f>18.67+8+8+26.5+18.2+2.5</f>
        <v>81.87</v>
      </c>
      <c r="AF208" s="6">
        <f>25.33+38+2+57.1+85.2+72.75</f>
        <v>280.38</v>
      </c>
      <c r="AG208" s="6">
        <f>0+4+0+5.2+11.95+10</f>
        <v>31.15</v>
      </c>
      <c r="AH208" s="6">
        <f>66.67+270+280+928+381+83.5+440</f>
        <v>2449.17</v>
      </c>
      <c r="AI208" s="6">
        <f t="shared" si="218"/>
        <v>3.2693726937269373E-2</v>
      </c>
      <c r="AJ208" s="6">
        <f t="shared" si="219"/>
        <v>1.5768757687576875E-2</v>
      </c>
      <c r="AK208" s="6">
        <f t="shared" si="220"/>
        <v>4.0280442804428045E-2</v>
      </c>
      <c r="AL208" s="6">
        <f t="shared" si="221"/>
        <v>0.13794833948339483</v>
      </c>
      <c r="AM208" s="6">
        <f t="shared" si="222"/>
        <v>1.5325953259532595E-2</v>
      </c>
      <c r="AN208" s="6">
        <f t="shared" si="223"/>
        <v>1.2050036900369003</v>
      </c>
      <c r="AO208" s="7">
        <v>5</v>
      </c>
      <c r="AP208" s="7">
        <v>1</v>
      </c>
      <c r="AQ208" s="7">
        <v>1</v>
      </c>
      <c r="AR208" s="10">
        <v>0</v>
      </c>
      <c r="AS208" s="7">
        <v>0</v>
      </c>
      <c r="AT208" s="7">
        <v>0</v>
      </c>
      <c r="AU208" s="7">
        <v>0</v>
      </c>
      <c r="AV208" s="7">
        <v>0</v>
      </c>
      <c r="AW208" s="7">
        <v>31</v>
      </c>
      <c r="AX208" s="7">
        <v>1</v>
      </c>
      <c r="AY208" s="5">
        <v>6.75</v>
      </c>
      <c r="AZ208" s="7">
        <v>0</v>
      </c>
      <c r="BA208" s="7">
        <v>1</v>
      </c>
      <c r="BB208" s="7">
        <v>0</v>
      </c>
      <c r="BC208" s="7">
        <v>1</v>
      </c>
      <c r="BD208" s="7">
        <v>1</v>
      </c>
      <c r="BE208" s="7">
        <v>0</v>
      </c>
      <c r="BF208" s="7">
        <v>1</v>
      </c>
      <c r="BG208" s="7">
        <v>20</v>
      </c>
      <c r="BH208" s="7">
        <v>0</v>
      </c>
      <c r="BI208" s="7">
        <v>0</v>
      </c>
      <c r="BJ208" s="7">
        <v>1</v>
      </c>
      <c r="BK208" s="11">
        <v>0</v>
      </c>
      <c r="BL208" s="7">
        <v>0</v>
      </c>
      <c r="BM208" s="7">
        <v>1</v>
      </c>
    </row>
    <row r="209" spans="1:65" ht="19.95" customHeight="1" x14ac:dyDescent="0.3">
      <c r="A209" s="3" t="s">
        <v>16</v>
      </c>
      <c r="B209" s="3">
        <v>3</v>
      </c>
      <c r="C209" s="8">
        <v>44418</v>
      </c>
      <c r="D209" s="9">
        <v>0.29930555555555555</v>
      </c>
      <c r="E209" s="4">
        <v>69</v>
      </c>
      <c r="F209" s="3">
        <v>0</v>
      </c>
      <c r="G209" s="3">
        <v>0</v>
      </c>
      <c r="H209" s="3">
        <v>0</v>
      </c>
      <c r="I209" s="3">
        <v>0</v>
      </c>
      <c r="J209" s="9">
        <v>0.80555555555555547</v>
      </c>
      <c r="K209" s="3">
        <v>148.6</v>
      </c>
      <c r="L209" s="11">
        <f t="shared" ref="L209" si="386">K209-K208</f>
        <v>1.1999999999999886</v>
      </c>
      <c r="M209" s="5">
        <f t="shared" ref="M209" si="387">AB208</f>
        <v>2032.5</v>
      </c>
      <c r="N209" s="11">
        <v>31.625</v>
      </c>
      <c r="O209" s="11">
        <v>32.75</v>
      </c>
      <c r="P209" s="11">
        <v>10.625</v>
      </c>
      <c r="Q209" s="11">
        <v>10.625</v>
      </c>
      <c r="R209" s="11">
        <v>20.25</v>
      </c>
      <c r="S209" s="11">
        <v>20.375</v>
      </c>
      <c r="T209" s="11">
        <v>15</v>
      </c>
      <c r="U209" s="11">
        <v>15</v>
      </c>
      <c r="V209" s="11">
        <v>17</v>
      </c>
      <c r="W209" s="11">
        <v>15</v>
      </c>
      <c r="X209" s="11">
        <v>7</v>
      </c>
      <c r="Y209" s="11">
        <v>7</v>
      </c>
      <c r="Z209" s="3" t="s">
        <v>1127</v>
      </c>
      <c r="AA209" s="10" t="s">
        <v>1128</v>
      </c>
      <c r="AB209" s="5">
        <f>240+150+180+200+17.33+250+120+275+40.5+25+102</f>
        <v>1599.83</v>
      </c>
      <c r="AC209" s="6">
        <f>8+1.5+12+12+0+7+3+22.5+0+0+0.3</f>
        <v>66.3</v>
      </c>
      <c r="AD209" s="6">
        <f>4+0+7.5+8+0+4.5+0+12.5+0+0+0</f>
        <v>36.5</v>
      </c>
      <c r="AE209" s="6">
        <f>18.67+3+15+16+0.5+10+2+17.5+1+0+0.8</f>
        <v>84.47</v>
      </c>
      <c r="AF209" s="6">
        <f>25.33+31.5+3+4+3.83+35+20+0+10.5+6+24</f>
        <v>163.16</v>
      </c>
      <c r="AG209" s="6">
        <f>0+3+0+0+1+0+1+0+2+1+5</f>
        <v>13</v>
      </c>
      <c r="AH209" s="6">
        <f>66.67+30+420+560+1.17+150+120+425+1+0+2</f>
        <v>1775.8400000000001</v>
      </c>
      <c r="AI209" s="6">
        <f t="shared" si="218"/>
        <v>4.1441903202215233E-2</v>
      </c>
      <c r="AJ209" s="6">
        <f t="shared" si="219"/>
        <v>2.2814924085684106E-2</v>
      </c>
      <c r="AK209" s="6">
        <f t="shared" si="220"/>
        <v>5.2799359931992779E-2</v>
      </c>
      <c r="AL209" s="6">
        <f t="shared" si="221"/>
        <v>0.10198583599507448</v>
      </c>
      <c r="AM209" s="6">
        <f t="shared" si="222"/>
        <v>8.1258633729833791E-3</v>
      </c>
      <c r="AN209" s="6">
        <f t="shared" si="223"/>
        <v>1.1100179394060621</v>
      </c>
      <c r="AO209" s="7">
        <v>5</v>
      </c>
      <c r="AP209" s="7">
        <v>1</v>
      </c>
      <c r="AQ209" s="7">
        <v>1</v>
      </c>
      <c r="AR209" s="10">
        <v>0</v>
      </c>
      <c r="AS209" s="7">
        <v>0</v>
      </c>
      <c r="AT209" s="7">
        <v>0</v>
      </c>
      <c r="AU209" s="7">
        <v>0</v>
      </c>
      <c r="AV209" s="7">
        <v>0</v>
      </c>
      <c r="AW209" s="7">
        <v>31</v>
      </c>
      <c r="AX209" s="7">
        <v>1</v>
      </c>
      <c r="AY209" s="5">
        <v>6.5</v>
      </c>
      <c r="AZ209" s="7">
        <v>0</v>
      </c>
      <c r="BA209" s="7">
        <v>0</v>
      </c>
      <c r="BB209" s="7">
        <v>0</v>
      </c>
      <c r="BC209" s="7">
        <v>1</v>
      </c>
      <c r="BD209" s="7">
        <v>1</v>
      </c>
      <c r="BE209" s="7">
        <v>0</v>
      </c>
      <c r="BF209" s="7">
        <v>0</v>
      </c>
      <c r="BG209" s="7">
        <v>0</v>
      </c>
      <c r="BH209" s="7">
        <v>0</v>
      </c>
      <c r="BI209" s="7">
        <v>0</v>
      </c>
      <c r="BJ209" s="7">
        <v>1</v>
      </c>
      <c r="BK209" s="11">
        <v>2</v>
      </c>
      <c r="BL209" s="7" t="s">
        <v>1129</v>
      </c>
      <c r="BM209" s="7">
        <v>1</v>
      </c>
    </row>
    <row r="210" spans="1:65" ht="19.95" customHeight="1" x14ac:dyDescent="0.3">
      <c r="A210" s="3" t="s">
        <v>17</v>
      </c>
      <c r="B210" s="3">
        <v>4</v>
      </c>
      <c r="C210" s="8">
        <v>44419</v>
      </c>
      <c r="D210" s="9">
        <v>0.30833333333333335</v>
      </c>
      <c r="E210" s="4">
        <v>75</v>
      </c>
      <c r="F210" s="3">
        <v>0</v>
      </c>
      <c r="G210" s="3">
        <v>0</v>
      </c>
      <c r="H210" s="3">
        <v>0</v>
      </c>
      <c r="I210" s="3">
        <v>0</v>
      </c>
      <c r="J210" s="9">
        <v>0.30902777777777779</v>
      </c>
      <c r="K210" s="3">
        <v>147.6</v>
      </c>
      <c r="L210" s="11">
        <f t="shared" ref="L210" si="388">K210-K209</f>
        <v>-1</v>
      </c>
      <c r="M210" s="5">
        <f t="shared" ref="M210" si="389">AB209</f>
        <v>1599.83</v>
      </c>
      <c r="N210" s="11">
        <v>30.9375</v>
      </c>
      <c r="O210" s="11">
        <v>32.75</v>
      </c>
      <c r="P210" s="11">
        <v>10.3125</v>
      </c>
      <c r="Q210" s="11">
        <v>10.3125</v>
      </c>
      <c r="R210" s="11">
        <v>20.5</v>
      </c>
      <c r="S210" s="11">
        <v>20.5</v>
      </c>
      <c r="T210" s="11">
        <v>15</v>
      </c>
      <c r="U210" s="11">
        <v>13</v>
      </c>
      <c r="V210" s="11">
        <v>17</v>
      </c>
      <c r="W210" s="11">
        <v>15</v>
      </c>
      <c r="X210" s="11">
        <v>7</v>
      </c>
      <c r="Y210" s="11">
        <v>7</v>
      </c>
      <c r="Z210" s="3" t="s">
        <v>1134</v>
      </c>
      <c r="AA210" s="10" t="s">
        <v>1133</v>
      </c>
      <c r="AB210" s="5">
        <f>250+300+614.5+210+170+140</f>
        <v>1684.5</v>
      </c>
      <c r="AC210" s="6">
        <f>2.5+18+36+11+8+7</f>
        <v>82.5</v>
      </c>
      <c r="AD210" s="6">
        <f>0+12+10+7+5+1</f>
        <v>35</v>
      </c>
      <c r="AE210" s="6">
        <f>5+24+44.75+1+3+2</f>
        <v>79.75</v>
      </c>
      <c r="AF210" s="6">
        <f>52.5+6+30.25+57+22+18</f>
        <v>185.75</v>
      </c>
      <c r="AG210" s="6">
        <f>5+0+12.5+0+0+2</f>
        <v>19.5</v>
      </c>
      <c r="AH210" s="6">
        <f>50+840+734.25+370+65+90</f>
        <v>2149.25</v>
      </c>
      <c r="AI210" s="6">
        <f t="shared" si="218"/>
        <v>4.8975957257346395E-2</v>
      </c>
      <c r="AJ210" s="6">
        <f t="shared" si="219"/>
        <v>2.0777678836449986E-2</v>
      </c>
      <c r="AK210" s="6">
        <f t="shared" si="220"/>
        <v>4.7343425348768182E-2</v>
      </c>
      <c r="AL210" s="6">
        <f t="shared" si="221"/>
        <v>0.11027010982487385</v>
      </c>
      <c r="AM210" s="6">
        <f t="shared" si="222"/>
        <v>1.1576135351736421E-2</v>
      </c>
      <c r="AN210" s="6">
        <f t="shared" si="223"/>
        <v>1.275897892549718</v>
      </c>
      <c r="AO210" s="7">
        <v>5</v>
      </c>
      <c r="AP210" s="7">
        <v>2</v>
      </c>
      <c r="AQ210" s="7">
        <v>1</v>
      </c>
      <c r="AR210" s="10">
        <v>0</v>
      </c>
      <c r="AS210" s="7">
        <v>0</v>
      </c>
      <c r="AT210" s="7">
        <v>0</v>
      </c>
      <c r="AU210" s="7">
        <v>0</v>
      </c>
      <c r="AV210" s="7">
        <v>0</v>
      </c>
      <c r="AW210" s="7">
        <v>31</v>
      </c>
      <c r="AX210" s="7">
        <v>1</v>
      </c>
      <c r="AY210" s="5">
        <v>6</v>
      </c>
      <c r="AZ210" s="7">
        <v>0</v>
      </c>
      <c r="BA210" s="7">
        <v>0</v>
      </c>
      <c r="BB210" s="7">
        <v>0</v>
      </c>
      <c r="BC210" s="7">
        <v>1</v>
      </c>
      <c r="BD210" s="7">
        <v>1</v>
      </c>
      <c r="BE210" s="7">
        <v>0</v>
      </c>
      <c r="BF210" s="7">
        <v>0</v>
      </c>
      <c r="BG210" s="7">
        <v>0</v>
      </c>
      <c r="BH210" s="7">
        <v>0</v>
      </c>
      <c r="BI210" s="7">
        <v>0</v>
      </c>
      <c r="BJ210" s="7">
        <v>1</v>
      </c>
      <c r="BK210" s="11">
        <v>2</v>
      </c>
      <c r="BL210" s="7" t="s">
        <v>1129</v>
      </c>
      <c r="BM210" s="7">
        <v>1</v>
      </c>
    </row>
    <row r="211" spans="1:65" ht="19.95" customHeight="1" x14ac:dyDescent="0.3">
      <c r="A211" s="3" t="s">
        <v>18</v>
      </c>
      <c r="B211" s="3">
        <v>5</v>
      </c>
      <c r="C211" s="8">
        <v>44420</v>
      </c>
      <c r="D211" s="9">
        <v>0.31319444444444444</v>
      </c>
      <c r="E211" s="4">
        <v>74</v>
      </c>
      <c r="F211" s="3">
        <v>0</v>
      </c>
      <c r="G211" s="3">
        <v>0</v>
      </c>
      <c r="H211" s="3">
        <v>0</v>
      </c>
      <c r="I211" s="3">
        <v>0</v>
      </c>
      <c r="J211" s="9">
        <v>0.31458333333333333</v>
      </c>
      <c r="K211" s="3">
        <v>148.19999999999999</v>
      </c>
      <c r="L211" s="11">
        <f t="shared" ref="L211" si="390">K211-K210</f>
        <v>0.59999999999999432</v>
      </c>
      <c r="M211" s="5">
        <f t="shared" ref="M211" si="391">AB210</f>
        <v>1684.5</v>
      </c>
      <c r="N211" s="11">
        <v>31.625</v>
      </c>
      <c r="O211" s="11">
        <v>32.9375</v>
      </c>
      <c r="P211" s="11">
        <v>10.625</v>
      </c>
      <c r="Q211" s="11">
        <v>10.625</v>
      </c>
      <c r="R211" s="11">
        <v>20</v>
      </c>
      <c r="S211" s="11">
        <v>20.5</v>
      </c>
      <c r="T211" s="11">
        <v>17</v>
      </c>
      <c r="U211" s="11">
        <v>15</v>
      </c>
      <c r="V211" s="11">
        <v>17</v>
      </c>
      <c r="W211" s="11">
        <v>15</v>
      </c>
      <c r="X211" s="11">
        <v>7</v>
      </c>
      <c r="Y211" s="11">
        <v>7</v>
      </c>
      <c r="Z211" s="3" t="s">
        <v>1141</v>
      </c>
      <c r="AA211" s="10" t="s">
        <v>1140</v>
      </c>
      <c r="AB211" s="5">
        <f>240+120+7.5+110+261.33+261.3+210+200</f>
        <v>1410.1299999999999</v>
      </c>
      <c r="AC211" s="6">
        <f>8+0+0.625+6+9+9+10.5+12</f>
        <v>55.125</v>
      </c>
      <c r="AD211" s="6">
        <f>4+0+0+3.5+4+4+0.75+8</f>
        <v>24.25</v>
      </c>
      <c r="AE211" s="6">
        <f>18.67+0+0.25+1+22+22+3+16</f>
        <v>82.92</v>
      </c>
      <c r="AF211" s="6">
        <f>25.33+32+0.25+14+21+21+24+4</f>
        <v>141.57999999999998</v>
      </c>
      <c r="AG211" s="6">
        <f>0+0+0.25+0+3.67+3.67+1.5+0</f>
        <v>9.09</v>
      </c>
      <c r="AH211" s="6">
        <f>66.67+0+42.5+25+452.67+452.67+120+560</f>
        <v>1719.51</v>
      </c>
      <c r="AI211" s="6">
        <f t="shared" si="218"/>
        <v>3.9092140440952258E-2</v>
      </c>
      <c r="AJ211" s="6">
        <f t="shared" si="219"/>
        <v>1.7196996021643395E-2</v>
      </c>
      <c r="AK211" s="6">
        <f t="shared" si="220"/>
        <v>5.8803089076893626E-2</v>
      </c>
      <c r="AL211" s="6">
        <f t="shared" si="221"/>
        <v>0.10040209058739265</v>
      </c>
      <c r="AM211" s="6">
        <f t="shared" si="222"/>
        <v>6.4462141788345761E-3</v>
      </c>
      <c r="AN211" s="6">
        <f t="shared" si="223"/>
        <v>1.2193982115124138</v>
      </c>
      <c r="AO211" s="7">
        <v>5</v>
      </c>
      <c r="AP211" s="7">
        <v>1</v>
      </c>
      <c r="AQ211" s="7">
        <v>1</v>
      </c>
      <c r="AR211" s="10">
        <v>0</v>
      </c>
      <c r="AS211" s="7">
        <v>0</v>
      </c>
      <c r="AT211" s="7">
        <v>0</v>
      </c>
      <c r="AU211" s="7">
        <v>0</v>
      </c>
      <c r="AV211" s="7">
        <v>0</v>
      </c>
      <c r="AW211" s="7">
        <v>31</v>
      </c>
      <c r="AX211" s="7">
        <v>1</v>
      </c>
      <c r="AY211" s="5">
        <v>6.5</v>
      </c>
      <c r="AZ211" s="7">
        <v>0</v>
      </c>
      <c r="BA211" s="7">
        <v>0</v>
      </c>
      <c r="BB211" s="7">
        <v>0</v>
      </c>
      <c r="BC211" s="7">
        <v>1</v>
      </c>
      <c r="BD211" s="7">
        <v>1</v>
      </c>
      <c r="BE211" s="7">
        <v>0</v>
      </c>
      <c r="BF211" s="7">
        <v>0</v>
      </c>
      <c r="BG211" s="7">
        <v>0</v>
      </c>
      <c r="BH211" s="7">
        <v>0</v>
      </c>
      <c r="BI211" s="7">
        <v>0</v>
      </c>
      <c r="BJ211" s="7">
        <v>1</v>
      </c>
      <c r="BK211" s="11">
        <v>4</v>
      </c>
      <c r="BL211" s="7" t="s">
        <v>1129</v>
      </c>
      <c r="BM211" s="7">
        <v>1</v>
      </c>
    </row>
    <row r="212" spans="1:65" ht="30" customHeight="1" x14ac:dyDescent="0.3">
      <c r="A212" s="3" t="s">
        <v>137</v>
      </c>
      <c r="B212" s="3">
        <v>6</v>
      </c>
      <c r="C212" s="8">
        <v>44421</v>
      </c>
      <c r="D212" s="9">
        <v>0.28680555555555554</v>
      </c>
      <c r="E212" s="4">
        <v>69</v>
      </c>
      <c r="F212" s="3">
        <v>0</v>
      </c>
      <c r="G212" s="3">
        <v>0</v>
      </c>
      <c r="H212" s="3">
        <v>0</v>
      </c>
      <c r="I212" s="3">
        <v>0</v>
      </c>
      <c r="J212" s="9">
        <v>0.30208333333333331</v>
      </c>
      <c r="K212" s="3">
        <v>147</v>
      </c>
      <c r="L212" s="11">
        <f t="shared" ref="L212" si="392">K212-K211</f>
        <v>-1.1999999999999886</v>
      </c>
      <c r="M212" s="5">
        <f t="shared" ref="M212" si="393">AB211</f>
        <v>1410.1299999999999</v>
      </c>
      <c r="N212" s="11">
        <v>31.75</v>
      </c>
      <c r="O212" s="11">
        <v>32.75</v>
      </c>
      <c r="P212" s="11">
        <v>10.75</v>
      </c>
      <c r="Q212" s="11">
        <v>10.75</v>
      </c>
      <c r="R212" s="11">
        <v>20</v>
      </c>
      <c r="S212" s="11">
        <v>20.25</v>
      </c>
      <c r="T212" s="11">
        <v>16</v>
      </c>
      <c r="U212" s="11">
        <v>16</v>
      </c>
      <c r="V212" s="11">
        <v>17</v>
      </c>
      <c r="W212" s="11">
        <v>15</v>
      </c>
      <c r="X212" s="11">
        <v>7</v>
      </c>
      <c r="Y212" s="11">
        <v>7</v>
      </c>
      <c r="Z212" s="3" t="s">
        <v>1146</v>
      </c>
      <c r="AA212" s="10" t="s">
        <v>1144</v>
      </c>
      <c r="AB212" s="5">
        <f>360+261.3+350+220+140+120+170</f>
        <v>1621.3</v>
      </c>
      <c r="AC212" s="6">
        <f>12+9+17.5+4+10+8+8</f>
        <v>68.5</v>
      </c>
      <c r="AD212" s="6">
        <f>6+4+2.5+0+3+5+5</f>
        <v>25.5</v>
      </c>
      <c r="AE212" s="6">
        <f>28+22+5+8+12+10+3</f>
        <v>88</v>
      </c>
      <c r="AF212" s="6">
        <f>38+21+45+38+0+2+22</f>
        <v>166</v>
      </c>
      <c r="AG212" s="6">
        <f>0+3.67+5+4+0+0+0</f>
        <v>12.67</v>
      </c>
      <c r="AH212" s="6">
        <f>100+452.67+225+270+140+280+65</f>
        <v>1532.67</v>
      </c>
      <c r="AI212" s="6">
        <f t="shared" si="218"/>
        <v>4.2250046259174737E-2</v>
      </c>
      <c r="AJ212" s="6">
        <f t="shared" si="219"/>
        <v>1.5728119410349718E-2</v>
      </c>
      <c r="AK212" s="6">
        <f t="shared" si="220"/>
        <v>5.427743169061864E-2</v>
      </c>
      <c r="AL212" s="6">
        <f t="shared" si="221"/>
        <v>0.10238697341639426</v>
      </c>
      <c r="AM212" s="6">
        <f t="shared" si="222"/>
        <v>7.8147165854561152E-3</v>
      </c>
      <c r="AN212" s="6">
        <f t="shared" si="223"/>
        <v>0.94533399124159634</v>
      </c>
      <c r="AO212" s="7">
        <v>4</v>
      </c>
      <c r="AP212" s="7">
        <v>2</v>
      </c>
      <c r="AQ212" s="7">
        <v>1</v>
      </c>
      <c r="AR212" s="10">
        <v>0</v>
      </c>
      <c r="AS212" s="7">
        <v>0</v>
      </c>
      <c r="AT212" s="7">
        <v>0</v>
      </c>
      <c r="AU212" s="7">
        <v>0</v>
      </c>
      <c r="AV212" s="7">
        <v>0</v>
      </c>
      <c r="AW212" s="7">
        <v>31</v>
      </c>
      <c r="AX212" s="7">
        <v>1</v>
      </c>
      <c r="AY212" s="5">
        <v>7</v>
      </c>
      <c r="AZ212" s="7">
        <v>0</v>
      </c>
      <c r="BA212" s="7">
        <v>0</v>
      </c>
      <c r="BB212" s="7">
        <v>0</v>
      </c>
      <c r="BC212" s="7">
        <v>1</v>
      </c>
      <c r="BD212" s="7">
        <v>1</v>
      </c>
      <c r="BE212" s="7">
        <v>0</v>
      </c>
      <c r="BF212" s="7">
        <v>0</v>
      </c>
      <c r="BG212" s="7">
        <v>0</v>
      </c>
      <c r="BH212" s="7">
        <v>0</v>
      </c>
      <c r="BI212" s="7">
        <v>0</v>
      </c>
      <c r="BJ212" s="7">
        <v>1</v>
      </c>
      <c r="BK212" s="11">
        <v>3</v>
      </c>
      <c r="BL212" s="7" t="s">
        <v>1129</v>
      </c>
      <c r="BM212" s="7">
        <v>1</v>
      </c>
    </row>
    <row r="213" spans="1:65" ht="30" customHeight="1" x14ac:dyDescent="0.3">
      <c r="A213" s="3" t="s">
        <v>1142</v>
      </c>
      <c r="B213" s="3">
        <v>7</v>
      </c>
      <c r="C213" s="8">
        <v>44422</v>
      </c>
      <c r="D213" s="9">
        <v>0.26041666666666669</v>
      </c>
      <c r="E213" s="4">
        <v>70</v>
      </c>
      <c r="F213" s="3">
        <v>0</v>
      </c>
      <c r="G213" s="3">
        <v>0</v>
      </c>
      <c r="H213" s="3">
        <v>0</v>
      </c>
      <c r="I213" s="3">
        <v>0</v>
      </c>
      <c r="J213" s="9">
        <v>0.2722222222222222</v>
      </c>
      <c r="K213" s="3">
        <v>147</v>
      </c>
      <c r="L213" s="11">
        <f t="shared" ref="L213" si="394">K213-K212</f>
        <v>0</v>
      </c>
      <c r="M213" s="5">
        <f t="shared" ref="M213" si="395">AB212</f>
        <v>1621.3</v>
      </c>
      <c r="N213" s="11">
        <v>31</v>
      </c>
      <c r="O213" s="11">
        <v>32.75</v>
      </c>
      <c r="P213" s="11">
        <v>10.875</v>
      </c>
      <c r="Q213" s="11">
        <v>10.75</v>
      </c>
      <c r="R213" s="11">
        <v>19.875</v>
      </c>
      <c r="S213" s="11">
        <v>20.375</v>
      </c>
      <c r="T213" s="11">
        <v>15</v>
      </c>
      <c r="U213" s="11">
        <v>14</v>
      </c>
      <c r="V213" s="11">
        <v>18</v>
      </c>
      <c r="W213" s="11">
        <v>16</v>
      </c>
      <c r="X213" s="11">
        <v>7</v>
      </c>
      <c r="Y213" s="11">
        <v>7</v>
      </c>
      <c r="Z213" s="3" t="s">
        <v>1145</v>
      </c>
      <c r="AA213" s="10" t="s">
        <v>1151</v>
      </c>
      <c r="AB213" s="5">
        <f>360+140+293.33+240+220</f>
        <v>1253.33</v>
      </c>
      <c r="AC213" s="6">
        <f>12+6+4.94+14+4</f>
        <v>40.94</v>
      </c>
      <c r="AD213" s="6">
        <f>6+0+2.67+8+0</f>
        <v>16.670000000000002</v>
      </c>
      <c r="AE213" s="6">
        <f>28+0+12.44+19+8</f>
        <v>67.44</v>
      </c>
      <c r="AF213" s="6">
        <f>38+20+49.78+9+38</f>
        <v>154.78</v>
      </c>
      <c r="AG213" s="6">
        <f>0+0+2.11+3+4</f>
        <v>9.11</v>
      </c>
      <c r="AH213" s="6">
        <f>100+60+672.22+370+270</f>
        <v>1472.22</v>
      </c>
      <c r="AI213" s="6">
        <f t="shared" si="218"/>
        <v>3.2664980491969392E-2</v>
      </c>
      <c r="AJ213" s="6">
        <f t="shared" si="219"/>
        <v>1.3300567288742791E-2</v>
      </c>
      <c r="AK213" s="6">
        <f t="shared" si="220"/>
        <v>5.3808653746419542E-2</v>
      </c>
      <c r="AL213" s="6">
        <f t="shared" si="221"/>
        <v>0.12349500929523749</v>
      </c>
      <c r="AM213" s="6">
        <f t="shared" si="222"/>
        <v>7.2686363527562576E-3</v>
      </c>
      <c r="AN213" s="6">
        <f t="shared" si="223"/>
        <v>1.1746467410817583</v>
      </c>
      <c r="AO213" s="7">
        <v>4</v>
      </c>
      <c r="AP213" s="7">
        <v>1</v>
      </c>
      <c r="AQ213" s="7">
        <v>1</v>
      </c>
      <c r="AR213" s="10">
        <v>0</v>
      </c>
      <c r="AS213" s="7">
        <v>0</v>
      </c>
      <c r="AT213" s="7">
        <v>0</v>
      </c>
      <c r="AU213" s="7">
        <v>0</v>
      </c>
      <c r="AV213" s="7">
        <v>0</v>
      </c>
      <c r="AW213" s="7">
        <v>31</v>
      </c>
      <c r="AX213" s="7">
        <v>1</v>
      </c>
      <c r="AY213" s="5">
        <v>7.5</v>
      </c>
      <c r="AZ213" s="7">
        <v>0</v>
      </c>
      <c r="BA213" s="7">
        <v>0</v>
      </c>
      <c r="BB213" s="7">
        <v>0</v>
      </c>
      <c r="BC213" s="7">
        <v>1</v>
      </c>
      <c r="BD213" s="7">
        <v>1</v>
      </c>
      <c r="BE213" s="7">
        <v>0</v>
      </c>
      <c r="BF213" s="7">
        <v>0</v>
      </c>
      <c r="BG213" s="7">
        <v>0</v>
      </c>
      <c r="BH213" s="7">
        <v>0</v>
      </c>
      <c r="BI213" s="7">
        <v>0</v>
      </c>
      <c r="BJ213" s="7">
        <v>1</v>
      </c>
      <c r="BK213" s="11">
        <v>5</v>
      </c>
      <c r="BL213" s="3" t="s">
        <v>1129</v>
      </c>
      <c r="BM213" s="7">
        <v>1</v>
      </c>
    </row>
    <row r="214" spans="1:65" ht="30" customHeight="1" x14ac:dyDescent="0.3">
      <c r="A214" s="3" t="s">
        <v>23</v>
      </c>
      <c r="B214" s="3">
        <v>8</v>
      </c>
      <c r="C214" s="8">
        <v>44423</v>
      </c>
      <c r="D214" s="9">
        <v>0.25347222222222221</v>
      </c>
      <c r="E214" s="4">
        <v>70</v>
      </c>
      <c r="F214" s="3">
        <v>0</v>
      </c>
      <c r="G214" s="3">
        <v>0</v>
      </c>
      <c r="H214" s="3">
        <v>0</v>
      </c>
      <c r="I214" s="3">
        <v>0</v>
      </c>
      <c r="J214" s="9">
        <v>0.26597222222222222</v>
      </c>
      <c r="K214" s="3">
        <v>146</v>
      </c>
      <c r="L214" s="11">
        <f t="shared" ref="L214" si="396">K214-K213</f>
        <v>-1</v>
      </c>
      <c r="M214" s="5">
        <f t="shared" ref="M214" si="397">AB213</f>
        <v>1253.33</v>
      </c>
      <c r="N214" s="11">
        <v>31.5</v>
      </c>
      <c r="O214" s="11">
        <v>32.875</v>
      </c>
      <c r="P214" s="11">
        <v>10.625</v>
      </c>
      <c r="Q214" s="11">
        <v>10.625</v>
      </c>
      <c r="R214" s="11">
        <v>19.75</v>
      </c>
      <c r="S214" s="11">
        <v>20.125</v>
      </c>
      <c r="T214" s="11">
        <v>17</v>
      </c>
      <c r="U214" s="11">
        <v>17</v>
      </c>
      <c r="V214" s="11">
        <v>17</v>
      </c>
      <c r="W214" s="11">
        <v>15</v>
      </c>
      <c r="X214" s="11">
        <v>7</v>
      </c>
      <c r="Y214" s="11">
        <v>7</v>
      </c>
      <c r="Z214" s="3" t="s">
        <v>1152</v>
      </c>
      <c r="AA214" s="10" t="s">
        <v>1153</v>
      </c>
      <c r="AB214" s="5">
        <f>180+480+554.5+51+440+120+140+170</f>
        <v>2135.5</v>
      </c>
      <c r="AC214" s="6">
        <f>6+28+11.2+5.1+8+8+6+8</f>
        <v>80.300000000000011</v>
      </c>
      <c r="AD214" s="6">
        <f>3+16+2.2+3.2+0+5+0+5</f>
        <v>34.4</v>
      </c>
      <c r="AE214" s="6">
        <f>14+38+17.8+1.1+16+10+0+3</f>
        <v>99.899999999999991</v>
      </c>
      <c r="AF214" s="6">
        <f>19+18+96.55+0.4+76+2+20+22</f>
        <v>253.95000000000002</v>
      </c>
      <c r="AG214" s="6">
        <f>0+6+8.35+0+8+0+0+0</f>
        <v>22.35</v>
      </c>
      <c r="AH214" s="6">
        <f>50+740+901+43+540+280+60+65</f>
        <v>2679</v>
      </c>
      <c r="AI214" s="6">
        <f t="shared" si="218"/>
        <v>3.7602435026925785E-2</v>
      </c>
      <c r="AJ214" s="6">
        <f t="shared" si="219"/>
        <v>1.6108639662842424E-2</v>
      </c>
      <c r="AK214" s="6">
        <f t="shared" si="220"/>
        <v>4.6780613439475531E-2</v>
      </c>
      <c r="AL214" s="6">
        <f t="shared" si="221"/>
        <v>0.11891828611566378</v>
      </c>
      <c r="AM214" s="6">
        <f t="shared" si="222"/>
        <v>1.0465933036759542E-2</v>
      </c>
      <c r="AN214" s="6">
        <f t="shared" si="223"/>
        <v>1.2545071411847342</v>
      </c>
      <c r="AO214" s="7">
        <v>4</v>
      </c>
      <c r="AP214" s="7">
        <v>1</v>
      </c>
      <c r="AQ214" s="7">
        <v>1</v>
      </c>
      <c r="AR214" s="10">
        <v>0</v>
      </c>
      <c r="AS214" s="7">
        <v>0</v>
      </c>
      <c r="AT214" s="7">
        <v>0</v>
      </c>
      <c r="AU214" s="7">
        <v>0</v>
      </c>
      <c r="AV214" s="7">
        <v>0</v>
      </c>
      <c r="AW214" s="7">
        <v>31</v>
      </c>
      <c r="AX214" s="7">
        <v>1</v>
      </c>
      <c r="AY214" s="5">
        <v>7</v>
      </c>
      <c r="AZ214" s="7">
        <v>0</v>
      </c>
      <c r="BA214" s="7">
        <v>0</v>
      </c>
      <c r="BB214" s="7">
        <v>0</v>
      </c>
      <c r="BC214" s="7">
        <v>1</v>
      </c>
      <c r="BD214" s="7">
        <v>1</v>
      </c>
      <c r="BE214" s="7">
        <v>0</v>
      </c>
      <c r="BF214" s="7">
        <v>0</v>
      </c>
      <c r="BG214" s="7">
        <v>0</v>
      </c>
      <c r="BH214" s="7">
        <v>0</v>
      </c>
      <c r="BI214" s="7">
        <v>0</v>
      </c>
      <c r="BJ214" s="7">
        <v>1</v>
      </c>
      <c r="BK214" s="11">
        <v>7</v>
      </c>
      <c r="BL214" s="7" t="s">
        <v>1129</v>
      </c>
      <c r="BM214" s="3">
        <v>1</v>
      </c>
    </row>
    <row r="215" spans="1:65" ht="30" customHeight="1" x14ac:dyDescent="0.3">
      <c r="A215" s="3" t="s">
        <v>15</v>
      </c>
      <c r="B215" s="3">
        <v>9</v>
      </c>
      <c r="C215" s="8">
        <v>44424</v>
      </c>
      <c r="D215" s="9">
        <v>0.36388888888888887</v>
      </c>
      <c r="E215" s="4">
        <v>76</v>
      </c>
      <c r="F215" s="3">
        <v>0</v>
      </c>
      <c r="G215" s="3">
        <v>0</v>
      </c>
      <c r="H215" s="3">
        <v>0</v>
      </c>
      <c r="I215" s="3">
        <v>0</v>
      </c>
      <c r="J215" s="9">
        <v>0.50624999999999998</v>
      </c>
      <c r="K215" s="3">
        <v>148.6</v>
      </c>
      <c r="L215" s="11">
        <f t="shared" ref="L215" si="398">K215-K214</f>
        <v>2.5999999999999943</v>
      </c>
      <c r="M215" s="5">
        <f t="shared" ref="M215" si="399">AB214</f>
        <v>2135.5</v>
      </c>
      <c r="N215" s="11">
        <v>31.625</v>
      </c>
      <c r="O215" s="11">
        <v>33.25</v>
      </c>
      <c r="P215" s="11">
        <v>10.625</v>
      </c>
      <c r="Q215" s="11">
        <v>10.75</v>
      </c>
      <c r="R215" s="11">
        <v>19.875</v>
      </c>
      <c r="S215" s="11">
        <v>20.25</v>
      </c>
      <c r="T215" s="11">
        <v>15</v>
      </c>
      <c r="U215" s="11">
        <v>17</v>
      </c>
      <c r="V215" s="11">
        <v>17</v>
      </c>
      <c r="W215" s="11">
        <v>15</v>
      </c>
      <c r="X215" s="11">
        <v>7</v>
      </c>
      <c r="Y215" s="11">
        <v>7</v>
      </c>
      <c r="Z215" s="3" t="s">
        <v>1154</v>
      </c>
      <c r="AA215" s="10" t="s">
        <v>1157</v>
      </c>
      <c r="AB215" s="5">
        <f>450+140+40+4+435+179+200+180+165</f>
        <v>1793</v>
      </c>
      <c r="AC215" s="6">
        <f>19+6+0+0.025+21.1+14.5+4.5+16+0.7</f>
        <v>81.825000000000003</v>
      </c>
      <c r="AD215" s="6">
        <f>2.5+0+0+0.025+2.8+10.2+2+3+0.1</f>
        <v>20.625</v>
      </c>
      <c r="AE215" s="6">
        <f>15+0+1+0.175+12+9.7+7+7+5.5</f>
        <v>57.375</v>
      </c>
      <c r="AF215" s="6">
        <f>59+20+8+0.95+49.5+10.8+40+3+33.4</f>
        <v>224.65</v>
      </c>
      <c r="AG215" s="6">
        <f>6+0+1+0.125+9.8+0+8+1+1.3</f>
        <v>27.225000000000001</v>
      </c>
      <c r="AH215" s="6">
        <f>405+60+140+0.5+595+759+680+70+322</f>
        <v>3031.5</v>
      </c>
      <c r="AI215" s="6">
        <f t="shared" ref="AI215:AI253" si="400">$AC215/$AB215</f>
        <v>4.5635805911879532E-2</v>
      </c>
      <c r="AJ215" s="6">
        <f t="shared" ref="AJ215:AJ253" si="401">$AD215/$AB215</f>
        <v>1.1503067484662576E-2</v>
      </c>
      <c r="AK215" s="6">
        <f t="shared" ref="AK215:AK253" si="402">$AE215/$AB215</f>
        <v>3.1999442275515898E-2</v>
      </c>
      <c r="AL215" s="6">
        <f t="shared" ref="AL215:AL253" si="403">$AF215/$AB215</f>
        <v>0.12529280535415505</v>
      </c>
      <c r="AM215" s="6">
        <f t="shared" ref="AM215:AM253" si="404">$AG215/$AB215</f>
        <v>1.5184049079754602E-2</v>
      </c>
      <c r="AN215" s="6">
        <f t="shared" ref="AN215:AN253" si="405">$AH215/$AB215</f>
        <v>1.6907417735638595</v>
      </c>
      <c r="AO215" s="7">
        <v>5</v>
      </c>
      <c r="AP215" s="7">
        <v>2</v>
      </c>
      <c r="AQ215" s="7">
        <v>0</v>
      </c>
      <c r="AR215" s="10">
        <v>0</v>
      </c>
      <c r="AS215" s="7">
        <v>0</v>
      </c>
      <c r="AT215" s="7">
        <v>0</v>
      </c>
      <c r="AU215" s="7">
        <v>0</v>
      </c>
      <c r="AV215" s="7">
        <v>0</v>
      </c>
      <c r="AW215" s="7">
        <v>0</v>
      </c>
      <c r="AX215" s="7">
        <v>0</v>
      </c>
      <c r="AY215" s="5">
        <v>6</v>
      </c>
      <c r="AZ215" s="7">
        <v>0</v>
      </c>
      <c r="BA215" s="7">
        <v>1</v>
      </c>
      <c r="BB215" s="7">
        <v>0</v>
      </c>
      <c r="BC215" s="7">
        <v>1</v>
      </c>
      <c r="BD215" s="7">
        <v>1</v>
      </c>
      <c r="BE215" s="7">
        <v>0</v>
      </c>
      <c r="BF215" s="7">
        <v>0</v>
      </c>
      <c r="BG215" s="7">
        <v>0</v>
      </c>
      <c r="BH215" s="7">
        <v>0</v>
      </c>
      <c r="BI215" s="7">
        <v>0</v>
      </c>
      <c r="BJ215" s="7">
        <v>1</v>
      </c>
      <c r="BK215" s="11">
        <v>0</v>
      </c>
      <c r="BL215" s="7">
        <v>0</v>
      </c>
      <c r="BM215" s="7">
        <v>1</v>
      </c>
    </row>
    <row r="216" spans="1:65" ht="30" customHeight="1" x14ac:dyDescent="0.3">
      <c r="A216" s="3" t="s">
        <v>16</v>
      </c>
      <c r="B216" s="3">
        <v>10</v>
      </c>
      <c r="C216" s="8">
        <v>44425</v>
      </c>
      <c r="D216" s="9">
        <v>0.36388888888888887</v>
      </c>
      <c r="E216" s="4">
        <v>74</v>
      </c>
      <c r="F216" s="3">
        <v>0</v>
      </c>
      <c r="G216" s="3">
        <v>0</v>
      </c>
      <c r="H216" s="3">
        <v>0</v>
      </c>
      <c r="I216" s="3">
        <v>0</v>
      </c>
      <c r="J216" s="9">
        <v>0.36319444444444443</v>
      </c>
      <c r="K216" s="3">
        <v>146.6</v>
      </c>
      <c r="L216" s="11">
        <f t="shared" ref="L216" si="406">K216-K215</f>
        <v>-2</v>
      </c>
      <c r="M216" s="5">
        <f t="shared" ref="M216" si="407">AB215</f>
        <v>1793</v>
      </c>
      <c r="N216" s="11">
        <v>31.625</v>
      </c>
      <c r="O216" s="11">
        <v>33.5</v>
      </c>
      <c r="P216" s="11">
        <v>10.5</v>
      </c>
      <c r="Q216" s="11">
        <v>10.625</v>
      </c>
      <c r="R216" s="11">
        <v>19.625</v>
      </c>
      <c r="S216" s="11">
        <v>20</v>
      </c>
      <c r="T216" s="11">
        <v>15</v>
      </c>
      <c r="U216" s="11">
        <v>12</v>
      </c>
      <c r="V216" s="11">
        <v>15</v>
      </c>
      <c r="W216" s="11">
        <v>13</v>
      </c>
      <c r="X216" s="11">
        <v>7</v>
      </c>
      <c r="Y216" s="11">
        <v>7</v>
      </c>
      <c r="Z216" s="3" t="s">
        <v>1159</v>
      </c>
      <c r="AA216" s="10" t="s">
        <v>1163</v>
      </c>
      <c r="AB216" s="5">
        <f>220+100+120+470+560+390+232</f>
        <v>2092</v>
      </c>
      <c r="AC216" s="6">
        <f>4+6+3+11+24+17+1.6</f>
        <v>66.599999999999994</v>
      </c>
      <c r="AD216" s="6">
        <f>0+4+0+9+4+4.5+0.4</f>
        <v>21.9</v>
      </c>
      <c r="AE216" s="6">
        <f>8+8+2+9+8+12+5.6</f>
        <v>52.6</v>
      </c>
      <c r="AF216" s="6">
        <f>38+2+20+84+72+49+59.2</f>
        <v>324.2</v>
      </c>
      <c r="AG216" s="6">
        <f>4+0+1+9+4+2+9.2</f>
        <v>29.2</v>
      </c>
      <c r="AH216" s="6">
        <f>270+280+120+760+680+800+0</f>
        <v>2910</v>
      </c>
      <c r="AI216" s="6">
        <f t="shared" si="400"/>
        <v>3.1835564053537282E-2</v>
      </c>
      <c r="AJ216" s="6">
        <f t="shared" si="401"/>
        <v>1.0468451242829828E-2</v>
      </c>
      <c r="AK216" s="6">
        <f t="shared" si="402"/>
        <v>2.5143403441682602E-2</v>
      </c>
      <c r="AL216" s="6">
        <f t="shared" si="403"/>
        <v>0.15497131931166347</v>
      </c>
      <c r="AM216" s="6">
        <f t="shared" si="404"/>
        <v>1.395793499043977E-2</v>
      </c>
      <c r="AN216" s="6">
        <f t="shared" si="405"/>
        <v>1.3910133843212238</v>
      </c>
      <c r="AO216" s="7">
        <v>4</v>
      </c>
      <c r="AP216" s="7">
        <v>1</v>
      </c>
      <c r="AQ216" s="7">
        <v>0</v>
      </c>
      <c r="AR216" s="10">
        <v>0</v>
      </c>
      <c r="AS216" s="7">
        <v>0</v>
      </c>
      <c r="AT216" s="7">
        <v>0</v>
      </c>
      <c r="AU216" s="7">
        <v>0</v>
      </c>
      <c r="AV216" s="7">
        <v>0</v>
      </c>
      <c r="AW216" s="7">
        <v>0</v>
      </c>
      <c r="AX216" s="7">
        <v>0</v>
      </c>
      <c r="AY216" s="5">
        <v>7</v>
      </c>
      <c r="AZ216" s="7">
        <v>0</v>
      </c>
      <c r="BA216" s="7">
        <v>1</v>
      </c>
      <c r="BB216" s="7">
        <v>0</v>
      </c>
      <c r="BC216" s="7">
        <v>1</v>
      </c>
      <c r="BD216" s="7">
        <v>1</v>
      </c>
      <c r="BE216" s="7">
        <v>0</v>
      </c>
      <c r="BF216" s="7">
        <v>1</v>
      </c>
      <c r="BG216" s="7">
        <v>30</v>
      </c>
      <c r="BH216" s="7">
        <v>0</v>
      </c>
      <c r="BI216" s="7">
        <v>0</v>
      </c>
      <c r="BJ216" s="7">
        <v>1</v>
      </c>
      <c r="BK216" s="11">
        <v>0</v>
      </c>
      <c r="BL216" s="7">
        <v>0</v>
      </c>
      <c r="BM216" s="7">
        <v>1</v>
      </c>
    </row>
    <row r="217" spans="1:65" ht="30" customHeight="1" x14ac:dyDescent="0.3">
      <c r="A217" s="3" t="s">
        <v>1164</v>
      </c>
      <c r="B217" s="3">
        <v>11</v>
      </c>
      <c r="C217" s="8">
        <v>44426</v>
      </c>
      <c r="D217" s="9">
        <v>0.31458333333333333</v>
      </c>
      <c r="E217" s="4">
        <v>70</v>
      </c>
      <c r="F217" s="3">
        <v>0</v>
      </c>
      <c r="G217" s="3">
        <v>0</v>
      </c>
      <c r="H217" s="3">
        <v>0</v>
      </c>
      <c r="I217" s="3">
        <v>0</v>
      </c>
      <c r="J217" s="9">
        <v>0.31527777777777777</v>
      </c>
      <c r="K217" s="3">
        <v>145.19999999999999</v>
      </c>
      <c r="L217" s="11">
        <f t="shared" ref="L217" si="408">K217-K216</f>
        <v>-1.4000000000000057</v>
      </c>
      <c r="M217" s="5">
        <f t="shared" ref="M217" si="409">AB216</f>
        <v>2092</v>
      </c>
      <c r="N217" s="11">
        <v>31.5</v>
      </c>
      <c r="O217" s="11">
        <v>32.625</v>
      </c>
      <c r="P217" s="11">
        <v>10.625</v>
      </c>
      <c r="Q217" s="11">
        <v>10.625</v>
      </c>
      <c r="R217" s="11">
        <v>19.625</v>
      </c>
      <c r="S217" s="11">
        <v>19.75</v>
      </c>
      <c r="T217" s="11">
        <v>15</v>
      </c>
      <c r="U217" s="11">
        <v>15</v>
      </c>
      <c r="V217" s="11">
        <v>15</v>
      </c>
      <c r="W217" s="11">
        <v>15</v>
      </c>
      <c r="X217" s="11">
        <v>7</v>
      </c>
      <c r="Y217" s="11">
        <v>7</v>
      </c>
      <c r="Z217" s="3" t="s">
        <v>1165</v>
      </c>
      <c r="AA217" s="10" t="s">
        <v>1174</v>
      </c>
      <c r="AB217" s="5">
        <f>220+110+110+723+160+280+268+26.3+120+500</f>
        <v>2517.3000000000002</v>
      </c>
      <c r="AC217" s="6">
        <f>4+6+6+33.7+14+0+7.8+0.4+14+7</f>
        <v>92.9</v>
      </c>
      <c r="AD217" s="6">
        <f>0+3.5+3.5+17.6+2.5+0+1.8+0.06+2+3</f>
        <v>33.96</v>
      </c>
      <c r="AE217" s="6">
        <f>8+1+1+39.7+5+0+14.2+5.06+0+14</f>
        <v>87.960000000000008</v>
      </c>
      <c r="AF217" s="6">
        <f>38+14+14+68.6+8+66+33.4+0.25+0+94</f>
        <v>336.25</v>
      </c>
      <c r="AG217" s="6">
        <f>4+0+0+6.1+1+2+1.2+0+0+6</f>
        <v>20.299999999999997</v>
      </c>
      <c r="AH217" s="6">
        <f>270+25+25+3591+0+380+386+36.9+0+620</f>
        <v>5333.9</v>
      </c>
      <c r="AI217" s="6">
        <f t="shared" si="400"/>
        <v>3.6904620029396575E-2</v>
      </c>
      <c r="AJ217" s="6">
        <f t="shared" si="401"/>
        <v>1.3490644738410201E-2</v>
      </c>
      <c r="AK217" s="6">
        <f t="shared" si="402"/>
        <v>3.4942199976164941E-2</v>
      </c>
      <c r="AL217" s="6">
        <f t="shared" si="403"/>
        <v>0.13357565645731537</v>
      </c>
      <c r="AM217" s="6">
        <f t="shared" si="404"/>
        <v>8.0641957653040941E-3</v>
      </c>
      <c r="AN217" s="6">
        <f t="shared" si="405"/>
        <v>2.11889723116037</v>
      </c>
      <c r="AO217" s="7">
        <v>4</v>
      </c>
      <c r="AP217" s="7">
        <v>1</v>
      </c>
      <c r="AQ217" s="7">
        <v>0</v>
      </c>
      <c r="AR217" s="10">
        <v>0</v>
      </c>
      <c r="AS217" s="7">
        <v>0</v>
      </c>
      <c r="AT217" s="7">
        <v>0</v>
      </c>
      <c r="AU217" s="7">
        <v>0</v>
      </c>
      <c r="AV217" s="7">
        <v>0</v>
      </c>
      <c r="AW217" s="7">
        <v>31</v>
      </c>
      <c r="AX217" s="7">
        <v>1</v>
      </c>
      <c r="AY217" s="5">
        <v>7</v>
      </c>
      <c r="AZ217" s="7">
        <v>0</v>
      </c>
      <c r="BA217" s="7">
        <v>1</v>
      </c>
      <c r="BB217" s="7">
        <v>0</v>
      </c>
      <c r="BC217" s="7">
        <v>1</v>
      </c>
      <c r="BD217" s="7">
        <v>1</v>
      </c>
      <c r="BE217" s="7">
        <v>0</v>
      </c>
      <c r="BF217" s="7">
        <v>0</v>
      </c>
      <c r="BG217" s="7">
        <v>0</v>
      </c>
      <c r="BH217" s="7">
        <v>0</v>
      </c>
      <c r="BI217" s="7">
        <v>0</v>
      </c>
      <c r="BJ217" s="7">
        <v>1</v>
      </c>
      <c r="BK217" s="11">
        <v>0</v>
      </c>
      <c r="BL217" s="7">
        <v>0</v>
      </c>
      <c r="BM217" s="7">
        <v>1</v>
      </c>
    </row>
    <row r="218" spans="1:65" ht="30" customHeight="1" x14ac:dyDescent="0.3">
      <c r="A218" s="3" t="s">
        <v>18</v>
      </c>
      <c r="B218" s="3">
        <v>0</v>
      </c>
      <c r="C218" s="8">
        <v>44427</v>
      </c>
      <c r="D218" s="9">
        <v>0.32013888888888892</v>
      </c>
      <c r="E218" s="4">
        <v>68</v>
      </c>
      <c r="F218" s="3">
        <v>0</v>
      </c>
      <c r="G218" s="3">
        <v>0</v>
      </c>
      <c r="H218" s="3">
        <v>0</v>
      </c>
      <c r="I218" s="3">
        <v>0</v>
      </c>
      <c r="J218" s="9">
        <v>0.32708333333333334</v>
      </c>
      <c r="K218" s="3">
        <v>143.4</v>
      </c>
      <c r="L218" s="11">
        <f t="shared" ref="L218" si="410">K218-K217</f>
        <v>-1.7999999999999829</v>
      </c>
      <c r="M218" s="5">
        <f t="shared" ref="M218" si="411">AB217</f>
        <v>2517.3000000000002</v>
      </c>
      <c r="N218" s="11">
        <v>31.25</v>
      </c>
      <c r="O218" s="11">
        <v>32.625</v>
      </c>
      <c r="P218" s="11">
        <v>10.625</v>
      </c>
      <c r="Q218" s="11">
        <v>10.5</v>
      </c>
      <c r="R218" s="11">
        <v>19.5</v>
      </c>
      <c r="S218" s="11">
        <v>19.75</v>
      </c>
      <c r="T218" s="11">
        <v>15</v>
      </c>
      <c r="U218" s="11">
        <v>13</v>
      </c>
      <c r="V218" s="11">
        <v>18</v>
      </c>
      <c r="W218" s="11">
        <v>15</v>
      </c>
      <c r="X218" s="11">
        <v>7</v>
      </c>
      <c r="Y218" s="11">
        <v>7</v>
      </c>
      <c r="Z218" s="3" t="s">
        <v>1175</v>
      </c>
      <c r="AA218" s="10" t="s">
        <v>1176</v>
      </c>
      <c r="AB218" s="5">
        <f>320+280+297+120+306+220+170+500</f>
        <v>2213</v>
      </c>
      <c r="AC218" s="6">
        <f>28+0+4.3+3+30.6+4+8+7</f>
        <v>84.9</v>
      </c>
      <c r="AD218" s="6">
        <f>5+0+2.7+0+19.2+0+5+3</f>
        <v>34.9</v>
      </c>
      <c r="AE218" s="6">
        <f>10+0+4+2+6.6+8+3+14</f>
        <v>47.6</v>
      </c>
      <c r="AF218" s="6">
        <f>16+66+60+20+2.4+38+22+94</f>
        <v>318.39999999999998</v>
      </c>
      <c r="AG218" s="6">
        <f>2+2+10+1+0+4+0+6</f>
        <v>25</v>
      </c>
      <c r="AH218" s="6">
        <f>0+380+86+120+258+270+65+620</f>
        <v>1799</v>
      </c>
      <c r="AI218" s="6">
        <f t="shared" si="400"/>
        <v>3.8364211477632179E-2</v>
      </c>
      <c r="AJ218" s="6">
        <f t="shared" si="401"/>
        <v>1.5770447356529597E-2</v>
      </c>
      <c r="AK218" s="6">
        <f t="shared" si="402"/>
        <v>2.1509263443289652E-2</v>
      </c>
      <c r="AL218" s="6">
        <f t="shared" si="403"/>
        <v>0.14387708992318118</v>
      </c>
      <c r="AM218" s="6">
        <f t="shared" si="404"/>
        <v>1.1296882060551287E-2</v>
      </c>
      <c r="AN218" s="6">
        <f t="shared" si="405"/>
        <v>0.81292363307727067</v>
      </c>
      <c r="AO218" s="7">
        <v>5</v>
      </c>
      <c r="AP218" s="7">
        <v>2</v>
      </c>
      <c r="AQ218" s="7">
        <v>1</v>
      </c>
      <c r="AR218" s="10">
        <v>0</v>
      </c>
      <c r="AS218" s="7">
        <v>0</v>
      </c>
      <c r="AT218" s="7">
        <v>0</v>
      </c>
      <c r="AU218" s="7">
        <v>0</v>
      </c>
      <c r="AV218" s="7">
        <v>0</v>
      </c>
      <c r="AW218" s="7">
        <v>31</v>
      </c>
      <c r="AX218" s="7">
        <v>1</v>
      </c>
      <c r="AY218" s="5">
        <v>7</v>
      </c>
      <c r="AZ218" s="7">
        <v>0</v>
      </c>
      <c r="BA218" s="7">
        <v>0</v>
      </c>
      <c r="BB218" s="7">
        <v>0</v>
      </c>
      <c r="BC218" s="7">
        <v>1</v>
      </c>
      <c r="BD218" s="7">
        <v>1</v>
      </c>
      <c r="BE218" s="7">
        <v>0</v>
      </c>
      <c r="BF218" s="7">
        <v>1</v>
      </c>
      <c r="BG218" s="7">
        <v>25</v>
      </c>
      <c r="BH218" s="7">
        <v>0</v>
      </c>
      <c r="BI218" s="7">
        <v>0</v>
      </c>
      <c r="BJ218" s="7">
        <v>1</v>
      </c>
      <c r="BK218" s="11">
        <v>1</v>
      </c>
      <c r="BL218" s="7" t="s">
        <v>1129</v>
      </c>
      <c r="BM218" s="7">
        <v>1</v>
      </c>
    </row>
    <row r="219" spans="1:65" ht="30" customHeight="1" x14ac:dyDescent="0.3">
      <c r="A219" s="3" t="s">
        <v>137</v>
      </c>
      <c r="B219" s="3">
        <v>1</v>
      </c>
      <c r="C219" s="8">
        <v>44428</v>
      </c>
      <c r="D219" s="9">
        <v>0.29236111111111113</v>
      </c>
      <c r="E219" s="4">
        <v>66</v>
      </c>
      <c r="F219" s="3">
        <v>0</v>
      </c>
      <c r="G219" s="3">
        <v>0</v>
      </c>
      <c r="H219" s="3">
        <v>0</v>
      </c>
      <c r="I219" s="3">
        <v>0</v>
      </c>
      <c r="J219" s="9">
        <v>0.29722222222222222</v>
      </c>
      <c r="K219" s="3">
        <v>142.80000000000001</v>
      </c>
      <c r="L219" s="11">
        <f t="shared" ref="L219" si="412">K219-K218</f>
        <v>-0.59999999999999432</v>
      </c>
      <c r="M219" s="5">
        <f t="shared" ref="M219" si="413">AB218</f>
        <v>2213</v>
      </c>
      <c r="N219" s="11">
        <v>30.375</v>
      </c>
      <c r="O219" s="11">
        <v>32.375</v>
      </c>
      <c r="P219" s="11">
        <v>10.625</v>
      </c>
      <c r="Q219" s="11">
        <v>10.75</v>
      </c>
      <c r="R219" s="11">
        <v>19.5</v>
      </c>
      <c r="S219" s="11">
        <v>19.75</v>
      </c>
      <c r="T219" s="11">
        <v>16</v>
      </c>
      <c r="U219" s="11">
        <v>16</v>
      </c>
      <c r="V219" s="11">
        <v>16</v>
      </c>
      <c r="W219" s="11">
        <v>15</v>
      </c>
      <c r="X219" s="11">
        <v>7</v>
      </c>
      <c r="Y219" s="11">
        <v>7</v>
      </c>
      <c r="Z219" s="3" t="s">
        <v>1180</v>
      </c>
      <c r="AA219" s="10" t="s">
        <v>1179</v>
      </c>
      <c r="AB219" s="5">
        <f>900+880+560+140+102</f>
        <v>2582</v>
      </c>
      <c r="AC219" s="6">
        <f>0+20+24+6+10.2</f>
        <v>60.2</v>
      </c>
      <c r="AD219" s="6">
        <f>0+8+16+0+6.4</f>
        <v>30.4</v>
      </c>
      <c r="AE219" s="6">
        <f>0+44+4+0+2.2</f>
        <v>50.2</v>
      </c>
      <c r="AF219" s="6">
        <f>0+20+4+0+0</f>
        <v>24</v>
      </c>
      <c r="AG219" s="6">
        <f>6.25</f>
        <v>6.25</v>
      </c>
      <c r="AH219" s="6">
        <f>45+1520+200+60+86</f>
        <v>1911</v>
      </c>
      <c r="AI219" s="6">
        <f t="shared" si="400"/>
        <v>2.3315259488768399E-2</v>
      </c>
      <c r="AJ219" s="6">
        <f t="shared" si="401"/>
        <v>1.1773818745158791E-2</v>
      </c>
      <c r="AK219" s="6">
        <f t="shared" si="402"/>
        <v>1.9442292796281953E-2</v>
      </c>
      <c r="AL219" s="6">
        <f t="shared" si="403"/>
        <v>9.2951200619674663E-3</v>
      </c>
      <c r="AM219" s="6">
        <f t="shared" si="404"/>
        <v>2.4206041828040278E-3</v>
      </c>
      <c r="AN219" s="6">
        <f t="shared" si="405"/>
        <v>0.74012393493415951</v>
      </c>
      <c r="AO219" s="7">
        <v>4</v>
      </c>
      <c r="AP219" s="7">
        <v>1</v>
      </c>
      <c r="AQ219" s="7">
        <v>1</v>
      </c>
      <c r="AR219" s="10">
        <v>0</v>
      </c>
      <c r="AS219" s="7">
        <v>0</v>
      </c>
      <c r="AT219" s="7">
        <v>0</v>
      </c>
      <c r="AU219" s="7">
        <v>0</v>
      </c>
      <c r="AV219" s="7">
        <v>0</v>
      </c>
      <c r="AW219" s="7">
        <v>31</v>
      </c>
      <c r="AX219" s="7">
        <v>1</v>
      </c>
      <c r="AY219" s="5">
        <v>7</v>
      </c>
      <c r="AZ219" s="7">
        <v>0</v>
      </c>
      <c r="BA219" s="7">
        <v>1</v>
      </c>
      <c r="BB219" s="7">
        <v>0</v>
      </c>
      <c r="BC219" s="7">
        <v>1</v>
      </c>
      <c r="BD219" s="7">
        <v>1</v>
      </c>
      <c r="BE219" s="7">
        <v>0</v>
      </c>
      <c r="BF219" s="7">
        <v>0</v>
      </c>
      <c r="BG219" s="7">
        <v>0</v>
      </c>
      <c r="BH219" s="7">
        <v>0</v>
      </c>
      <c r="BI219" s="7">
        <v>0</v>
      </c>
      <c r="BJ219" s="7">
        <v>1</v>
      </c>
      <c r="BK219" s="11">
        <v>0</v>
      </c>
      <c r="BL219" s="7">
        <v>0</v>
      </c>
      <c r="BM219" s="7">
        <v>1</v>
      </c>
    </row>
    <row r="220" spans="1:65" ht="30" customHeight="1" x14ac:dyDescent="0.3">
      <c r="A220" s="3" t="s">
        <v>19</v>
      </c>
      <c r="B220" s="3">
        <v>2</v>
      </c>
      <c r="C220" s="8">
        <v>44429</v>
      </c>
      <c r="D220" s="9">
        <v>0.26041666666666669</v>
      </c>
      <c r="E220" s="4">
        <v>67</v>
      </c>
      <c r="F220" s="3">
        <v>0</v>
      </c>
      <c r="G220" s="3">
        <v>0</v>
      </c>
      <c r="H220" s="3">
        <v>0</v>
      </c>
      <c r="I220" s="3">
        <v>0</v>
      </c>
      <c r="J220" s="9">
        <v>0.27013888888888887</v>
      </c>
      <c r="K220" s="3">
        <v>143.80000000000001</v>
      </c>
      <c r="L220" s="11">
        <f t="shared" ref="L220" si="414">K220-K219</f>
        <v>1</v>
      </c>
      <c r="M220" s="5">
        <f t="shared" ref="M220" si="415">AB219</f>
        <v>2582</v>
      </c>
      <c r="N220" s="11">
        <v>31.125</v>
      </c>
      <c r="O220" s="11">
        <v>32.75</v>
      </c>
      <c r="P220" s="11">
        <v>10.875</v>
      </c>
      <c r="Q220" s="11">
        <v>10.75</v>
      </c>
      <c r="R220" s="11">
        <v>19.875</v>
      </c>
      <c r="S220" s="11">
        <v>19.875</v>
      </c>
      <c r="T220" s="11">
        <v>17</v>
      </c>
      <c r="U220" s="11">
        <v>17</v>
      </c>
      <c r="V220" s="11">
        <v>17</v>
      </c>
      <c r="W220" s="11">
        <v>16</v>
      </c>
      <c r="X220" s="11">
        <v>7</v>
      </c>
      <c r="Y220" s="11">
        <v>7</v>
      </c>
      <c r="Z220" s="3" t="s">
        <v>1183</v>
      </c>
      <c r="AA220" s="12" t="s">
        <v>1182</v>
      </c>
      <c r="AB220" s="5">
        <f>275+240+480+320+555+210+420</f>
        <v>2500</v>
      </c>
      <c r="AC220" s="6">
        <f>5+14+26+17+22.5+8+15</f>
        <v>107.5</v>
      </c>
      <c r="AD220" s="6">
        <f>0+8+5+10+22.5+2+3</f>
        <v>50.5</v>
      </c>
      <c r="AE220" s="6">
        <f>10+19+6+6+0+5+6</f>
        <v>52</v>
      </c>
      <c r="AF220" s="6">
        <f>47.5+9+59+35+90+31+60</f>
        <v>331.5</v>
      </c>
      <c r="AG220" s="6">
        <f>5+3+0+0+0+1+3</f>
        <v>12</v>
      </c>
      <c r="AH220" s="6">
        <f>337.5+370+590+430+37.5+320+720</f>
        <v>2805</v>
      </c>
      <c r="AI220" s="6">
        <f t="shared" si="400"/>
        <v>4.2999999999999997E-2</v>
      </c>
      <c r="AJ220" s="6">
        <f t="shared" si="401"/>
        <v>2.0199999999999999E-2</v>
      </c>
      <c r="AK220" s="6">
        <f t="shared" si="402"/>
        <v>2.0799999999999999E-2</v>
      </c>
      <c r="AL220" s="6">
        <f t="shared" si="403"/>
        <v>0.1326</v>
      </c>
      <c r="AM220" s="6">
        <f t="shared" si="404"/>
        <v>4.7999999999999996E-3</v>
      </c>
      <c r="AN220" s="6">
        <f t="shared" si="405"/>
        <v>1.1220000000000001</v>
      </c>
      <c r="AO220" s="7">
        <v>4</v>
      </c>
      <c r="AP220" s="7">
        <v>1</v>
      </c>
      <c r="AQ220" s="7">
        <v>1</v>
      </c>
      <c r="AR220" s="10">
        <v>0</v>
      </c>
      <c r="AS220" s="7">
        <v>0</v>
      </c>
      <c r="AT220" s="7">
        <v>0</v>
      </c>
      <c r="AU220" s="7">
        <v>0</v>
      </c>
      <c r="AV220" s="7">
        <v>0</v>
      </c>
      <c r="AW220" s="7">
        <v>31</v>
      </c>
      <c r="AX220" s="7">
        <v>1</v>
      </c>
      <c r="AY220" s="5">
        <v>7</v>
      </c>
      <c r="AZ220" s="7">
        <v>0</v>
      </c>
      <c r="BA220" s="7">
        <v>1</v>
      </c>
      <c r="BB220" s="7">
        <v>0</v>
      </c>
      <c r="BC220" s="7">
        <v>1</v>
      </c>
      <c r="BD220" s="7">
        <v>1</v>
      </c>
      <c r="BE220" s="7">
        <v>0</v>
      </c>
      <c r="BF220" s="7">
        <v>0</v>
      </c>
      <c r="BG220" s="7">
        <v>0</v>
      </c>
      <c r="BH220" s="7">
        <v>0</v>
      </c>
      <c r="BI220" s="7">
        <v>0</v>
      </c>
      <c r="BJ220" s="7">
        <v>1</v>
      </c>
      <c r="BK220" s="11">
        <v>0</v>
      </c>
      <c r="BL220" s="7">
        <v>0</v>
      </c>
      <c r="BM220" s="7">
        <v>1</v>
      </c>
    </row>
    <row r="221" spans="1:65" ht="30" customHeight="1" x14ac:dyDescent="0.3">
      <c r="A221" s="3" t="s">
        <v>23</v>
      </c>
      <c r="B221" s="3">
        <v>3</v>
      </c>
      <c r="C221" s="8">
        <v>44430</v>
      </c>
      <c r="D221" s="9">
        <v>0.30208333333333331</v>
      </c>
      <c r="E221" s="4">
        <v>66</v>
      </c>
      <c r="F221" s="3">
        <v>0</v>
      </c>
      <c r="G221" s="3">
        <v>0</v>
      </c>
      <c r="H221" s="3">
        <v>0</v>
      </c>
      <c r="I221" s="3">
        <v>0</v>
      </c>
      <c r="J221" s="9">
        <v>0.3125</v>
      </c>
      <c r="K221" s="3">
        <v>143.6</v>
      </c>
      <c r="L221" s="11">
        <f t="shared" ref="L221" si="416">K221-K220</f>
        <v>-0.20000000000001705</v>
      </c>
      <c r="M221" s="5">
        <f t="shared" ref="M221" si="417">AB220</f>
        <v>2500</v>
      </c>
      <c r="N221" s="11">
        <v>31.125</v>
      </c>
      <c r="O221" s="11">
        <v>32.375</v>
      </c>
      <c r="P221" s="11">
        <v>10.75</v>
      </c>
      <c r="Q221" s="11">
        <v>10.75</v>
      </c>
      <c r="R221" s="11">
        <v>19.5</v>
      </c>
      <c r="S221" s="11">
        <v>19.875</v>
      </c>
      <c r="T221" s="11">
        <v>15</v>
      </c>
      <c r="U221" s="11">
        <v>16</v>
      </c>
      <c r="V221" s="11">
        <v>15</v>
      </c>
      <c r="W221" s="11">
        <v>13</v>
      </c>
      <c r="X221" s="11">
        <v>7</v>
      </c>
      <c r="Y221" s="11">
        <v>7</v>
      </c>
      <c r="Z221" s="3" t="s">
        <v>1187</v>
      </c>
      <c r="AA221" s="10" t="s">
        <v>1185</v>
      </c>
      <c r="AB221" s="5">
        <f>630+420+350+120</f>
        <v>1520</v>
      </c>
      <c r="AC221" s="6">
        <f>24+15+15+3.5</f>
        <v>57.5</v>
      </c>
      <c r="AD221" s="6">
        <f>6+3+10+0.5</f>
        <v>19.5</v>
      </c>
      <c r="AE221" s="6">
        <f>15+6+2.5+2</f>
        <v>25.5</v>
      </c>
      <c r="AF221" s="6">
        <f>93+60+57.5+22</f>
        <v>232.5</v>
      </c>
      <c r="AG221" s="6">
        <f>3+3+2.5+1</f>
        <v>9.5</v>
      </c>
      <c r="AH221" s="6">
        <f>960+720+125+250</f>
        <v>2055</v>
      </c>
      <c r="AI221" s="6">
        <f t="shared" si="400"/>
        <v>3.7828947368421052E-2</v>
      </c>
      <c r="AJ221" s="6">
        <f t="shared" si="401"/>
        <v>1.2828947368421053E-2</v>
      </c>
      <c r="AK221" s="6">
        <f t="shared" si="402"/>
        <v>1.6776315789473684E-2</v>
      </c>
      <c r="AL221" s="6">
        <f t="shared" si="403"/>
        <v>0.15296052631578946</v>
      </c>
      <c r="AM221" s="6">
        <f t="shared" si="404"/>
        <v>6.2500000000000003E-3</v>
      </c>
      <c r="AN221" s="6">
        <f t="shared" si="405"/>
        <v>1.3519736842105263</v>
      </c>
      <c r="AO221" s="7">
        <v>4</v>
      </c>
      <c r="AP221" s="7">
        <v>1</v>
      </c>
      <c r="AQ221" s="7">
        <v>1</v>
      </c>
      <c r="AR221" s="10">
        <v>0</v>
      </c>
      <c r="AS221" s="7">
        <v>0</v>
      </c>
      <c r="AT221" s="7">
        <v>0</v>
      </c>
      <c r="AU221" s="7">
        <v>0</v>
      </c>
      <c r="AV221" s="7">
        <v>0</v>
      </c>
      <c r="AW221" s="7">
        <v>31</v>
      </c>
      <c r="AX221" s="7">
        <v>1</v>
      </c>
      <c r="AY221" s="5">
        <v>4</v>
      </c>
      <c r="AZ221" s="7">
        <v>0</v>
      </c>
      <c r="BA221" s="7">
        <v>0</v>
      </c>
      <c r="BB221" s="7">
        <v>0</v>
      </c>
      <c r="BC221" s="7">
        <v>1</v>
      </c>
      <c r="BD221" s="7">
        <v>1</v>
      </c>
      <c r="BE221" s="7">
        <v>0</v>
      </c>
      <c r="BF221" s="7">
        <v>0</v>
      </c>
      <c r="BG221" s="7">
        <v>0</v>
      </c>
      <c r="BH221" s="7">
        <v>0</v>
      </c>
      <c r="BI221" s="7">
        <v>0</v>
      </c>
      <c r="BJ221" s="7">
        <v>1</v>
      </c>
      <c r="BK221" s="11">
        <v>2</v>
      </c>
      <c r="BL221" s="7" t="s">
        <v>1186</v>
      </c>
      <c r="BM221" s="7">
        <v>1</v>
      </c>
    </row>
    <row r="222" spans="1:65" ht="19.95" customHeight="1" x14ac:dyDescent="0.3">
      <c r="A222" s="3" t="s">
        <v>15</v>
      </c>
      <c r="B222" s="3">
        <v>4</v>
      </c>
      <c r="C222" s="8">
        <v>44431</v>
      </c>
      <c r="D222" s="9">
        <v>0.30277777777777776</v>
      </c>
      <c r="E222" s="4">
        <v>62</v>
      </c>
      <c r="F222" s="3">
        <v>0</v>
      </c>
      <c r="G222" s="3">
        <v>0</v>
      </c>
      <c r="H222" s="3">
        <v>0</v>
      </c>
      <c r="I222" s="3">
        <v>0</v>
      </c>
      <c r="J222" s="9">
        <v>0.3347222222222222</v>
      </c>
      <c r="K222" s="3">
        <v>144</v>
      </c>
      <c r="L222" s="11">
        <f t="shared" ref="L222" si="418">K222-K221</f>
        <v>0.40000000000000568</v>
      </c>
      <c r="M222" s="5">
        <f t="shared" ref="M222" si="419">AB221</f>
        <v>1520</v>
      </c>
      <c r="N222" s="11">
        <v>30.5</v>
      </c>
      <c r="O222" s="11">
        <v>32.25</v>
      </c>
      <c r="P222" s="11">
        <v>10.625</v>
      </c>
      <c r="Q222" s="11">
        <v>10.75</v>
      </c>
      <c r="R222" s="11">
        <v>19.25</v>
      </c>
      <c r="S222" s="11">
        <v>20.125</v>
      </c>
      <c r="T222" s="11">
        <v>15</v>
      </c>
      <c r="U222" s="11">
        <v>14</v>
      </c>
      <c r="V222" s="11">
        <v>16</v>
      </c>
      <c r="W222" s="11">
        <v>14</v>
      </c>
      <c r="X222" s="11">
        <v>7</v>
      </c>
      <c r="Y222" s="11">
        <v>7</v>
      </c>
      <c r="Z222" s="3" t="s">
        <v>1189</v>
      </c>
      <c r="AA222" s="10" t="s">
        <v>1190</v>
      </c>
      <c r="AB222" s="5">
        <f>630+420+240</f>
        <v>1290</v>
      </c>
      <c r="AC222" s="6">
        <f>24+15+7</f>
        <v>46</v>
      </c>
      <c r="AD222" s="6">
        <f>6+3+1</f>
        <v>10</v>
      </c>
      <c r="AE222" s="6">
        <f>15+6+4</f>
        <v>25</v>
      </c>
      <c r="AF222" s="6">
        <f>93+60+44</f>
        <v>197</v>
      </c>
      <c r="AG222" s="6">
        <f>3+3+2</f>
        <v>8</v>
      </c>
      <c r="AH222" s="6">
        <f>960+720+500</f>
        <v>2180</v>
      </c>
      <c r="AI222" s="6">
        <f t="shared" si="400"/>
        <v>3.565891472868217E-2</v>
      </c>
      <c r="AJ222" s="6">
        <f t="shared" si="401"/>
        <v>7.7519379844961239E-3</v>
      </c>
      <c r="AK222" s="6">
        <f t="shared" si="402"/>
        <v>1.937984496124031E-2</v>
      </c>
      <c r="AL222" s="6">
        <f t="shared" si="403"/>
        <v>0.15271317829457365</v>
      </c>
      <c r="AM222" s="6">
        <f t="shared" si="404"/>
        <v>6.2015503875968991E-3</v>
      </c>
      <c r="AN222" s="6">
        <f t="shared" si="405"/>
        <v>1.6899224806201549</v>
      </c>
      <c r="AO222" s="7">
        <v>4</v>
      </c>
      <c r="AP222" s="7">
        <v>1</v>
      </c>
      <c r="AQ222" s="7">
        <v>0</v>
      </c>
      <c r="AR222" s="10">
        <v>0</v>
      </c>
      <c r="AS222" s="7">
        <v>0</v>
      </c>
      <c r="AT222" s="7">
        <v>0</v>
      </c>
      <c r="AU222" s="7">
        <v>0</v>
      </c>
      <c r="AV222" s="7">
        <v>0</v>
      </c>
      <c r="AW222" s="7">
        <v>31</v>
      </c>
      <c r="AX222" s="7">
        <v>1</v>
      </c>
      <c r="AY222" s="5">
        <v>8.5</v>
      </c>
      <c r="AZ222" s="7">
        <v>0</v>
      </c>
      <c r="BA222" s="7">
        <v>1</v>
      </c>
      <c r="BB222" s="7">
        <v>0</v>
      </c>
      <c r="BC222" s="7">
        <v>1</v>
      </c>
      <c r="BD222" s="7">
        <v>1</v>
      </c>
      <c r="BE222" s="7">
        <v>0</v>
      </c>
      <c r="BF222" s="7">
        <v>0</v>
      </c>
      <c r="BG222" s="7">
        <v>0</v>
      </c>
      <c r="BH222" s="7">
        <v>0</v>
      </c>
      <c r="BI222" s="7">
        <v>0</v>
      </c>
      <c r="BJ222" s="7">
        <v>0</v>
      </c>
      <c r="BK222" s="11">
        <v>0</v>
      </c>
      <c r="BL222" s="7">
        <v>0</v>
      </c>
      <c r="BM222" s="7">
        <v>1</v>
      </c>
    </row>
    <row r="223" spans="1:65" ht="19.95" customHeight="1" x14ac:dyDescent="0.3">
      <c r="A223" s="3" t="s">
        <v>16</v>
      </c>
      <c r="B223" s="3">
        <v>5</v>
      </c>
      <c r="C223" s="8">
        <v>44432</v>
      </c>
      <c r="D223" s="9">
        <v>0.32847222222222222</v>
      </c>
      <c r="E223" s="4">
        <v>63</v>
      </c>
      <c r="F223" s="3">
        <v>0</v>
      </c>
      <c r="G223" s="3">
        <v>0</v>
      </c>
      <c r="H223" s="3">
        <v>0</v>
      </c>
      <c r="I223" s="3">
        <v>0</v>
      </c>
      <c r="J223" s="9">
        <v>0.32916666666666666</v>
      </c>
      <c r="K223" s="3">
        <v>143.80000000000001</v>
      </c>
      <c r="L223" s="11">
        <f t="shared" ref="L223" si="420">K223-K222</f>
        <v>-0.19999999999998863</v>
      </c>
      <c r="M223" s="5">
        <f t="shared" ref="M223" si="421">AB222</f>
        <v>1290</v>
      </c>
      <c r="N223" s="11">
        <v>30.75</v>
      </c>
      <c r="O223" s="11">
        <v>32.25</v>
      </c>
      <c r="P223" s="11">
        <v>10.875</v>
      </c>
      <c r="Q223" s="11">
        <v>10.875</v>
      </c>
      <c r="R223" s="11">
        <v>19.75</v>
      </c>
      <c r="S223" s="11">
        <v>19.875</v>
      </c>
      <c r="T223" s="11">
        <v>14</v>
      </c>
      <c r="U223" s="11">
        <v>13</v>
      </c>
      <c r="V223" s="11">
        <v>15</v>
      </c>
      <c r="W223" s="11">
        <v>14</v>
      </c>
      <c r="X223" s="11">
        <v>7</v>
      </c>
      <c r="Y223" s="11">
        <v>7</v>
      </c>
      <c r="Z223" s="3" t="s">
        <v>1197</v>
      </c>
      <c r="AA223" s="10" t="s">
        <v>1195</v>
      </c>
      <c r="AB223" s="5">
        <f>410+220+100+30+200+180+220+100+30+200+300+350</f>
        <v>2340</v>
      </c>
      <c r="AC223" s="6">
        <f>15+4+6+0+9+0+4+6+0+9+27+17.5</f>
        <v>97.5</v>
      </c>
      <c r="AD223" s="6">
        <f>9+0+4+0+4+0+0+4+0+4+18+0</f>
        <v>43</v>
      </c>
      <c r="AE223" s="6">
        <f>10+8+8+0+21+0+8+8+0+21+6+5</f>
        <v>95</v>
      </c>
      <c r="AF223" s="6">
        <f>55+38+2+8+6+50+38+2+8+6+6+45</f>
        <v>264</v>
      </c>
      <c r="AG223" s="6">
        <f>0+4+0+1+1+0+4+0+1+1+0+5</f>
        <v>17</v>
      </c>
      <c r="AH223" s="6">
        <f>650+270+280+150+470+60+270+280+150+470+450+550</f>
        <v>4050</v>
      </c>
      <c r="AI223" s="6">
        <f t="shared" si="400"/>
        <v>4.1666666666666664E-2</v>
      </c>
      <c r="AJ223" s="6">
        <f t="shared" si="401"/>
        <v>1.8376068376068377E-2</v>
      </c>
      <c r="AK223" s="6">
        <f t="shared" si="402"/>
        <v>4.05982905982906E-2</v>
      </c>
      <c r="AL223" s="6">
        <f t="shared" si="403"/>
        <v>0.11282051282051282</v>
      </c>
      <c r="AM223" s="6">
        <f t="shared" si="404"/>
        <v>7.2649572649572652E-3</v>
      </c>
      <c r="AN223" s="6">
        <f t="shared" si="405"/>
        <v>1.7307692307692308</v>
      </c>
      <c r="AO223" s="7">
        <v>4</v>
      </c>
      <c r="AP223" s="7">
        <v>1</v>
      </c>
      <c r="AQ223" s="7">
        <v>0</v>
      </c>
      <c r="AR223" s="10">
        <v>0</v>
      </c>
      <c r="AS223" s="7">
        <v>0</v>
      </c>
      <c r="AT223" s="7">
        <v>0</v>
      </c>
      <c r="AU223" s="7">
        <v>0</v>
      </c>
      <c r="AV223" s="7">
        <v>0</v>
      </c>
      <c r="AW223" s="7">
        <v>31</v>
      </c>
      <c r="AX223" s="7">
        <v>1</v>
      </c>
      <c r="AY223" s="5">
        <v>7.5</v>
      </c>
      <c r="AZ223" s="7">
        <v>0</v>
      </c>
      <c r="BA223" s="7">
        <v>0</v>
      </c>
      <c r="BB223" s="7">
        <v>0</v>
      </c>
      <c r="BC223" s="7">
        <v>1</v>
      </c>
      <c r="BD223" s="7">
        <v>1</v>
      </c>
      <c r="BE223" s="7">
        <v>0</v>
      </c>
      <c r="BF223" s="7">
        <v>0</v>
      </c>
      <c r="BG223" s="7">
        <v>0</v>
      </c>
      <c r="BH223" s="7">
        <v>0</v>
      </c>
      <c r="BI223" s="7">
        <v>0</v>
      </c>
      <c r="BJ223" s="7">
        <v>0</v>
      </c>
      <c r="BK223" s="11">
        <v>3</v>
      </c>
      <c r="BL223" s="7" t="s">
        <v>1196</v>
      </c>
      <c r="BM223" s="7">
        <v>1</v>
      </c>
    </row>
    <row r="224" spans="1:65" ht="19.95" customHeight="1" x14ac:dyDescent="0.3">
      <c r="A224" s="3" t="s">
        <v>17</v>
      </c>
      <c r="B224" s="3">
        <v>6</v>
      </c>
      <c r="C224" s="8">
        <v>44433</v>
      </c>
      <c r="D224" s="9">
        <v>0.29166666666666669</v>
      </c>
      <c r="E224" s="4">
        <v>66</v>
      </c>
      <c r="F224" s="3">
        <v>0</v>
      </c>
      <c r="G224" s="3">
        <v>0</v>
      </c>
      <c r="H224" s="3">
        <v>0</v>
      </c>
      <c r="I224" s="3">
        <v>0</v>
      </c>
      <c r="J224" s="9">
        <v>0.29166666666666669</v>
      </c>
      <c r="K224" s="3">
        <v>143.4</v>
      </c>
      <c r="L224" s="11">
        <f t="shared" ref="L224" si="422">K224-K223</f>
        <v>-0.40000000000000568</v>
      </c>
      <c r="M224" s="5">
        <f t="shared" ref="M224" si="423">AB223</f>
        <v>2340</v>
      </c>
      <c r="N224" s="11">
        <v>30.5</v>
      </c>
      <c r="O224" s="11">
        <v>32.25</v>
      </c>
      <c r="P224" s="11">
        <v>10.75</v>
      </c>
      <c r="Q224" s="11">
        <v>10.75</v>
      </c>
      <c r="R224" s="11">
        <v>19.875</v>
      </c>
      <c r="S224" s="11">
        <v>19.875</v>
      </c>
      <c r="T224" s="11">
        <v>16</v>
      </c>
      <c r="U224" s="11">
        <v>13</v>
      </c>
      <c r="V224" s="11">
        <v>17</v>
      </c>
      <c r="W224" s="11">
        <v>17</v>
      </c>
      <c r="X224" s="11">
        <v>7</v>
      </c>
      <c r="Y224" s="11">
        <v>7</v>
      </c>
      <c r="Z224" s="3" t="s">
        <v>1198</v>
      </c>
      <c r="AA224" s="10" t="s">
        <v>1201</v>
      </c>
      <c r="AB224" s="5">
        <f>780+140+60+200+163.1+772+240</f>
        <v>2355.1</v>
      </c>
      <c r="AC224" s="6">
        <f>24+10+0+18+8.2+30.4+7</f>
        <v>97.6</v>
      </c>
      <c r="AD224" s="6">
        <f>9+3+0+12+0+13.2+1</f>
        <v>38.200000000000003</v>
      </c>
      <c r="AE224" s="6">
        <f>33+12+0+4+2.3+29.4+4</f>
        <v>84.699999999999989</v>
      </c>
      <c r="AF224" s="6">
        <f>108+0+16+4+20.9+97+44</f>
        <v>289.89999999999998</v>
      </c>
      <c r="AG224" s="6">
        <f>12+0+2+0+2.3+7.3+2</f>
        <v>25.6</v>
      </c>
      <c r="AH224" s="6">
        <f>1020+140+300+300+256.3+3294.5+500</f>
        <v>5810.8</v>
      </c>
      <c r="AI224" s="6">
        <f t="shared" si="400"/>
        <v>4.1441976986115237E-2</v>
      </c>
      <c r="AJ224" s="6">
        <f t="shared" si="401"/>
        <v>1.6220118041696745E-2</v>
      </c>
      <c r="AK224" s="6">
        <f t="shared" si="402"/>
        <v>3.5964502568893039E-2</v>
      </c>
      <c r="AL224" s="6">
        <f t="shared" si="403"/>
        <v>0.12309456074052057</v>
      </c>
      <c r="AM224" s="6">
        <f t="shared" si="404"/>
        <v>1.0870026750456457E-2</v>
      </c>
      <c r="AN224" s="6">
        <f t="shared" si="405"/>
        <v>2.4673262281856401</v>
      </c>
      <c r="AO224" s="7">
        <v>5</v>
      </c>
      <c r="AP224" s="7">
        <v>0</v>
      </c>
      <c r="AQ224" s="7">
        <v>0</v>
      </c>
      <c r="AR224" s="10">
        <v>0</v>
      </c>
      <c r="AS224" s="7">
        <v>0</v>
      </c>
      <c r="AT224" s="7">
        <v>0</v>
      </c>
      <c r="AU224" s="7">
        <v>0</v>
      </c>
      <c r="AV224" s="7">
        <v>0</v>
      </c>
      <c r="AW224" s="7">
        <v>31</v>
      </c>
      <c r="AX224" s="7">
        <v>1</v>
      </c>
      <c r="AY224" s="5">
        <v>7</v>
      </c>
      <c r="AZ224" s="7">
        <v>0</v>
      </c>
      <c r="BA224" s="7">
        <v>0</v>
      </c>
      <c r="BB224" s="7">
        <v>0</v>
      </c>
      <c r="BC224" s="7">
        <v>1</v>
      </c>
      <c r="BD224" s="7">
        <v>1</v>
      </c>
      <c r="BE224" s="7">
        <v>0</v>
      </c>
      <c r="BF224" s="7">
        <v>0</v>
      </c>
      <c r="BG224" s="7">
        <v>0</v>
      </c>
      <c r="BH224" s="7">
        <v>0</v>
      </c>
      <c r="BI224" s="7">
        <v>0</v>
      </c>
      <c r="BJ224" s="7">
        <v>0</v>
      </c>
      <c r="BK224" s="11">
        <v>1</v>
      </c>
      <c r="BL224" s="7" t="s">
        <v>1202</v>
      </c>
      <c r="BM224" s="7">
        <v>1</v>
      </c>
    </row>
    <row r="225" spans="1:65" ht="19.95" customHeight="1" x14ac:dyDescent="0.3">
      <c r="A225" s="3" t="s">
        <v>18</v>
      </c>
      <c r="B225" s="3">
        <v>7</v>
      </c>
      <c r="C225" s="8">
        <v>44434</v>
      </c>
      <c r="D225" s="9">
        <v>0.41250000000000003</v>
      </c>
      <c r="E225" s="4">
        <v>84</v>
      </c>
      <c r="F225" s="3">
        <v>0</v>
      </c>
      <c r="G225" s="3">
        <v>0</v>
      </c>
      <c r="H225" s="3">
        <v>0</v>
      </c>
      <c r="I225" s="3">
        <v>0</v>
      </c>
      <c r="J225" s="9">
        <v>0.47013888888888888</v>
      </c>
      <c r="K225" s="3">
        <v>144</v>
      </c>
      <c r="L225" s="11">
        <f t="shared" ref="L225" si="424">K225-K224</f>
        <v>0.59999999999999432</v>
      </c>
      <c r="M225" s="5">
        <f t="shared" ref="M225" si="425">AB224</f>
        <v>2355.1</v>
      </c>
      <c r="N225" s="11">
        <v>30.375</v>
      </c>
      <c r="O225" s="11">
        <v>32.375</v>
      </c>
      <c r="P225" s="11">
        <v>10.75</v>
      </c>
      <c r="Q225" s="11">
        <v>10.875</v>
      </c>
      <c r="R225" s="11">
        <v>19.75</v>
      </c>
      <c r="S225" s="11">
        <v>20</v>
      </c>
      <c r="T225" s="11">
        <v>15</v>
      </c>
      <c r="U225" s="11">
        <v>15</v>
      </c>
      <c r="V225" s="11">
        <v>17</v>
      </c>
      <c r="W225" s="11">
        <v>17</v>
      </c>
      <c r="X225" s="11">
        <v>7</v>
      </c>
      <c r="Y225" s="11">
        <v>7</v>
      </c>
      <c r="Z225" s="3" t="s">
        <v>1205</v>
      </c>
      <c r="AA225" s="10" t="s">
        <v>1206</v>
      </c>
      <c r="AB225" s="5">
        <f>1400+65+220+100+70+220</f>
        <v>2075</v>
      </c>
      <c r="AC225" s="6">
        <f>60+2+4+6+5+13</f>
        <v>90</v>
      </c>
      <c r="AD225" s="6">
        <f>32+1+0+4+2+8</f>
        <v>47</v>
      </c>
      <c r="AE225" s="6">
        <f>68+3+8+8+6+3</f>
        <v>96</v>
      </c>
      <c r="AF225" s="6">
        <f>148+9+38+2+0+26</f>
        <v>223</v>
      </c>
      <c r="AG225" s="6">
        <f>12+1+4+0+0+1</f>
        <v>18</v>
      </c>
      <c r="AH225" s="6">
        <f>3120+85+270+280+70+35</f>
        <v>3860</v>
      </c>
      <c r="AI225" s="6">
        <f t="shared" si="400"/>
        <v>4.3373493975903614E-2</v>
      </c>
      <c r="AJ225" s="6">
        <f t="shared" si="401"/>
        <v>2.2650602409638555E-2</v>
      </c>
      <c r="AK225" s="6">
        <f t="shared" si="402"/>
        <v>4.6265060240963857E-2</v>
      </c>
      <c r="AL225" s="6">
        <f t="shared" si="403"/>
        <v>0.10746987951807228</v>
      </c>
      <c r="AM225" s="6">
        <f t="shared" si="404"/>
        <v>8.6746987951807231E-3</v>
      </c>
      <c r="AN225" s="6">
        <f t="shared" si="405"/>
        <v>1.8602409638554216</v>
      </c>
      <c r="AO225" s="7">
        <v>4</v>
      </c>
      <c r="AP225" s="7">
        <v>1</v>
      </c>
      <c r="AQ225" s="7">
        <v>0</v>
      </c>
      <c r="AR225" s="10">
        <v>0</v>
      </c>
      <c r="AS225" s="7">
        <v>0</v>
      </c>
      <c r="AT225" s="7">
        <v>0</v>
      </c>
      <c r="AU225" s="7">
        <v>0</v>
      </c>
      <c r="AV225" s="7">
        <v>0</v>
      </c>
      <c r="AW225" s="7">
        <v>0</v>
      </c>
      <c r="AX225" s="7">
        <v>0</v>
      </c>
      <c r="AY225" s="5">
        <v>8</v>
      </c>
      <c r="AZ225" s="7">
        <v>0</v>
      </c>
      <c r="BA225" s="7">
        <v>0</v>
      </c>
      <c r="BB225" s="7">
        <v>0</v>
      </c>
      <c r="BC225" s="7">
        <v>1</v>
      </c>
      <c r="BD225" s="7">
        <v>1</v>
      </c>
      <c r="BE225" s="7">
        <v>0</v>
      </c>
      <c r="BF225" s="7">
        <v>0</v>
      </c>
      <c r="BG225" s="7">
        <v>0</v>
      </c>
      <c r="BH225" s="7">
        <v>0</v>
      </c>
      <c r="BI225" s="7">
        <v>0</v>
      </c>
      <c r="BJ225" s="7">
        <v>1</v>
      </c>
      <c r="BK225" s="11">
        <v>4</v>
      </c>
      <c r="BL225" s="7" t="s">
        <v>1204</v>
      </c>
      <c r="BM225" s="7">
        <v>1</v>
      </c>
    </row>
    <row r="226" spans="1:65" ht="19.95" customHeight="1" x14ac:dyDescent="0.3">
      <c r="A226" s="3" t="s">
        <v>137</v>
      </c>
      <c r="B226" s="3">
        <v>8</v>
      </c>
      <c r="C226" s="8">
        <v>44435</v>
      </c>
      <c r="D226" s="9">
        <v>0.25138888888888888</v>
      </c>
      <c r="E226" s="4">
        <v>70</v>
      </c>
      <c r="F226" s="3">
        <v>0</v>
      </c>
      <c r="G226" s="3">
        <v>0</v>
      </c>
      <c r="H226" s="3">
        <v>0</v>
      </c>
      <c r="I226" s="3">
        <v>0</v>
      </c>
      <c r="J226" s="9">
        <v>0.28472222222222221</v>
      </c>
      <c r="K226" s="3">
        <v>143.80000000000001</v>
      </c>
      <c r="L226" s="11">
        <f t="shared" ref="L226" si="426">K226-K225</f>
        <v>-0.19999999999998863</v>
      </c>
      <c r="M226" s="5">
        <f t="shared" ref="M226:M227" si="427">AB225</f>
        <v>2075</v>
      </c>
      <c r="N226" s="11">
        <v>31</v>
      </c>
      <c r="O226" s="11">
        <v>32.375</v>
      </c>
      <c r="P226" s="11">
        <v>10.875</v>
      </c>
      <c r="Q226" s="11">
        <v>10.875</v>
      </c>
      <c r="R226" s="11">
        <v>19.625</v>
      </c>
      <c r="S226" s="11">
        <v>19.625</v>
      </c>
      <c r="T226" s="11">
        <v>13</v>
      </c>
      <c r="U226" s="11">
        <v>15</v>
      </c>
      <c r="V226" s="11">
        <v>16</v>
      </c>
      <c r="W226" s="11">
        <v>17</v>
      </c>
      <c r="X226" s="11">
        <v>7</v>
      </c>
      <c r="Y226" s="11">
        <v>7</v>
      </c>
      <c r="Z226" s="3" t="s">
        <v>1207</v>
      </c>
      <c r="AA226" s="10" t="s">
        <v>1211</v>
      </c>
      <c r="AB226" s="5">
        <f>180+200+440+100+37+60+100+540+300+320</f>
        <v>2277</v>
      </c>
      <c r="AC226" s="6">
        <f>6+2+8+6+0+0+0+36+22+18</f>
        <v>98</v>
      </c>
      <c r="AD226" s="6">
        <f>3+0+0+4+0+0+0+15+9+4</f>
        <v>35</v>
      </c>
      <c r="AE226" s="6">
        <f>14+32+16+8+1+0+0+12+4+4</f>
        <v>91</v>
      </c>
      <c r="AF226" s="6">
        <f>19+12+76+2+7+16+23+42+28+30</f>
        <v>255</v>
      </c>
      <c r="AG226" s="6">
        <f>0+8+8+0+2+2+0+6+2+2</f>
        <v>30</v>
      </c>
      <c r="AH226" s="6">
        <f>50+640+540+280+5+300+5+60+440+360</f>
        <v>2680</v>
      </c>
      <c r="AI226" s="6">
        <f t="shared" si="400"/>
        <v>4.3039086517347384E-2</v>
      </c>
      <c r="AJ226" s="6">
        <f t="shared" si="401"/>
        <v>1.5371102327624066E-2</v>
      </c>
      <c r="AK226" s="6">
        <f t="shared" si="402"/>
        <v>3.9964866051822576E-2</v>
      </c>
      <c r="AL226" s="6">
        <f t="shared" si="403"/>
        <v>0.11198945981554677</v>
      </c>
      <c r="AM226" s="6">
        <f t="shared" si="404"/>
        <v>1.3175230566534914E-2</v>
      </c>
      <c r="AN226" s="6">
        <f t="shared" si="405"/>
        <v>1.1769872639437857</v>
      </c>
      <c r="AO226" s="7">
        <v>5</v>
      </c>
      <c r="AP226" s="7">
        <v>1</v>
      </c>
      <c r="AQ226" s="7">
        <v>0</v>
      </c>
      <c r="AR226" s="10">
        <v>0</v>
      </c>
      <c r="AS226" s="7">
        <v>0</v>
      </c>
      <c r="AT226" s="7">
        <v>0</v>
      </c>
      <c r="AU226" s="7">
        <v>0</v>
      </c>
      <c r="AV226" s="7">
        <v>0</v>
      </c>
      <c r="AW226" s="7">
        <v>31</v>
      </c>
      <c r="AX226" s="7">
        <v>1</v>
      </c>
      <c r="AY226" s="5">
        <v>7</v>
      </c>
      <c r="AZ226" s="7">
        <v>0</v>
      </c>
      <c r="BA226" s="7">
        <v>0</v>
      </c>
      <c r="BB226" s="7">
        <v>0</v>
      </c>
      <c r="BC226" s="7">
        <v>1</v>
      </c>
      <c r="BD226" s="7">
        <v>1</v>
      </c>
      <c r="BE226" s="7">
        <v>0</v>
      </c>
      <c r="BF226" s="7">
        <v>0</v>
      </c>
      <c r="BG226" s="7">
        <v>0</v>
      </c>
      <c r="BH226" s="7">
        <v>0</v>
      </c>
      <c r="BI226" s="7">
        <v>0</v>
      </c>
      <c r="BJ226" s="7">
        <v>1</v>
      </c>
      <c r="BK226" s="11">
        <v>2</v>
      </c>
      <c r="BL226" s="7" t="s">
        <v>1202</v>
      </c>
      <c r="BM226" s="7">
        <v>1</v>
      </c>
    </row>
    <row r="227" spans="1:65" ht="19.95" customHeight="1" x14ac:dyDescent="0.3">
      <c r="A227" s="3" t="s">
        <v>19</v>
      </c>
      <c r="B227" s="3">
        <v>9</v>
      </c>
      <c r="C227" s="8">
        <v>44436</v>
      </c>
      <c r="D227" s="9">
        <v>0.26944444444444443</v>
      </c>
      <c r="E227" s="4">
        <v>71</v>
      </c>
      <c r="F227" s="3">
        <v>0</v>
      </c>
      <c r="G227" s="3">
        <v>0</v>
      </c>
      <c r="H227" s="3">
        <v>0</v>
      </c>
      <c r="I227" s="3">
        <v>0</v>
      </c>
      <c r="J227" s="9">
        <v>0.27152777777777776</v>
      </c>
      <c r="K227" s="3">
        <v>143.80000000000001</v>
      </c>
      <c r="L227" s="11">
        <f t="shared" ref="L227" si="428">K227-K226</f>
        <v>0</v>
      </c>
      <c r="M227" s="5">
        <f t="shared" si="427"/>
        <v>2277</v>
      </c>
      <c r="N227" s="11">
        <v>31</v>
      </c>
      <c r="O227" s="11">
        <v>32.375</v>
      </c>
      <c r="P227" s="11">
        <v>10.5</v>
      </c>
      <c r="Q227" s="11">
        <v>10.75</v>
      </c>
      <c r="R227" s="11">
        <v>19.5</v>
      </c>
      <c r="S227" s="11">
        <v>19.5</v>
      </c>
      <c r="T227" s="11">
        <v>16</v>
      </c>
      <c r="U227" s="11">
        <v>16</v>
      </c>
      <c r="V227" s="11">
        <v>15</v>
      </c>
      <c r="W227" s="11">
        <v>15</v>
      </c>
      <c r="X227" s="11">
        <v>7</v>
      </c>
      <c r="Y227" s="11">
        <v>7</v>
      </c>
      <c r="Z227" s="3" t="s">
        <v>1213</v>
      </c>
      <c r="AA227" s="10" t="s">
        <v>1212</v>
      </c>
      <c r="AB227" s="5">
        <f>180+900+374+300+160</f>
        <v>1914</v>
      </c>
      <c r="AC227" s="6">
        <f>6+0+32+22+9</f>
        <v>69</v>
      </c>
      <c r="AD227" s="6">
        <f>3+0+5+9+2</f>
        <v>19</v>
      </c>
      <c r="AE227" s="6">
        <f>14+0+7+4+2</f>
        <v>27</v>
      </c>
      <c r="AF227" s="6">
        <f>19+207+16.7+28+15</f>
        <v>285.7</v>
      </c>
      <c r="AG227" s="6">
        <f>0+0+1+2+1</f>
        <v>4</v>
      </c>
      <c r="AH227" s="6">
        <f>50+45+193+440+180</f>
        <v>908</v>
      </c>
      <c r="AI227" s="6">
        <f t="shared" si="400"/>
        <v>3.6050156739811913E-2</v>
      </c>
      <c r="AJ227" s="6">
        <f t="shared" si="401"/>
        <v>9.9268547544409617E-3</v>
      </c>
      <c r="AK227" s="6">
        <f t="shared" si="402"/>
        <v>1.4106583072100314E-2</v>
      </c>
      <c r="AL227" s="6">
        <f t="shared" si="403"/>
        <v>0.1492685475444096</v>
      </c>
      <c r="AM227" s="6">
        <f t="shared" si="404"/>
        <v>2.0898641588296763E-3</v>
      </c>
      <c r="AN227" s="6">
        <f t="shared" si="405"/>
        <v>0.47439916405433646</v>
      </c>
      <c r="AO227" s="7">
        <v>4</v>
      </c>
      <c r="AP227" s="7">
        <v>1</v>
      </c>
      <c r="AQ227" s="7">
        <v>0</v>
      </c>
      <c r="AR227" s="10">
        <v>0</v>
      </c>
      <c r="AS227" s="7">
        <v>0</v>
      </c>
      <c r="AT227" s="7">
        <v>0</v>
      </c>
      <c r="AU227" s="7">
        <v>0</v>
      </c>
      <c r="AV227" s="7">
        <v>0</v>
      </c>
      <c r="AW227" s="7">
        <v>31</v>
      </c>
      <c r="AX227" s="7">
        <v>1</v>
      </c>
      <c r="AY227" s="5">
        <v>7</v>
      </c>
      <c r="AZ227" s="7">
        <v>0</v>
      </c>
      <c r="BA227" s="7">
        <v>0</v>
      </c>
      <c r="BB227" s="7">
        <v>0</v>
      </c>
      <c r="BC227" s="7">
        <v>1</v>
      </c>
      <c r="BD227" s="7">
        <v>1</v>
      </c>
      <c r="BE227" s="7">
        <v>0</v>
      </c>
      <c r="BF227" s="7">
        <v>0</v>
      </c>
      <c r="BG227" s="7">
        <v>0</v>
      </c>
      <c r="BH227" s="7">
        <v>0</v>
      </c>
      <c r="BI227" s="7">
        <v>0</v>
      </c>
      <c r="BJ227" s="7">
        <v>1</v>
      </c>
      <c r="BK227" s="11">
        <v>4</v>
      </c>
      <c r="BL227" s="3" t="s">
        <v>1202</v>
      </c>
      <c r="BM227" s="7">
        <v>1</v>
      </c>
    </row>
    <row r="228" spans="1:65" ht="19.95" customHeight="1" x14ac:dyDescent="0.3">
      <c r="A228" s="3" t="s">
        <v>23</v>
      </c>
      <c r="B228" s="3">
        <v>10</v>
      </c>
      <c r="C228" s="8">
        <v>44437</v>
      </c>
      <c r="D228" s="9">
        <v>0.28541666666666665</v>
      </c>
      <c r="E228" s="4">
        <v>70</v>
      </c>
      <c r="F228" s="3">
        <v>0</v>
      </c>
      <c r="G228" s="3">
        <v>0</v>
      </c>
      <c r="H228" s="3">
        <v>0</v>
      </c>
      <c r="I228" s="3">
        <v>0</v>
      </c>
      <c r="J228" s="9">
        <v>0.28819444444444448</v>
      </c>
      <c r="K228" s="3">
        <v>144.4</v>
      </c>
      <c r="L228" s="11">
        <f t="shared" ref="L228" si="429">K228-K227</f>
        <v>0.59999999999999432</v>
      </c>
      <c r="M228" s="5">
        <f t="shared" ref="M228" si="430">AB227</f>
        <v>1914</v>
      </c>
      <c r="N228" s="11">
        <v>31</v>
      </c>
      <c r="O228" s="11">
        <v>32.125</v>
      </c>
      <c r="P228" s="11">
        <v>10.875</v>
      </c>
      <c r="Q228" s="11">
        <v>10.875</v>
      </c>
      <c r="R228" s="11">
        <v>20</v>
      </c>
      <c r="S228" s="11">
        <v>20</v>
      </c>
      <c r="T228" s="11">
        <v>15</v>
      </c>
      <c r="U228" s="11">
        <v>15</v>
      </c>
      <c r="V228" s="11">
        <v>16</v>
      </c>
      <c r="W228" s="11">
        <v>15</v>
      </c>
      <c r="X228" s="11">
        <v>7</v>
      </c>
      <c r="Y228" s="11">
        <v>7</v>
      </c>
      <c r="Z228" s="3" t="s">
        <v>1214</v>
      </c>
      <c r="AA228" s="10" t="s">
        <v>1215</v>
      </c>
      <c r="AB228" s="5">
        <f>180+300+360+260+190+480</f>
        <v>1770</v>
      </c>
      <c r="AC228" s="6">
        <f>6+0+24+18+2+27</f>
        <v>77</v>
      </c>
      <c r="AD228" s="6">
        <f>3+0+10+5+0.5+6</f>
        <v>24.5</v>
      </c>
      <c r="AE228" s="6">
        <f>14+0+8+20+6+6</f>
        <v>54</v>
      </c>
      <c r="AF228" s="6">
        <f>19+69+28+5+36+45</f>
        <v>202</v>
      </c>
      <c r="AG228" s="6">
        <f>0+0+4+2+1+3</f>
        <v>10</v>
      </c>
      <c r="AH228" s="6">
        <f>50+15+40+350+380+540</f>
        <v>1375</v>
      </c>
      <c r="AI228" s="6">
        <f t="shared" si="400"/>
        <v>4.3502824858757061E-2</v>
      </c>
      <c r="AJ228" s="6">
        <f t="shared" si="401"/>
        <v>1.384180790960452E-2</v>
      </c>
      <c r="AK228" s="6">
        <f t="shared" si="402"/>
        <v>3.0508474576271188E-2</v>
      </c>
      <c r="AL228" s="6">
        <f t="shared" si="403"/>
        <v>0.11412429378531073</v>
      </c>
      <c r="AM228" s="6">
        <f t="shared" si="404"/>
        <v>5.6497175141242938E-3</v>
      </c>
      <c r="AN228" s="6">
        <f t="shared" si="405"/>
        <v>0.7768361581920904</v>
      </c>
      <c r="AO228" s="7">
        <v>4</v>
      </c>
      <c r="AP228" s="7">
        <v>1</v>
      </c>
      <c r="AQ228" s="7">
        <v>0</v>
      </c>
      <c r="AR228" s="10">
        <v>0</v>
      </c>
      <c r="AS228" s="7">
        <v>0</v>
      </c>
      <c r="AT228" s="7">
        <v>0</v>
      </c>
      <c r="AU228" s="7">
        <v>0</v>
      </c>
      <c r="AV228" s="7">
        <v>0</v>
      </c>
      <c r="AW228" s="7">
        <v>31</v>
      </c>
      <c r="AX228" s="7">
        <v>1</v>
      </c>
      <c r="AY228" s="5">
        <v>5.5</v>
      </c>
      <c r="AZ228" s="7">
        <v>0</v>
      </c>
      <c r="BA228" s="7">
        <v>0</v>
      </c>
      <c r="BB228" s="7">
        <v>0</v>
      </c>
      <c r="BC228" s="7">
        <v>1</v>
      </c>
      <c r="BD228" s="7">
        <v>1</v>
      </c>
      <c r="BE228" s="7">
        <v>0</v>
      </c>
      <c r="BF228" s="7">
        <v>0</v>
      </c>
      <c r="BG228" s="7">
        <v>0</v>
      </c>
      <c r="BH228" s="7">
        <v>0</v>
      </c>
      <c r="BI228" s="7">
        <v>0</v>
      </c>
      <c r="BJ228" s="7">
        <v>0</v>
      </c>
      <c r="BK228" s="11">
        <v>1.5</v>
      </c>
      <c r="BL228" s="7" t="s">
        <v>1216</v>
      </c>
      <c r="BM228" s="7">
        <v>1</v>
      </c>
    </row>
    <row r="229" spans="1:65" ht="19.95" customHeight="1" x14ac:dyDescent="0.3">
      <c r="A229" s="3" t="s">
        <v>15</v>
      </c>
      <c r="B229" s="3">
        <v>0</v>
      </c>
      <c r="C229" s="8">
        <v>44438</v>
      </c>
      <c r="D229" s="9">
        <v>0.30486111111111108</v>
      </c>
      <c r="E229" s="4">
        <v>69</v>
      </c>
      <c r="F229" s="3">
        <v>0</v>
      </c>
      <c r="G229" s="3">
        <v>0</v>
      </c>
      <c r="H229" s="3">
        <v>0</v>
      </c>
      <c r="I229" s="3">
        <v>0</v>
      </c>
      <c r="J229" s="9">
        <v>0.36249999999999999</v>
      </c>
      <c r="K229" s="3">
        <v>143.19999999999999</v>
      </c>
      <c r="L229" s="11">
        <f t="shared" ref="L229" si="431">K229-K228</f>
        <v>-1.2000000000000171</v>
      </c>
      <c r="M229" s="5">
        <f t="shared" ref="M229" si="432">AB228</f>
        <v>1770</v>
      </c>
      <c r="N229" s="11">
        <v>30</v>
      </c>
      <c r="O229" s="11">
        <v>31.5</v>
      </c>
      <c r="P229" s="11">
        <v>10.875</v>
      </c>
      <c r="Q229" s="11">
        <v>10.75</v>
      </c>
      <c r="R229" s="11">
        <v>19.875</v>
      </c>
      <c r="S229" s="11">
        <v>20</v>
      </c>
      <c r="T229" s="11">
        <v>16</v>
      </c>
      <c r="U229" s="11">
        <v>17</v>
      </c>
      <c r="V229" s="11">
        <v>16</v>
      </c>
      <c r="W229" s="11">
        <v>14</v>
      </c>
      <c r="X229" s="11">
        <v>7</v>
      </c>
      <c r="Y229" s="11">
        <v>7</v>
      </c>
      <c r="Z229" s="3" t="s">
        <v>1222</v>
      </c>
      <c r="AA229" s="10" t="s">
        <v>1226</v>
      </c>
      <c r="AB229" s="5">
        <f>64+130+400+180+80+120+640+280+150+120+80+150+342+140+30</f>
        <v>2906</v>
      </c>
      <c r="AC229" s="6">
        <f>4.4+7+0+6+5+4+0+18+8+4+5+8+23+7+0</f>
        <v>99.4</v>
      </c>
      <c r="AD229" s="6">
        <f>1+1+0+3+1+1+0+3+1+1+1+1+6+1+0</f>
        <v>21</v>
      </c>
      <c r="AE229" s="6">
        <f>4+2+0+14+2+2+0+4+2+2+2+2+22+2+0</f>
        <v>60</v>
      </c>
      <c r="AF229" s="6">
        <f>2+17+95+19+7+18+152+28+18+18+7+18+7+18+11+16+8</f>
        <v>459</v>
      </c>
      <c r="AG229" s="6">
        <f>0.5+1+0+0+1+1+0+2+1+1+1+1+3+1+1</f>
        <v>14.5</v>
      </c>
      <c r="AH229" s="6">
        <f>85+450+150+50+120+210+240+460+190+210+120+210+452+80+150</f>
        <v>3177</v>
      </c>
      <c r="AI229" s="6">
        <f t="shared" si="400"/>
        <v>3.420509291121817E-2</v>
      </c>
      <c r="AJ229" s="6">
        <f t="shared" si="401"/>
        <v>7.2264280798348245E-3</v>
      </c>
      <c r="AK229" s="6">
        <f t="shared" si="402"/>
        <v>2.0646937370956641E-2</v>
      </c>
      <c r="AL229" s="6">
        <f t="shared" si="403"/>
        <v>0.15794907088781832</v>
      </c>
      <c r="AM229" s="6">
        <f t="shared" si="404"/>
        <v>4.9896765313145221E-3</v>
      </c>
      <c r="AN229" s="6">
        <f t="shared" si="405"/>
        <v>1.0932553337921542</v>
      </c>
      <c r="AO229" s="7">
        <v>4</v>
      </c>
      <c r="AP229" s="7">
        <v>1</v>
      </c>
      <c r="AQ229" s="7">
        <v>1</v>
      </c>
      <c r="AR229" s="10">
        <v>0</v>
      </c>
      <c r="AS229" s="7">
        <v>0</v>
      </c>
      <c r="AT229" s="7">
        <v>0</v>
      </c>
      <c r="AU229" s="7">
        <v>0</v>
      </c>
      <c r="AV229" s="7">
        <v>0</v>
      </c>
      <c r="AW229" s="7">
        <v>31</v>
      </c>
      <c r="AX229" s="7">
        <v>1</v>
      </c>
      <c r="AY229" s="5">
        <v>7.5</v>
      </c>
      <c r="AZ229" s="7">
        <v>0</v>
      </c>
      <c r="BA229" s="7">
        <v>0</v>
      </c>
      <c r="BB229" s="7">
        <v>0</v>
      </c>
      <c r="BC229" s="7">
        <v>1</v>
      </c>
      <c r="BD229" s="7">
        <v>1</v>
      </c>
      <c r="BE229" s="7">
        <v>0</v>
      </c>
      <c r="BF229" s="7">
        <v>0</v>
      </c>
      <c r="BG229" s="7">
        <v>0</v>
      </c>
      <c r="BH229" s="7">
        <v>0</v>
      </c>
      <c r="BI229" s="7">
        <v>0</v>
      </c>
      <c r="BJ229" s="7">
        <v>1</v>
      </c>
      <c r="BK229" s="11">
        <v>1</v>
      </c>
      <c r="BL229" s="7" t="s">
        <v>1216</v>
      </c>
      <c r="BM229" s="7">
        <v>1</v>
      </c>
    </row>
    <row r="230" spans="1:65" ht="19.95" customHeight="1" x14ac:dyDescent="0.3">
      <c r="A230" s="3" t="s">
        <v>16</v>
      </c>
      <c r="B230" s="3">
        <v>1</v>
      </c>
      <c r="C230" s="8">
        <v>44439</v>
      </c>
      <c r="D230" s="9">
        <v>0.44305555555555554</v>
      </c>
      <c r="E230" s="4">
        <v>71</v>
      </c>
      <c r="F230" s="3">
        <v>0</v>
      </c>
      <c r="G230" s="3">
        <v>0</v>
      </c>
      <c r="H230" s="3">
        <v>0</v>
      </c>
      <c r="I230" s="3">
        <v>0</v>
      </c>
      <c r="J230" s="9">
        <v>0.45</v>
      </c>
      <c r="K230" s="3">
        <v>145.80000000000001</v>
      </c>
      <c r="L230" s="11">
        <f t="shared" ref="L230" si="433">K230-K229</f>
        <v>2.6000000000000227</v>
      </c>
      <c r="M230" s="5">
        <f t="shared" ref="M230" si="434">AB229</f>
        <v>2906</v>
      </c>
      <c r="N230" s="11">
        <v>31.125</v>
      </c>
      <c r="O230" s="11">
        <v>32.875</v>
      </c>
      <c r="P230" s="11">
        <v>10.625</v>
      </c>
      <c r="Q230" s="11">
        <v>10.625</v>
      </c>
      <c r="R230" s="11">
        <v>19.625</v>
      </c>
      <c r="S230" s="11">
        <v>19.875</v>
      </c>
      <c r="T230" s="11">
        <v>15</v>
      </c>
      <c r="U230" s="11">
        <v>15</v>
      </c>
      <c r="V230" s="11">
        <v>16</v>
      </c>
      <c r="W230" s="11">
        <v>13</v>
      </c>
      <c r="X230" s="11">
        <v>7</v>
      </c>
      <c r="Y230" s="11">
        <v>7</v>
      </c>
      <c r="Z230" s="3" t="s">
        <v>1228</v>
      </c>
      <c r="AA230" s="10" t="s">
        <v>1227</v>
      </c>
      <c r="AB230" s="5">
        <f>342+140+30+289+322+160+160+450+540+342+140+30+160+140</f>
        <v>3245</v>
      </c>
      <c r="AC230" s="6">
        <f>23+7+0+11+29+10+0+0+36+23+7+0+0+9</f>
        <v>155</v>
      </c>
      <c r="AD230" s="6">
        <f>6+1+0+3+4+2+0+0+15+6+1+0+0+2</f>
        <v>40</v>
      </c>
      <c r="AE230" s="6">
        <f>22+2+0+7+4+4+0+9+12+22+2+0+0+2</f>
        <v>86</v>
      </c>
      <c r="AF230" s="6">
        <f>11+16+8+43+17+14+38+104+42+11+16+8+38+14</f>
        <v>380</v>
      </c>
      <c r="AG230" s="6">
        <f>3+1+1+1+18+2+0+63+6+3+1+1+0+1</f>
        <v>101</v>
      </c>
      <c r="AH230" s="6">
        <f>452+80+150+440+14+240+60+22.5+60+452+80+150+60+230</f>
        <v>2490.5</v>
      </c>
      <c r="AI230" s="6">
        <f t="shared" si="400"/>
        <v>4.7765793528505393E-2</v>
      </c>
      <c r="AJ230" s="6">
        <f t="shared" si="401"/>
        <v>1.2326656394453005E-2</v>
      </c>
      <c r="AK230" s="6">
        <f t="shared" si="402"/>
        <v>2.6502311248073961E-2</v>
      </c>
      <c r="AL230" s="6">
        <f t="shared" si="403"/>
        <v>0.11710323574730354</v>
      </c>
      <c r="AM230" s="6">
        <f t="shared" si="404"/>
        <v>3.1124807395993836E-2</v>
      </c>
      <c r="AN230" s="6">
        <f t="shared" si="405"/>
        <v>0.76748844375963021</v>
      </c>
      <c r="AO230" s="7">
        <v>4</v>
      </c>
      <c r="AP230" s="7">
        <v>1</v>
      </c>
      <c r="AQ230" s="7">
        <v>1</v>
      </c>
      <c r="AR230" s="10">
        <v>0</v>
      </c>
      <c r="AS230" s="7">
        <v>0</v>
      </c>
      <c r="AT230" s="7">
        <v>0</v>
      </c>
      <c r="AU230" s="7">
        <v>0</v>
      </c>
      <c r="AV230" s="7">
        <v>0</v>
      </c>
      <c r="AW230" s="7">
        <v>0</v>
      </c>
      <c r="AX230" s="7">
        <v>0</v>
      </c>
      <c r="AY230" s="5">
        <v>6.75</v>
      </c>
      <c r="AZ230" s="7">
        <v>0</v>
      </c>
      <c r="BA230" s="7">
        <v>0</v>
      </c>
      <c r="BB230" s="7">
        <v>0</v>
      </c>
      <c r="BC230" s="7">
        <v>1</v>
      </c>
      <c r="BD230" s="7">
        <v>1</v>
      </c>
      <c r="BE230" s="7">
        <v>0</v>
      </c>
      <c r="BF230" s="7">
        <v>1</v>
      </c>
      <c r="BG230" s="7">
        <v>20</v>
      </c>
      <c r="BH230" s="7">
        <v>0</v>
      </c>
      <c r="BI230" s="7">
        <v>0</v>
      </c>
      <c r="BJ230" s="7">
        <v>1</v>
      </c>
      <c r="BK230" s="11">
        <v>1</v>
      </c>
      <c r="BL230" s="7" t="s">
        <v>1216</v>
      </c>
      <c r="BM230" s="7">
        <v>1</v>
      </c>
    </row>
    <row r="231" spans="1:65" ht="30" customHeight="1" x14ac:dyDescent="0.3">
      <c r="A231" s="3" t="s">
        <v>17</v>
      </c>
      <c r="B231" s="3">
        <v>2</v>
      </c>
      <c r="C231" s="8">
        <v>44440</v>
      </c>
      <c r="D231" s="9">
        <v>0.3034722222222222</v>
      </c>
      <c r="E231" s="4">
        <v>67</v>
      </c>
      <c r="F231" s="3">
        <v>0</v>
      </c>
      <c r="G231" s="3">
        <v>0</v>
      </c>
      <c r="H231" s="3">
        <v>0</v>
      </c>
      <c r="I231" s="3">
        <v>0</v>
      </c>
      <c r="J231" s="9">
        <v>0.2986111111111111</v>
      </c>
      <c r="K231" s="3">
        <v>145.80000000000001</v>
      </c>
      <c r="L231" s="11">
        <f t="shared" ref="L231" si="435">K231-K230</f>
        <v>0</v>
      </c>
      <c r="M231" s="5">
        <f t="shared" ref="M231" si="436">AB230</f>
        <v>3245</v>
      </c>
      <c r="N231" s="11">
        <v>31</v>
      </c>
      <c r="O231" s="11">
        <v>32.5</v>
      </c>
      <c r="P231" s="11">
        <v>10.75</v>
      </c>
      <c r="Q231" s="11">
        <v>11</v>
      </c>
      <c r="R231" s="11">
        <v>20</v>
      </c>
      <c r="S231" s="11">
        <v>20</v>
      </c>
      <c r="T231" s="11">
        <v>14</v>
      </c>
      <c r="U231" s="11">
        <v>13</v>
      </c>
      <c r="V231" s="11">
        <v>16</v>
      </c>
      <c r="W231" s="11">
        <v>14</v>
      </c>
      <c r="X231" s="11">
        <v>7</v>
      </c>
      <c r="Y231" s="11">
        <v>7</v>
      </c>
      <c r="Z231" s="3" t="s">
        <v>1234</v>
      </c>
      <c r="AA231" s="10" t="s">
        <v>1233</v>
      </c>
      <c r="AB231" s="5">
        <f>630+400+241.5+110+110+480+112.5</f>
        <v>2084</v>
      </c>
      <c r="AC231" s="6">
        <f>24+0+21.75+3+3+30+0</f>
        <v>81.75</v>
      </c>
      <c r="AD231" s="6">
        <f>6+0+3+0+0+4.5+0</f>
        <v>13.5</v>
      </c>
      <c r="AE231" s="6">
        <f>15+0+3+2+2+6+0</f>
        <v>28</v>
      </c>
      <c r="AF231" s="6">
        <f>93+95+12.75+19+19+45+31.25</f>
        <v>315</v>
      </c>
      <c r="AG231" s="6">
        <f>3+0+13.5+1+1+3+0</f>
        <v>21.5</v>
      </c>
      <c r="AH231" s="6">
        <f>960+150+10.5+125+220+750+37.5</f>
        <v>2253</v>
      </c>
      <c r="AI231" s="6">
        <f t="shared" si="400"/>
        <v>3.9227447216890594E-2</v>
      </c>
      <c r="AJ231" s="6">
        <f t="shared" si="401"/>
        <v>6.4779270633397315E-3</v>
      </c>
      <c r="AK231" s="6">
        <f t="shared" si="402"/>
        <v>1.3435700575815739E-2</v>
      </c>
      <c r="AL231" s="6">
        <f t="shared" si="403"/>
        <v>0.15115163147792707</v>
      </c>
      <c r="AM231" s="6">
        <f t="shared" si="404"/>
        <v>1.0316698656429943E-2</v>
      </c>
      <c r="AN231" s="6">
        <f t="shared" si="405"/>
        <v>1.0810940499040307</v>
      </c>
      <c r="AO231" s="7">
        <v>4</v>
      </c>
      <c r="AP231" s="7">
        <v>1</v>
      </c>
      <c r="AQ231" s="7">
        <v>1</v>
      </c>
      <c r="AR231" s="10">
        <v>0</v>
      </c>
      <c r="AS231" s="7">
        <v>0</v>
      </c>
      <c r="AT231" s="7">
        <v>0</v>
      </c>
      <c r="AU231" s="7">
        <v>0</v>
      </c>
      <c r="AV231" s="7">
        <v>0</v>
      </c>
      <c r="AW231" s="7">
        <v>31</v>
      </c>
      <c r="AX231" s="7">
        <v>1</v>
      </c>
      <c r="AY231" s="5">
        <v>7</v>
      </c>
      <c r="AZ231" s="7">
        <v>0</v>
      </c>
      <c r="BA231" s="7">
        <v>0</v>
      </c>
      <c r="BB231" s="7">
        <v>0</v>
      </c>
      <c r="BC231" s="7">
        <v>1</v>
      </c>
      <c r="BD231" s="7">
        <v>1</v>
      </c>
      <c r="BE231" s="7">
        <v>0</v>
      </c>
      <c r="BF231" s="7">
        <v>0</v>
      </c>
      <c r="BG231" s="7">
        <v>0</v>
      </c>
      <c r="BH231" s="7">
        <v>0</v>
      </c>
      <c r="BI231" s="7">
        <v>0</v>
      </c>
      <c r="BJ231" s="7">
        <v>1</v>
      </c>
      <c r="BK231" s="11">
        <v>3</v>
      </c>
      <c r="BL231" s="7" t="s">
        <v>1229</v>
      </c>
      <c r="BM231" s="7">
        <v>1</v>
      </c>
    </row>
    <row r="232" spans="1:65" ht="30" customHeight="1" x14ac:dyDescent="0.3">
      <c r="A232" s="3" t="s">
        <v>18</v>
      </c>
      <c r="B232" s="3">
        <v>3</v>
      </c>
      <c r="C232" s="8">
        <v>44441</v>
      </c>
      <c r="D232" s="9">
        <v>0.36736111111111108</v>
      </c>
      <c r="E232" s="4">
        <v>66</v>
      </c>
      <c r="F232" s="3">
        <v>0</v>
      </c>
      <c r="G232" s="3">
        <v>0</v>
      </c>
      <c r="H232" s="3">
        <v>0</v>
      </c>
      <c r="I232" s="3">
        <v>0</v>
      </c>
      <c r="J232" s="9">
        <v>0.36805555555555558</v>
      </c>
      <c r="K232" s="3">
        <v>145</v>
      </c>
      <c r="L232" s="11">
        <f t="shared" ref="L232" si="437">K232-K231</f>
        <v>-0.80000000000001137</v>
      </c>
      <c r="M232" s="5">
        <f t="shared" ref="M232" si="438">AB231</f>
        <v>2084</v>
      </c>
      <c r="N232" s="11">
        <v>30.75</v>
      </c>
      <c r="O232" s="11">
        <v>32.5</v>
      </c>
      <c r="P232" s="11">
        <v>11</v>
      </c>
      <c r="Q232" s="11">
        <v>11</v>
      </c>
      <c r="R232" s="11">
        <v>20</v>
      </c>
      <c r="S232" s="11">
        <v>20.25</v>
      </c>
      <c r="T232" s="11">
        <v>14</v>
      </c>
      <c r="U232" s="11">
        <v>14</v>
      </c>
      <c r="V232" s="11">
        <v>16</v>
      </c>
      <c r="W232" s="11">
        <v>16</v>
      </c>
      <c r="X232" s="11">
        <v>7</v>
      </c>
      <c r="Y232" s="11">
        <v>7</v>
      </c>
      <c r="Z232" s="3" t="s">
        <v>1235</v>
      </c>
      <c r="AA232" s="10" t="s">
        <v>1237</v>
      </c>
      <c r="AB232" s="5">
        <f>180+315+260+322+240+150+30+110+160+150+90</f>
        <v>2007</v>
      </c>
      <c r="AC232" s="6">
        <f>6+12+14+29+14+1.5+0+3+10+8+0</f>
        <v>97.5</v>
      </c>
      <c r="AD232" s="6">
        <f>3+3+2+4+8+0.5+0+0+1.5+1+0</f>
        <v>23</v>
      </c>
      <c r="AE232" s="6">
        <f>14+7.5+4+4+19+5+0+2+2+2+0</f>
        <v>59.5</v>
      </c>
      <c r="AF232" s="6">
        <f>19+46.5+34+17+9+30+8+19+15+18+25</f>
        <v>240.5</v>
      </c>
      <c r="AG232" s="6">
        <f>0+1.5+2+18+3+1+1+1+1+1+0</f>
        <v>29.5</v>
      </c>
      <c r="AH232" s="6">
        <f>50+480+900+14+370+200+150+220+250+210+30</f>
        <v>2874</v>
      </c>
      <c r="AI232" s="6">
        <f t="shared" si="400"/>
        <v>4.8579970104633781E-2</v>
      </c>
      <c r="AJ232" s="6">
        <f t="shared" si="401"/>
        <v>1.14598903836572E-2</v>
      </c>
      <c r="AK232" s="6">
        <f t="shared" si="402"/>
        <v>2.9646238166417538E-2</v>
      </c>
      <c r="AL232" s="6">
        <f t="shared" si="403"/>
        <v>0.11983059292476334</v>
      </c>
      <c r="AM232" s="6">
        <f t="shared" si="404"/>
        <v>1.4698555057299452E-2</v>
      </c>
      <c r="AN232" s="6">
        <f t="shared" si="405"/>
        <v>1.4319880418535127</v>
      </c>
      <c r="AO232" s="7">
        <v>4</v>
      </c>
      <c r="AP232" s="7">
        <v>1</v>
      </c>
      <c r="AQ232" s="7">
        <v>1</v>
      </c>
      <c r="AR232" s="10">
        <v>0</v>
      </c>
      <c r="AS232" s="7">
        <v>0</v>
      </c>
      <c r="AT232" s="7">
        <v>0</v>
      </c>
      <c r="AU232" s="7">
        <v>0</v>
      </c>
      <c r="AV232" s="7">
        <v>0</v>
      </c>
      <c r="AW232" s="7">
        <v>0</v>
      </c>
      <c r="AX232" s="7">
        <v>0</v>
      </c>
      <c r="AY232" s="5">
        <v>7.25</v>
      </c>
      <c r="AZ232" s="7">
        <v>0</v>
      </c>
      <c r="BA232" s="7">
        <v>0</v>
      </c>
      <c r="BB232" s="7">
        <v>0</v>
      </c>
      <c r="BC232" s="7">
        <v>1</v>
      </c>
      <c r="BD232" s="7">
        <v>1</v>
      </c>
      <c r="BE232" s="7">
        <v>0</v>
      </c>
      <c r="BF232" s="7">
        <v>0</v>
      </c>
      <c r="BG232" s="7">
        <v>0</v>
      </c>
      <c r="BH232" s="7">
        <v>0</v>
      </c>
      <c r="BI232" s="7">
        <v>0</v>
      </c>
      <c r="BJ232" s="7">
        <v>1</v>
      </c>
      <c r="BK232" s="11">
        <v>2</v>
      </c>
      <c r="BL232" s="7" t="s">
        <v>1229</v>
      </c>
      <c r="BM232" s="7">
        <v>1</v>
      </c>
    </row>
    <row r="233" spans="1:65" ht="30" customHeight="1" x14ac:dyDescent="0.3">
      <c r="A233" s="3" t="s">
        <v>137</v>
      </c>
      <c r="B233" s="3">
        <v>4</v>
      </c>
      <c r="C233" s="8">
        <v>44442</v>
      </c>
      <c r="D233" s="9">
        <v>0.3</v>
      </c>
      <c r="E233" s="4">
        <v>62</v>
      </c>
      <c r="F233" s="3">
        <v>0</v>
      </c>
      <c r="G233" s="3">
        <v>0</v>
      </c>
      <c r="H233" s="3">
        <v>0</v>
      </c>
      <c r="I233" s="3">
        <v>0</v>
      </c>
      <c r="J233" s="9">
        <v>0.31388888888888888</v>
      </c>
      <c r="K233" s="3">
        <v>142.80000000000001</v>
      </c>
      <c r="L233" s="11">
        <f t="shared" ref="L233" si="439">K233-K232</f>
        <v>-2.1999999999999886</v>
      </c>
      <c r="M233" s="5">
        <f t="shared" ref="M233" si="440">AB232</f>
        <v>2007</v>
      </c>
      <c r="N233" s="11">
        <v>30.75</v>
      </c>
      <c r="O233" s="11">
        <v>32.5</v>
      </c>
      <c r="P233" s="11">
        <v>10.625</v>
      </c>
      <c r="Q233" s="11">
        <v>10.75</v>
      </c>
      <c r="R233" s="11">
        <v>19.75</v>
      </c>
      <c r="S233" s="11">
        <v>20.25</v>
      </c>
      <c r="T233" s="11">
        <v>14</v>
      </c>
      <c r="U233" s="11">
        <v>12</v>
      </c>
      <c r="V233" s="11">
        <v>15</v>
      </c>
      <c r="W233" s="11">
        <v>15</v>
      </c>
      <c r="X233" s="11">
        <v>7</v>
      </c>
      <c r="Y233" s="11">
        <v>7</v>
      </c>
      <c r="Z233" s="3" t="s">
        <v>1238</v>
      </c>
      <c r="AA233" s="10" t="s">
        <v>1240</v>
      </c>
      <c r="AB233" s="5">
        <f>110+300+320+150+472.5+241.5+130+2025</f>
        <v>3749</v>
      </c>
      <c r="AC233" s="6">
        <f>3+16+20+8+18+21.75+7+0</f>
        <v>93.75</v>
      </c>
      <c r="AD233" s="6">
        <f>0+2+3+1+4.5+3+1+0</f>
        <v>14.5</v>
      </c>
      <c r="AE233" s="6">
        <f>2+4+4+2+11.25+3+2+40.5</f>
        <v>68.75</v>
      </c>
      <c r="AF233" s="6">
        <f>19+36+30+18+69.75+12.75+17+465.75</f>
        <v>668.25</v>
      </c>
      <c r="AG233" s="6">
        <f>1+2+2+1+2.25+13.5+1+0</f>
        <v>22.75</v>
      </c>
      <c r="AH233" s="6">
        <f>125+420+500+190+720+10.5+450+101.25</f>
        <v>2516.75</v>
      </c>
      <c r="AI233" s="6">
        <f t="shared" si="400"/>
        <v>2.5006668444918646E-2</v>
      </c>
      <c r="AJ233" s="6">
        <f t="shared" si="401"/>
        <v>3.8676980528140835E-3</v>
      </c>
      <c r="AK233" s="6">
        <f t="shared" si="402"/>
        <v>1.8338223526273675E-2</v>
      </c>
      <c r="AL233" s="6">
        <f t="shared" si="403"/>
        <v>0.1782475326753801</v>
      </c>
      <c r="AM233" s="6">
        <f t="shared" si="404"/>
        <v>6.0682848759669242E-3</v>
      </c>
      <c r="AN233" s="6">
        <f t="shared" si="405"/>
        <v>0.67131234995998934</v>
      </c>
      <c r="AO233" s="7">
        <v>4</v>
      </c>
      <c r="AP233" s="7">
        <v>1</v>
      </c>
      <c r="AQ233" s="7">
        <v>1</v>
      </c>
      <c r="AR233" s="10">
        <v>0</v>
      </c>
      <c r="AS233" s="7">
        <v>0</v>
      </c>
      <c r="AT233" s="7">
        <v>0</v>
      </c>
      <c r="AU233" s="7">
        <v>0</v>
      </c>
      <c r="AV233" s="7">
        <v>0</v>
      </c>
      <c r="AW233" s="7">
        <v>31</v>
      </c>
      <c r="AX233" s="7">
        <v>1</v>
      </c>
      <c r="AY233" s="5">
        <v>7.5</v>
      </c>
      <c r="AZ233" s="7">
        <v>0</v>
      </c>
      <c r="BA233" s="7">
        <v>0</v>
      </c>
      <c r="BB233" s="7">
        <v>0</v>
      </c>
      <c r="BC233" s="7">
        <v>1</v>
      </c>
      <c r="BD233" s="7">
        <v>1</v>
      </c>
      <c r="BE233" s="7">
        <v>0</v>
      </c>
      <c r="BF233" s="7">
        <v>0</v>
      </c>
      <c r="BG233" s="7">
        <v>0</v>
      </c>
      <c r="BH233" s="7">
        <v>0</v>
      </c>
      <c r="BI233" s="7">
        <v>0</v>
      </c>
      <c r="BJ233" s="7">
        <v>1</v>
      </c>
      <c r="BK233" s="11">
        <v>2</v>
      </c>
      <c r="BL233" s="7" t="s">
        <v>1229</v>
      </c>
      <c r="BM233" s="7">
        <v>1</v>
      </c>
    </row>
    <row r="234" spans="1:65" ht="30" customHeight="1" x14ac:dyDescent="0.3">
      <c r="A234" s="3" t="s">
        <v>19</v>
      </c>
      <c r="B234" s="3">
        <v>5</v>
      </c>
      <c r="C234" s="8">
        <v>44443</v>
      </c>
      <c r="D234" s="9">
        <v>0.58333333333333337</v>
      </c>
      <c r="E234" s="4">
        <v>99</v>
      </c>
      <c r="F234" s="3">
        <v>0</v>
      </c>
      <c r="G234" s="3">
        <v>0</v>
      </c>
      <c r="H234" s="3">
        <v>0</v>
      </c>
      <c r="I234" s="3">
        <v>0.75</v>
      </c>
      <c r="J234" s="9">
        <v>0.28194444444444444</v>
      </c>
      <c r="K234" s="3">
        <v>144.6</v>
      </c>
      <c r="L234" s="11">
        <f t="shared" ref="L234" si="441">K234-K233</f>
        <v>1.7999999999999829</v>
      </c>
      <c r="M234" s="5">
        <f t="shared" ref="M234" si="442">AB233</f>
        <v>3749</v>
      </c>
      <c r="N234" s="11">
        <v>30.625</v>
      </c>
      <c r="O234" s="11">
        <v>32.25</v>
      </c>
      <c r="P234" s="11">
        <v>10.75</v>
      </c>
      <c r="Q234" s="11">
        <v>11</v>
      </c>
      <c r="R234" s="11">
        <v>20</v>
      </c>
      <c r="S234" s="11">
        <v>20.25</v>
      </c>
      <c r="T234" s="11">
        <v>15</v>
      </c>
      <c r="U234" s="11">
        <v>17</v>
      </c>
      <c r="V234" s="11">
        <v>18</v>
      </c>
      <c r="W234" s="11">
        <v>16</v>
      </c>
      <c r="X234" s="11">
        <v>7</v>
      </c>
      <c r="Y234" s="11">
        <v>7</v>
      </c>
      <c r="Z234" s="3" t="s">
        <v>1242</v>
      </c>
      <c r="AA234" s="10" t="s">
        <v>1241</v>
      </c>
      <c r="AB234" s="5">
        <f>110+240+240+150+30+100+150+30+120+110+262.5</f>
        <v>1542.5</v>
      </c>
      <c r="AC234" s="6">
        <f>3+8+14+1.5+0+6+1.5+0+4+3+10</f>
        <v>51</v>
      </c>
      <c r="AD234" s="6">
        <f>0+1+8+0.5+0+4+0.5+0+0.5+0+2.5</f>
        <v>17</v>
      </c>
      <c r="AE234" s="6">
        <f>2+4+19+5+0+8+5+0+2+2+6.25</f>
        <v>53.25</v>
      </c>
      <c r="AF234" s="6">
        <f>19+36+9+30+8+2+30+8+18+19+38.75</f>
        <v>217.75</v>
      </c>
      <c r="AG234" s="6">
        <f>1+2+3+1+1+0+1+1+1+1+1.25</f>
        <v>13.25</v>
      </c>
      <c r="AH234" s="6">
        <f>220+420+370+200+150+280+200+150+210+125+400</f>
        <v>2725</v>
      </c>
      <c r="AI234" s="6">
        <f t="shared" si="400"/>
        <v>3.3063209076175042E-2</v>
      </c>
      <c r="AJ234" s="6">
        <f t="shared" si="401"/>
        <v>1.1021069692058346E-2</v>
      </c>
      <c r="AK234" s="6">
        <f t="shared" si="402"/>
        <v>3.452188006482982E-2</v>
      </c>
      <c r="AL234" s="6">
        <f t="shared" si="403"/>
        <v>0.14116693679092382</v>
      </c>
      <c r="AM234" s="6">
        <f t="shared" si="404"/>
        <v>8.5899513776337109E-3</v>
      </c>
      <c r="AN234" s="6">
        <f t="shared" si="405"/>
        <v>1.766612641815235</v>
      </c>
      <c r="AO234" s="7">
        <v>4</v>
      </c>
      <c r="AP234" s="7">
        <v>1</v>
      </c>
      <c r="AQ234" s="7">
        <v>1</v>
      </c>
      <c r="AR234" s="10" t="s">
        <v>1239</v>
      </c>
      <c r="AS234" s="7">
        <v>0</v>
      </c>
      <c r="AT234" s="7">
        <v>0</v>
      </c>
      <c r="AU234" s="7">
        <v>0</v>
      </c>
      <c r="AV234" s="7">
        <v>0</v>
      </c>
      <c r="AW234" s="7">
        <v>31</v>
      </c>
      <c r="AX234" s="7">
        <v>1</v>
      </c>
      <c r="AY234" s="5">
        <v>5.5</v>
      </c>
      <c r="AZ234" s="7">
        <v>0</v>
      </c>
      <c r="BA234" s="7">
        <v>0</v>
      </c>
      <c r="BB234" s="7">
        <v>0</v>
      </c>
      <c r="BC234" s="7">
        <v>1</v>
      </c>
      <c r="BD234" s="7">
        <v>1</v>
      </c>
      <c r="BE234" s="7">
        <v>0</v>
      </c>
      <c r="BF234" s="7">
        <v>0</v>
      </c>
      <c r="BG234" s="7">
        <v>0</v>
      </c>
      <c r="BH234" s="7">
        <v>0</v>
      </c>
      <c r="BI234" s="7">
        <v>0</v>
      </c>
      <c r="BJ234" s="7">
        <v>1</v>
      </c>
      <c r="BK234" s="11">
        <v>2</v>
      </c>
      <c r="BL234" s="7" t="s">
        <v>1229</v>
      </c>
      <c r="BM234" s="7">
        <v>1</v>
      </c>
    </row>
    <row r="235" spans="1:65" ht="30" customHeight="1" x14ac:dyDescent="0.3">
      <c r="A235" s="3" t="s">
        <v>23</v>
      </c>
      <c r="B235" s="3">
        <v>6</v>
      </c>
      <c r="C235" s="8">
        <v>44444</v>
      </c>
      <c r="D235" s="9">
        <v>0.76041666666666663</v>
      </c>
      <c r="E235" s="4">
        <v>103</v>
      </c>
      <c r="F235" s="3">
        <v>0</v>
      </c>
      <c r="G235" s="3">
        <v>0</v>
      </c>
      <c r="H235" s="3">
        <v>0</v>
      </c>
      <c r="I235" s="3">
        <v>0.25</v>
      </c>
      <c r="J235" s="9">
        <v>0.3125</v>
      </c>
      <c r="K235" s="3">
        <v>143.80000000000001</v>
      </c>
      <c r="L235" s="11">
        <f t="shared" ref="L235" si="443">K235-K234</f>
        <v>-0.79999999999998295</v>
      </c>
      <c r="M235" s="5">
        <f t="shared" ref="M235" si="444">AB234</f>
        <v>1542.5</v>
      </c>
      <c r="N235" s="11">
        <v>30.5</v>
      </c>
      <c r="O235" s="11">
        <v>32.25</v>
      </c>
      <c r="P235" s="11">
        <v>10.875</v>
      </c>
      <c r="Q235" s="11">
        <v>10.875</v>
      </c>
      <c r="R235" s="11">
        <v>20</v>
      </c>
      <c r="S235" s="11">
        <v>20.125</v>
      </c>
      <c r="T235" s="11">
        <v>16</v>
      </c>
      <c r="U235" s="11">
        <v>14</v>
      </c>
      <c r="V235" s="11">
        <v>16</v>
      </c>
      <c r="W235" s="11">
        <v>15</v>
      </c>
      <c r="X235" s="11">
        <v>7</v>
      </c>
      <c r="Y235" s="11">
        <v>7</v>
      </c>
      <c r="Z235" s="3" t="s">
        <v>1245</v>
      </c>
      <c r="AA235" s="10" t="s">
        <v>1244</v>
      </c>
      <c r="AB235" s="5">
        <f>110+315+605.5+100+220+100+30+110</f>
        <v>1590.5</v>
      </c>
      <c r="AC235" s="6">
        <f>3+12+16.28+6+4+6+0+3</f>
        <v>50.28</v>
      </c>
      <c r="AD235" s="6">
        <f>0+3+5.35+4+0+4+0+0</f>
        <v>16.350000000000001</v>
      </c>
      <c r="AE235" s="6">
        <f>2+7.5+18.9+8+8+8+0+2</f>
        <v>54.4</v>
      </c>
      <c r="AF235" s="6">
        <f>19+46.5+96.95+2+38+2+8+19</f>
        <v>231.45</v>
      </c>
      <c r="AG235" s="6">
        <f>1+1.5+8.35+0+4+0+1+1</f>
        <v>16.850000000000001</v>
      </c>
      <c r="AH235" s="6">
        <f>220+480+944+280+270+280+150+125</f>
        <v>2749</v>
      </c>
      <c r="AI235" s="6">
        <f t="shared" si="400"/>
        <v>3.1612700408676517E-2</v>
      </c>
      <c r="AJ235" s="6">
        <f t="shared" si="401"/>
        <v>1.0279786230745049E-2</v>
      </c>
      <c r="AK235" s="6">
        <f t="shared" si="402"/>
        <v>3.4203080792203709E-2</v>
      </c>
      <c r="AL235" s="6">
        <f t="shared" si="403"/>
        <v>0.14552027664256523</v>
      </c>
      <c r="AM235" s="6">
        <f t="shared" si="404"/>
        <v>1.0594152782143981E-2</v>
      </c>
      <c r="AN235" s="6">
        <f t="shared" si="405"/>
        <v>1.7283872995913234</v>
      </c>
      <c r="AO235" s="7">
        <v>4</v>
      </c>
      <c r="AP235" s="7">
        <v>1</v>
      </c>
      <c r="AQ235" s="7">
        <v>1</v>
      </c>
      <c r="AR235" s="10" t="s">
        <v>1243</v>
      </c>
      <c r="AS235" s="7">
        <v>0</v>
      </c>
      <c r="AT235" s="7">
        <v>0</v>
      </c>
      <c r="AU235" s="7">
        <v>0</v>
      </c>
      <c r="AV235" s="7">
        <v>0</v>
      </c>
      <c r="AW235" s="7">
        <v>31</v>
      </c>
      <c r="AX235" s="7">
        <v>1</v>
      </c>
      <c r="AY235" s="5">
        <v>6.5</v>
      </c>
      <c r="AZ235" s="7">
        <v>0</v>
      </c>
      <c r="BA235" s="7">
        <v>0</v>
      </c>
      <c r="BB235" s="7">
        <v>0</v>
      </c>
      <c r="BC235" s="7">
        <v>1</v>
      </c>
      <c r="BD235" s="7">
        <v>1</v>
      </c>
      <c r="BE235" s="7">
        <v>0</v>
      </c>
      <c r="BF235" s="7">
        <v>0</v>
      </c>
      <c r="BG235" s="7">
        <v>0</v>
      </c>
      <c r="BH235" s="7">
        <v>0</v>
      </c>
      <c r="BI235" s="7">
        <v>0</v>
      </c>
      <c r="BJ235" s="7">
        <v>1</v>
      </c>
      <c r="BK235" s="11">
        <v>2</v>
      </c>
      <c r="BL235" s="7" t="s">
        <v>1261</v>
      </c>
      <c r="BM235" s="7">
        <v>1</v>
      </c>
    </row>
    <row r="236" spans="1:65" ht="30" customHeight="1" x14ac:dyDescent="0.3">
      <c r="A236" s="3" t="s">
        <v>15</v>
      </c>
      <c r="B236" s="3">
        <v>7</v>
      </c>
      <c r="C236" s="8">
        <v>44445</v>
      </c>
      <c r="D236" s="9">
        <v>0.28333333333333333</v>
      </c>
      <c r="E236" s="4">
        <v>69</v>
      </c>
      <c r="F236" s="3">
        <v>0</v>
      </c>
      <c r="G236" s="3">
        <v>0</v>
      </c>
      <c r="H236" s="3">
        <v>0</v>
      </c>
      <c r="I236" s="3">
        <v>0</v>
      </c>
      <c r="J236" s="9">
        <v>0.28055555555555556</v>
      </c>
      <c r="K236" s="3">
        <v>144.80000000000001</v>
      </c>
      <c r="L236" s="11">
        <f t="shared" ref="L236" si="445">K236-K235</f>
        <v>1</v>
      </c>
      <c r="M236" s="5">
        <f t="shared" ref="M236" si="446">AB235</f>
        <v>1590.5</v>
      </c>
      <c r="N236" s="11">
        <v>30.25</v>
      </c>
      <c r="O236" s="11">
        <v>32</v>
      </c>
      <c r="P236" s="11">
        <v>11</v>
      </c>
      <c r="Q236" s="11">
        <v>11</v>
      </c>
      <c r="R236" s="11">
        <v>21</v>
      </c>
      <c r="S236" s="11">
        <v>20.25</v>
      </c>
      <c r="T236" s="11">
        <v>14</v>
      </c>
      <c r="U236" s="11">
        <v>14</v>
      </c>
      <c r="V236" s="11">
        <v>18</v>
      </c>
      <c r="W236" s="11">
        <v>15</v>
      </c>
      <c r="X236" s="11">
        <v>7</v>
      </c>
      <c r="Y236" s="11">
        <v>7</v>
      </c>
      <c r="Z236" s="3" t="s">
        <v>1246</v>
      </c>
      <c r="AA236" s="10" t="s">
        <v>1249</v>
      </c>
      <c r="AB236" s="5">
        <f>210+493+320+600+180+100+220+100+30</f>
        <v>2253</v>
      </c>
      <c r="AC236" s="6">
        <f>8+21+17+8+10+6+4+6+0</f>
        <v>80</v>
      </c>
      <c r="AD236" s="6">
        <f>2+21+10+3+5+4+0+4+0</f>
        <v>49</v>
      </c>
      <c r="AE236" s="6">
        <f>5+0+6+15+4+8+8+8+0</f>
        <v>54</v>
      </c>
      <c r="AF236" s="6">
        <f>31+85+35+120+19+2+38+2+8</f>
        <v>340</v>
      </c>
      <c r="AG236" s="6">
        <f>1+0+0+0+1.2+0+4+0+1</f>
        <v>7.2</v>
      </c>
      <c r="AH236" s="6">
        <f>320+7+430+600+30+280+270+280+150</f>
        <v>2367</v>
      </c>
      <c r="AI236" s="6">
        <f t="shared" si="400"/>
        <v>3.5508211273857081E-2</v>
      </c>
      <c r="AJ236" s="6">
        <f t="shared" si="401"/>
        <v>2.1748779405237461E-2</v>
      </c>
      <c r="AK236" s="6">
        <f t="shared" si="402"/>
        <v>2.3968042609853527E-2</v>
      </c>
      <c r="AL236" s="6">
        <f t="shared" si="403"/>
        <v>0.15090989791389259</v>
      </c>
      <c r="AM236" s="6">
        <f t="shared" si="404"/>
        <v>3.1957390146471372E-3</v>
      </c>
      <c r="AN236" s="6">
        <f t="shared" si="405"/>
        <v>1.0505992010652463</v>
      </c>
      <c r="AO236" s="7">
        <v>4</v>
      </c>
      <c r="AP236" s="7">
        <v>3</v>
      </c>
      <c r="AQ236" s="7">
        <v>0</v>
      </c>
      <c r="AR236" s="10">
        <v>0</v>
      </c>
      <c r="AS236" s="7">
        <v>0</v>
      </c>
      <c r="AT236" s="7">
        <v>0</v>
      </c>
      <c r="AU236" s="7">
        <v>0</v>
      </c>
      <c r="AV236" s="7">
        <v>0</v>
      </c>
      <c r="AW236" s="7">
        <v>31</v>
      </c>
      <c r="AX236" s="7">
        <v>1</v>
      </c>
      <c r="AY236" s="5">
        <v>6</v>
      </c>
      <c r="AZ236" s="7">
        <v>0</v>
      </c>
      <c r="BA236" s="7">
        <v>0</v>
      </c>
      <c r="BB236" s="7">
        <v>0</v>
      </c>
      <c r="BC236" s="7">
        <v>1</v>
      </c>
      <c r="BD236" s="7">
        <v>1</v>
      </c>
      <c r="BE236" s="7">
        <v>0</v>
      </c>
      <c r="BF236" s="7">
        <v>0</v>
      </c>
      <c r="BG236" s="7">
        <v>0</v>
      </c>
      <c r="BH236" s="7">
        <v>0</v>
      </c>
      <c r="BI236" s="7">
        <v>0</v>
      </c>
      <c r="BJ236" s="7">
        <v>1</v>
      </c>
      <c r="BK236" s="11">
        <v>3</v>
      </c>
      <c r="BL236" s="7" t="s">
        <v>1261</v>
      </c>
      <c r="BM236" s="7">
        <v>1</v>
      </c>
    </row>
    <row r="237" spans="1:65" ht="30" customHeight="1" x14ac:dyDescent="0.3">
      <c r="A237" s="3" t="s">
        <v>16</v>
      </c>
      <c r="B237" s="3">
        <v>8</v>
      </c>
      <c r="C237" s="8">
        <v>44446</v>
      </c>
      <c r="D237" s="9">
        <v>0.33402777777777781</v>
      </c>
      <c r="E237" s="4">
        <v>69</v>
      </c>
      <c r="F237" s="3">
        <v>0</v>
      </c>
      <c r="G237" s="3">
        <v>0</v>
      </c>
      <c r="H237" s="3">
        <v>0</v>
      </c>
      <c r="I237" s="3">
        <v>0</v>
      </c>
      <c r="J237" s="9">
        <v>0.3354166666666667</v>
      </c>
      <c r="K237" s="3">
        <v>144.80000000000001</v>
      </c>
      <c r="L237" s="11">
        <f t="shared" ref="L237" si="447">K237-K236</f>
        <v>0</v>
      </c>
      <c r="M237" s="5">
        <f t="shared" ref="M237" si="448">AB236</f>
        <v>2253</v>
      </c>
      <c r="N237" s="11">
        <v>30.25</v>
      </c>
      <c r="O237" s="11">
        <v>32.375</v>
      </c>
      <c r="P237" s="11">
        <v>10.875</v>
      </c>
      <c r="Q237" s="11">
        <v>11.125</v>
      </c>
      <c r="R237" s="11">
        <v>20</v>
      </c>
      <c r="S237" s="11">
        <v>20</v>
      </c>
      <c r="T237" s="11">
        <v>16</v>
      </c>
      <c r="U237" s="11">
        <v>14</v>
      </c>
      <c r="V237" s="11">
        <v>17</v>
      </c>
      <c r="W237" s="11">
        <v>15</v>
      </c>
      <c r="X237" s="11">
        <v>7</v>
      </c>
      <c r="Y237" s="11">
        <v>7</v>
      </c>
      <c r="Z237" s="3" t="s">
        <v>1252</v>
      </c>
      <c r="AA237" s="10" t="s">
        <v>1251</v>
      </c>
      <c r="AB237" s="5">
        <f>150+100+220+100+30+405+360+90</f>
        <v>1455</v>
      </c>
      <c r="AC237" s="6">
        <f>1.5+6+4+6+0+11.25+12+4.8</f>
        <v>45.55</v>
      </c>
      <c r="AD237" s="6">
        <f>0.5+4+0+4+0+6.75+1.5+2.4</f>
        <v>19.149999999999999</v>
      </c>
      <c r="AE237" s="6">
        <f>5+8+8+8+0+13.5+6+1.8</f>
        <v>50.3</v>
      </c>
      <c r="AF237" s="6">
        <f>30+2+38+2+8+63+54+9.6</f>
        <v>206.6</v>
      </c>
      <c r="AG237" s="6">
        <f>1+0+4+0+1+2.25+3+0.6</f>
        <v>11.85</v>
      </c>
      <c r="AH237" s="6">
        <f>200+280+270+280+150+810+630+15</f>
        <v>2635</v>
      </c>
      <c r="AI237" s="6">
        <f t="shared" si="400"/>
        <v>3.1305841924398621E-2</v>
      </c>
      <c r="AJ237" s="6">
        <f t="shared" si="401"/>
        <v>1.3161512027491409E-2</v>
      </c>
      <c r="AK237" s="6">
        <f t="shared" si="402"/>
        <v>3.4570446735395187E-2</v>
      </c>
      <c r="AL237" s="6">
        <f t="shared" si="403"/>
        <v>0.14199312714776632</v>
      </c>
      <c r="AM237" s="6">
        <f t="shared" si="404"/>
        <v>8.1443298969072157E-3</v>
      </c>
      <c r="AN237" s="6">
        <f t="shared" si="405"/>
        <v>1.8109965635738832</v>
      </c>
      <c r="AO237" s="7">
        <v>5</v>
      </c>
      <c r="AP237" s="7">
        <v>2</v>
      </c>
      <c r="AQ237" s="7">
        <v>0</v>
      </c>
      <c r="AR237" s="10">
        <v>0</v>
      </c>
      <c r="AS237" s="7">
        <v>0</v>
      </c>
      <c r="AT237" s="7">
        <v>0</v>
      </c>
      <c r="AU237" s="7">
        <v>0</v>
      </c>
      <c r="AV237" s="7">
        <v>0</v>
      </c>
      <c r="AW237" s="7">
        <v>31</v>
      </c>
      <c r="AX237" s="7">
        <v>0</v>
      </c>
      <c r="AY237" s="5">
        <v>7</v>
      </c>
      <c r="AZ237" s="7">
        <v>0</v>
      </c>
      <c r="BA237" s="7">
        <v>1</v>
      </c>
      <c r="BB237" s="7">
        <v>0</v>
      </c>
      <c r="BC237" s="7">
        <v>1</v>
      </c>
      <c r="BD237" s="7">
        <v>1</v>
      </c>
      <c r="BE237" s="7">
        <v>0</v>
      </c>
      <c r="BF237" s="7">
        <v>0</v>
      </c>
      <c r="BG237" s="7">
        <v>0</v>
      </c>
      <c r="BH237" s="7">
        <v>0</v>
      </c>
      <c r="BI237" s="7">
        <v>0</v>
      </c>
      <c r="BJ237" s="7">
        <v>1</v>
      </c>
      <c r="BK237" s="11">
        <v>0</v>
      </c>
      <c r="BL237" s="7">
        <v>0</v>
      </c>
      <c r="BM237" s="7">
        <v>1</v>
      </c>
    </row>
    <row r="238" spans="1:65" ht="30" customHeight="1" x14ac:dyDescent="0.3">
      <c r="A238" s="3" t="s">
        <v>17</v>
      </c>
      <c r="B238" s="3">
        <v>9</v>
      </c>
      <c r="C238" s="8">
        <v>44447</v>
      </c>
      <c r="D238" s="9">
        <v>0.25555555555555559</v>
      </c>
      <c r="E238" s="4">
        <v>68</v>
      </c>
      <c r="F238" s="3">
        <v>0</v>
      </c>
      <c r="G238" s="3">
        <v>0</v>
      </c>
      <c r="H238" s="3">
        <v>0</v>
      </c>
      <c r="I238" s="3">
        <v>0</v>
      </c>
      <c r="J238" s="9">
        <v>0.28194444444444444</v>
      </c>
      <c r="K238" s="3">
        <v>144.80000000000001</v>
      </c>
      <c r="L238" s="11">
        <f t="shared" ref="L238" si="449">K238-K237</f>
        <v>0</v>
      </c>
      <c r="M238" s="5">
        <f t="shared" ref="M238" si="450">AB237</f>
        <v>1455</v>
      </c>
      <c r="N238" s="11">
        <v>30.75</v>
      </c>
      <c r="O238" s="11">
        <v>32.25</v>
      </c>
      <c r="P238" s="11">
        <v>10.875</v>
      </c>
      <c r="Q238" s="11">
        <v>10.875</v>
      </c>
      <c r="R238" s="11">
        <v>20</v>
      </c>
      <c r="S238" s="11">
        <v>20.625</v>
      </c>
      <c r="T238" s="11">
        <v>16</v>
      </c>
      <c r="U238" s="11">
        <v>13</v>
      </c>
      <c r="V238" s="11">
        <v>16</v>
      </c>
      <c r="W238" s="11">
        <v>13</v>
      </c>
      <c r="X238" s="11">
        <v>7</v>
      </c>
      <c r="Y238" s="11">
        <v>7</v>
      </c>
      <c r="Z238" s="3" t="s">
        <v>1259</v>
      </c>
      <c r="AA238" s="10" t="s">
        <v>1258</v>
      </c>
      <c r="AB238" s="5">
        <f>600+630+150+330+240+80+0+0</f>
        <v>2030</v>
      </c>
      <c r="AC238" s="6">
        <f>20+24+8+18+2+5+0+0</f>
        <v>77</v>
      </c>
      <c r="AD238" s="6">
        <f>2.5+6+1+9+0.5+3.5+0+0</f>
        <v>22.5</v>
      </c>
      <c r="AE238" s="6">
        <f>10+15+2+26+8+6+0+0</f>
        <v>67</v>
      </c>
      <c r="AF238" s="6">
        <f>90+93+18+16+46+2+1+0</f>
        <v>266</v>
      </c>
      <c r="AG238" s="6">
        <f>5+3+1+2+2+0+0+0</f>
        <v>13</v>
      </c>
      <c r="AH238" s="6">
        <f>1050+960+190+420+630+190+260+55</f>
        <v>3755</v>
      </c>
      <c r="AI238" s="6">
        <f t="shared" si="400"/>
        <v>3.793103448275862E-2</v>
      </c>
      <c r="AJ238" s="6">
        <f t="shared" si="401"/>
        <v>1.1083743842364532E-2</v>
      </c>
      <c r="AK238" s="6">
        <f t="shared" si="402"/>
        <v>3.3004926108374383E-2</v>
      </c>
      <c r="AL238" s="6">
        <f t="shared" si="403"/>
        <v>0.1310344827586207</v>
      </c>
      <c r="AM238" s="6">
        <f t="shared" si="404"/>
        <v>6.4039408866995075E-3</v>
      </c>
      <c r="AN238" s="6">
        <f t="shared" si="405"/>
        <v>1.8497536945812807</v>
      </c>
      <c r="AO238" s="7">
        <v>4</v>
      </c>
      <c r="AP238" s="7">
        <v>1</v>
      </c>
      <c r="AQ238" s="7">
        <v>0</v>
      </c>
      <c r="AR238" s="10">
        <v>0</v>
      </c>
      <c r="AS238" s="7">
        <v>0</v>
      </c>
      <c r="AT238" s="7">
        <v>0</v>
      </c>
      <c r="AU238" s="7">
        <v>0</v>
      </c>
      <c r="AV238" s="7">
        <v>0</v>
      </c>
      <c r="AW238" s="7">
        <v>31</v>
      </c>
      <c r="AX238" s="7">
        <v>1</v>
      </c>
      <c r="AY238" s="5">
        <v>8</v>
      </c>
      <c r="AZ238" s="7">
        <v>0</v>
      </c>
      <c r="BA238" s="7">
        <v>1</v>
      </c>
      <c r="BB238" s="7">
        <v>0</v>
      </c>
      <c r="BC238" s="7">
        <v>1</v>
      </c>
      <c r="BD238" s="7">
        <v>1</v>
      </c>
      <c r="BE238" s="7">
        <v>0</v>
      </c>
      <c r="BF238" s="7">
        <v>0</v>
      </c>
      <c r="BG238" s="7">
        <v>0</v>
      </c>
      <c r="BH238" s="7">
        <v>0</v>
      </c>
      <c r="BI238" s="7">
        <v>0</v>
      </c>
      <c r="BJ238" s="7">
        <v>1</v>
      </c>
      <c r="BK238" s="11">
        <v>0</v>
      </c>
      <c r="BL238" s="7">
        <v>0</v>
      </c>
      <c r="BM238" s="7">
        <v>1</v>
      </c>
    </row>
    <row r="239" spans="1:65" ht="30" customHeight="1" x14ac:dyDescent="0.3">
      <c r="A239" s="3" t="s">
        <v>18</v>
      </c>
      <c r="B239" s="3">
        <v>10</v>
      </c>
      <c r="C239" s="8">
        <v>44448</v>
      </c>
      <c r="D239" s="9">
        <v>0.84375</v>
      </c>
      <c r="E239" s="4">
        <v>83</v>
      </c>
      <c r="F239" s="3">
        <v>0</v>
      </c>
      <c r="G239" s="3">
        <v>0</v>
      </c>
      <c r="H239" s="3">
        <v>0</v>
      </c>
      <c r="I239" s="3">
        <v>0.75</v>
      </c>
      <c r="J239" s="9">
        <v>0.2951388888888889</v>
      </c>
      <c r="K239" s="3">
        <v>144</v>
      </c>
      <c r="L239" s="11">
        <f t="shared" ref="L239" si="451">K239-K238</f>
        <v>-0.80000000000001137</v>
      </c>
      <c r="M239" s="5">
        <f t="shared" ref="M239" si="452">AB238</f>
        <v>2030</v>
      </c>
      <c r="N239" s="11">
        <v>30.75</v>
      </c>
      <c r="O239" s="11">
        <v>32.875</v>
      </c>
      <c r="P239" s="11">
        <v>11</v>
      </c>
      <c r="Q239" s="11">
        <v>10.875</v>
      </c>
      <c r="R239" s="11">
        <v>20</v>
      </c>
      <c r="S239" s="11">
        <v>20.125</v>
      </c>
      <c r="T239" s="11">
        <v>15</v>
      </c>
      <c r="U239" s="11">
        <v>16</v>
      </c>
      <c r="V239" s="11">
        <v>15</v>
      </c>
      <c r="W239" s="11">
        <v>15</v>
      </c>
      <c r="X239" s="11">
        <v>7</v>
      </c>
      <c r="Y239" s="11">
        <v>7</v>
      </c>
      <c r="Z239" s="3" t="s">
        <v>1263</v>
      </c>
      <c r="AA239" s="10" t="s">
        <v>1262</v>
      </c>
      <c r="AB239" s="5">
        <f>320+165+120+60+0+0+270+600+315</f>
        <v>1850</v>
      </c>
      <c r="AC239" s="6">
        <f>20.8+9+1+3.75+0+0+7.5+20+12</f>
        <v>74.05</v>
      </c>
      <c r="AD239" s="6">
        <f>4.5+0.25+2.6+0+0+4.5+2.5+3</f>
        <v>17.350000000000001</v>
      </c>
      <c r="AE239" s="6">
        <f>3.2+13+4+4.5+0+0+9+10+7.5</f>
        <v>51.2</v>
      </c>
      <c r="AF239" s="6">
        <f>35.2+8+23+1.5+1+0+42+90+46.5</f>
        <v>247.2</v>
      </c>
      <c r="AG239" s="6">
        <f>3.2+1+1+0+0+0+1.5+5+1.5</f>
        <v>13.2</v>
      </c>
      <c r="AH239" s="6">
        <f>32+210+315+142.5+260+55+540+1050+480</f>
        <v>3084.5</v>
      </c>
      <c r="AI239" s="6">
        <f t="shared" si="400"/>
        <v>4.0027027027027026E-2</v>
      </c>
      <c r="AJ239" s="6">
        <f t="shared" si="401"/>
        <v>9.3783783783783787E-3</v>
      </c>
      <c r="AK239" s="6">
        <f t="shared" si="402"/>
        <v>2.7675675675675679E-2</v>
      </c>
      <c r="AL239" s="6">
        <f t="shared" si="403"/>
        <v>0.13362162162162161</v>
      </c>
      <c r="AM239" s="6">
        <f t="shared" si="404"/>
        <v>7.1351351351351348E-3</v>
      </c>
      <c r="AN239" s="6">
        <f t="shared" si="405"/>
        <v>1.6672972972972973</v>
      </c>
      <c r="AO239" s="7">
        <v>6</v>
      </c>
      <c r="AP239" s="7">
        <v>1</v>
      </c>
      <c r="AQ239" s="7">
        <v>0</v>
      </c>
      <c r="AR239" s="10" t="s">
        <v>1260</v>
      </c>
      <c r="AS239" s="7">
        <v>0</v>
      </c>
      <c r="AT239" s="7">
        <v>0</v>
      </c>
      <c r="AU239" s="7">
        <v>0</v>
      </c>
      <c r="AV239" s="7">
        <v>0</v>
      </c>
      <c r="AW239" s="7">
        <v>31</v>
      </c>
      <c r="AX239" s="7">
        <v>0</v>
      </c>
      <c r="AY239" s="5">
        <v>7.5</v>
      </c>
      <c r="AZ239" s="7">
        <v>0</v>
      </c>
      <c r="BA239" s="7">
        <v>0</v>
      </c>
      <c r="BB239" s="7">
        <v>0</v>
      </c>
      <c r="BC239" s="7">
        <v>1</v>
      </c>
      <c r="BD239" s="7">
        <v>1</v>
      </c>
      <c r="BE239" s="7">
        <v>0</v>
      </c>
      <c r="BF239" s="7">
        <v>0</v>
      </c>
      <c r="BG239" s="7">
        <v>0</v>
      </c>
      <c r="BH239" s="7">
        <v>0</v>
      </c>
      <c r="BI239" s="7">
        <v>0</v>
      </c>
      <c r="BJ239" s="7">
        <v>1</v>
      </c>
      <c r="BK239" s="11">
        <v>1</v>
      </c>
      <c r="BL239" s="7" t="s">
        <v>1129</v>
      </c>
      <c r="BM239" s="7">
        <v>1</v>
      </c>
    </row>
    <row r="240" spans="1:65" ht="30" customHeight="1" x14ac:dyDescent="0.3">
      <c r="A240" s="3" t="s">
        <v>137</v>
      </c>
      <c r="B240" s="3">
        <v>11</v>
      </c>
      <c r="C240" s="8">
        <v>44449</v>
      </c>
      <c r="D240" s="9">
        <v>0.63541666666666663</v>
      </c>
      <c r="E240" s="4">
        <v>93</v>
      </c>
      <c r="F240" s="3">
        <v>0</v>
      </c>
      <c r="G240" s="3">
        <v>0</v>
      </c>
      <c r="H240" s="3">
        <v>0</v>
      </c>
      <c r="I240" s="3">
        <v>0.25</v>
      </c>
      <c r="J240" s="9">
        <v>0.30694444444444441</v>
      </c>
      <c r="K240" s="3">
        <v>145.4</v>
      </c>
      <c r="L240" s="11">
        <f t="shared" ref="L240" si="453">K240-K239</f>
        <v>1.4000000000000057</v>
      </c>
      <c r="M240" s="5">
        <f t="shared" ref="M240" si="454">AB239</f>
        <v>1850</v>
      </c>
      <c r="N240" s="11">
        <v>31.125</v>
      </c>
      <c r="O240" s="11">
        <v>32.875</v>
      </c>
      <c r="P240" s="11">
        <v>11</v>
      </c>
      <c r="Q240" s="11">
        <v>11</v>
      </c>
      <c r="R240" s="11">
        <v>20.25</v>
      </c>
      <c r="S240" s="11">
        <v>20.25</v>
      </c>
      <c r="T240" s="11">
        <v>17</v>
      </c>
      <c r="U240" s="11">
        <v>17</v>
      </c>
      <c r="V240" s="11">
        <v>16</v>
      </c>
      <c r="W240" s="11">
        <v>15</v>
      </c>
      <c r="X240" s="11">
        <v>7</v>
      </c>
      <c r="Y240" s="11">
        <v>7</v>
      </c>
      <c r="Z240" s="3" t="s">
        <v>1268</v>
      </c>
      <c r="AA240" s="10" t="s">
        <v>1267</v>
      </c>
      <c r="AB240" s="12">
        <f>630+420+200+240+80+11.5+0</f>
        <v>1581.5</v>
      </c>
      <c r="AC240" s="6">
        <f>36+16+13+2+5+0+0</f>
        <v>72</v>
      </c>
      <c r="AD240" s="6">
        <f>13.5+4+12+1+3.5+0+0</f>
        <v>34</v>
      </c>
      <c r="AE240" s="6">
        <f>18+10+2+8+6+0+0</f>
        <v>44</v>
      </c>
      <c r="AF240" s="6">
        <f>51+62+22+46+2+2.3+0</f>
        <v>185.3</v>
      </c>
      <c r="AG240" s="6">
        <f>0+2+2+2+0+0+0</f>
        <v>6</v>
      </c>
      <c r="AH240" s="6">
        <f>1050+640+20+630+190+920+55</f>
        <v>3505</v>
      </c>
      <c r="AI240" s="6">
        <f t="shared" si="400"/>
        <v>4.5526398988302241E-2</v>
      </c>
      <c r="AJ240" s="6">
        <f t="shared" si="401"/>
        <v>2.1498577300031615E-2</v>
      </c>
      <c r="AK240" s="6">
        <f t="shared" si="402"/>
        <v>2.7821688270629148E-2</v>
      </c>
      <c r="AL240" s="6">
        <f t="shared" si="403"/>
        <v>0.11716724628517231</v>
      </c>
      <c r="AM240" s="6">
        <f t="shared" si="404"/>
        <v>3.7938665823585203E-3</v>
      </c>
      <c r="AN240" s="6">
        <f t="shared" si="405"/>
        <v>2.2162503951944355</v>
      </c>
      <c r="AO240" s="7">
        <v>5</v>
      </c>
      <c r="AP240" s="7">
        <v>1</v>
      </c>
      <c r="AQ240" s="7">
        <v>0</v>
      </c>
      <c r="AR240" s="10" t="s">
        <v>1265</v>
      </c>
      <c r="AS240" s="7">
        <v>0</v>
      </c>
      <c r="AT240" s="7">
        <v>0</v>
      </c>
      <c r="AU240" s="7">
        <v>0</v>
      </c>
      <c r="AV240" s="7">
        <v>0</v>
      </c>
      <c r="AW240" s="7">
        <v>31</v>
      </c>
      <c r="AX240" s="7">
        <v>1</v>
      </c>
      <c r="AY240" s="5">
        <v>6.25</v>
      </c>
      <c r="AZ240" s="7">
        <v>0</v>
      </c>
      <c r="BA240" s="7">
        <v>0</v>
      </c>
      <c r="BB240" s="7">
        <v>0</v>
      </c>
      <c r="BC240" s="7">
        <v>1</v>
      </c>
      <c r="BD240" s="7">
        <v>1</v>
      </c>
      <c r="BE240" s="7">
        <v>0</v>
      </c>
      <c r="BF240" s="7">
        <v>1</v>
      </c>
      <c r="BG240" s="7">
        <v>15</v>
      </c>
      <c r="BH240" s="7">
        <v>0</v>
      </c>
      <c r="BI240" s="7">
        <v>0</v>
      </c>
      <c r="BJ240" s="7">
        <v>1</v>
      </c>
      <c r="BK240" s="11">
        <v>1</v>
      </c>
      <c r="BL240" s="7" t="s">
        <v>1129</v>
      </c>
      <c r="BM240" s="7">
        <v>1</v>
      </c>
    </row>
    <row r="241" spans="1:65" ht="30" customHeight="1" x14ac:dyDescent="0.3">
      <c r="A241" s="3" t="s">
        <v>19</v>
      </c>
      <c r="B241" s="3">
        <v>12</v>
      </c>
      <c r="C241" s="8">
        <v>44450</v>
      </c>
      <c r="D241" s="9">
        <v>0.76041666666666663</v>
      </c>
      <c r="E241" s="4">
        <v>92</v>
      </c>
      <c r="F241" s="3">
        <v>5</v>
      </c>
      <c r="G241" s="3">
        <v>3</v>
      </c>
      <c r="H241" s="3">
        <v>15</v>
      </c>
      <c r="I241" s="3">
        <v>0.25</v>
      </c>
      <c r="J241" s="9">
        <v>0.26597222222222222</v>
      </c>
      <c r="K241" s="3">
        <v>145.6</v>
      </c>
      <c r="L241" s="11">
        <f t="shared" ref="L241" si="455">K241-K240</f>
        <v>0.19999999999998863</v>
      </c>
      <c r="M241" s="5">
        <f t="shared" ref="M241" si="456">AB240</f>
        <v>1581.5</v>
      </c>
      <c r="N241" s="11">
        <v>30.5</v>
      </c>
      <c r="O241" s="11">
        <v>32.25</v>
      </c>
      <c r="P241" s="11">
        <v>10.875</v>
      </c>
      <c r="Q241" s="11">
        <v>11.125</v>
      </c>
      <c r="R241" s="11">
        <v>20.125</v>
      </c>
      <c r="S241" s="11">
        <v>20.375</v>
      </c>
      <c r="T241" s="11">
        <v>15</v>
      </c>
      <c r="U241" s="11">
        <v>16</v>
      </c>
      <c r="V241" s="11">
        <v>15</v>
      </c>
      <c r="W241" s="11">
        <v>15</v>
      </c>
      <c r="X241" s="11">
        <v>7</v>
      </c>
      <c r="Y241" s="11">
        <v>7</v>
      </c>
      <c r="Z241" s="3" t="s">
        <v>1274</v>
      </c>
      <c r="AA241" s="10" t="s">
        <v>1273</v>
      </c>
      <c r="AB241" s="5">
        <f>240+80+5.75+0+240+640+187+380+75+242</f>
        <v>2089.75</v>
      </c>
      <c r="AC241" s="6">
        <f>2+5+0+2+0+9+17+5+22</f>
        <v>62</v>
      </c>
      <c r="AD241" s="6">
        <f>1+3.5+0+0+1+0+1+9+5+3</f>
        <v>23.5</v>
      </c>
      <c r="AE241" s="6">
        <f>8+6+0+0+8+8+0+9+1+3</f>
        <v>43</v>
      </c>
      <c r="AF241" s="6">
        <f>46+2+1.15+0+46+152+27+48+8+13</f>
        <v>343.15</v>
      </c>
      <c r="AG241" s="6">
        <f>2+0+0+0+2+0+3+3+1+14</f>
        <v>25</v>
      </c>
      <c r="AH241" s="6">
        <f>630+190+460+55+630+160+20+880+8+11</f>
        <v>3044</v>
      </c>
      <c r="AI241" s="6">
        <f t="shared" si="400"/>
        <v>2.9668620648402918E-2</v>
      </c>
      <c r="AJ241" s="6">
        <f t="shared" si="401"/>
        <v>1.1245364278023686E-2</v>
      </c>
      <c r="AK241" s="6">
        <f t="shared" si="402"/>
        <v>2.0576623998085894E-2</v>
      </c>
      <c r="AL241" s="6">
        <f t="shared" si="403"/>
        <v>0.16420624476612034</v>
      </c>
      <c r="AM241" s="6">
        <f t="shared" si="404"/>
        <v>1.1963153487259242E-2</v>
      </c>
      <c r="AN241" s="6">
        <f t="shared" si="405"/>
        <v>1.4566335686086853</v>
      </c>
      <c r="AO241" s="7">
        <v>5</v>
      </c>
      <c r="AP241" s="7">
        <v>1</v>
      </c>
      <c r="AQ241" s="7">
        <v>0</v>
      </c>
      <c r="AR241" s="10" t="s">
        <v>1271</v>
      </c>
      <c r="AS241" s="7">
        <v>0</v>
      </c>
      <c r="AT241" s="7">
        <v>0</v>
      </c>
      <c r="AU241" s="7">
        <v>0</v>
      </c>
      <c r="AV241" s="7">
        <v>0</v>
      </c>
      <c r="AW241" s="7">
        <v>31</v>
      </c>
      <c r="AX241" s="7">
        <v>1</v>
      </c>
      <c r="AY241" s="5">
        <v>5.75</v>
      </c>
      <c r="AZ241" s="7">
        <v>0</v>
      </c>
      <c r="BA241" s="7">
        <v>0</v>
      </c>
      <c r="BB241" s="7">
        <v>0</v>
      </c>
      <c r="BC241" s="7">
        <v>1</v>
      </c>
      <c r="BD241" s="7">
        <v>1</v>
      </c>
      <c r="BE241" s="7">
        <v>0</v>
      </c>
      <c r="BF241" s="7">
        <v>0</v>
      </c>
      <c r="BG241" s="7">
        <v>0</v>
      </c>
      <c r="BH241" s="7">
        <v>0</v>
      </c>
      <c r="BI241" s="7">
        <v>0</v>
      </c>
      <c r="BJ241" s="7">
        <v>1</v>
      </c>
      <c r="BK241" s="11">
        <v>2</v>
      </c>
      <c r="BL241" s="7" t="s">
        <v>1129</v>
      </c>
      <c r="BM241" s="7">
        <v>1</v>
      </c>
    </row>
    <row r="242" spans="1:65" ht="30" customHeight="1" x14ac:dyDescent="0.3">
      <c r="A242" s="3" t="s">
        <v>23</v>
      </c>
      <c r="B242" s="3">
        <v>13</v>
      </c>
      <c r="C242" s="8">
        <v>44451</v>
      </c>
      <c r="D242" s="9">
        <v>0.2986111111111111</v>
      </c>
      <c r="E242" s="4">
        <v>72</v>
      </c>
      <c r="F242" s="3">
        <v>0</v>
      </c>
      <c r="G242" s="3">
        <v>0</v>
      </c>
      <c r="H242" s="3">
        <v>0</v>
      </c>
      <c r="I242" s="3">
        <v>0</v>
      </c>
      <c r="J242" s="9">
        <v>0.30902777777777779</v>
      </c>
      <c r="K242" s="3">
        <v>145.4</v>
      </c>
      <c r="L242" s="11">
        <f t="shared" ref="L242" si="457">K242-K241</f>
        <v>-0.19999999999998863</v>
      </c>
      <c r="M242" s="5">
        <f t="shared" ref="M242" si="458">AB241</f>
        <v>2089.75</v>
      </c>
      <c r="N242" s="11">
        <v>30.625</v>
      </c>
      <c r="O242" s="11">
        <v>32.625</v>
      </c>
      <c r="P242" s="11">
        <v>11</v>
      </c>
      <c r="Q242" s="11">
        <v>11</v>
      </c>
      <c r="R242" s="11">
        <v>20.25</v>
      </c>
      <c r="S242" s="11">
        <v>20.125</v>
      </c>
      <c r="T242" s="11">
        <v>15</v>
      </c>
      <c r="U242" s="11">
        <v>16</v>
      </c>
      <c r="V242" s="11">
        <v>17</v>
      </c>
      <c r="W242" s="11">
        <v>17</v>
      </c>
      <c r="X242" s="11">
        <v>7</v>
      </c>
      <c r="Y242" s="11">
        <v>7</v>
      </c>
      <c r="Z242" s="3" t="s">
        <v>1275</v>
      </c>
      <c r="AA242" s="10" t="s">
        <v>1277</v>
      </c>
      <c r="AB242" s="5">
        <f>420+480+280+579+51</f>
        <v>1810</v>
      </c>
      <c r="AC242" s="6">
        <f>16+0+14+11+5</f>
        <v>46</v>
      </c>
      <c r="AD242" s="6">
        <f>4+0+2+2+3</f>
        <v>11</v>
      </c>
      <c r="AE242" s="6">
        <f>10+6+0+18+1</f>
        <v>35</v>
      </c>
      <c r="AF242" s="6">
        <f>62+114+40+102+0.4</f>
        <v>318.39999999999998</v>
      </c>
      <c r="AG242" s="6">
        <f>2+0+4+8+0</f>
        <v>14</v>
      </c>
      <c r="AH242" s="6">
        <f>640+120+30+1731+43</f>
        <v>2564</v>
      </c>
      <c r="AI242" s="6">
        <f t="shared" si="400"/>
        <v>2.541436464088398E-2</v>
      </c>
      <c r="AJ242" s="6">
        <f t="shared" si="401"/>
        <v>6.0773480662983425E-3</v>
      </c>
      <c r="AK242" s="6">
        <f t="shared" si="402"/>
        <v>1.9337016574585635E-2</v>
      </c>
      <c r="AL242" s="6">
        <f t="shared" si="403"/>
        <v>0.17591160220994473</v>
      </c>
      <c r="AM242" s="6">
        <f t="shared" si="404"/>
        <v>7.7348066298342545E-3</v>
      </c>
      <c r="AN242" s="6">
        <f t="shared" si="405"/>
        <v>1.4165745856353591</v>
      </c>
      <c r="AO242" s="7">
        <v>4</v>
      </c>
      <c r="AP242" s="7">
        <v>1</v>
      </c>
      <c r="AQ242" s="7">
        <v>0</v>
      </c>
      <c r="AR242" s="7">
        <v>0</v>
      </c>
      <c r="AS242" s="7">
        <v>0</v>
      </c>
      <c r="AT242" s="7">
        <v>0</v>
      </c>
      <c r="AU242" s="7">
        <v>0</v>
      </c>
      <c r="AV242" s="7">
        <v>0</v>
      </c>
      <c r="AW242" s="7">
        <v>31</v>
      </c>
      <c r="AX242" s="7">
        <v>1</v>
      </c>
      <c r="AY242" s="5">
        <v>6.5</v>
      </c>
      <c r="AZ242" s="7">
        <v>0</v>
      </c>
      <c r="BA242" s="7">
        <v>0</v>
      </c>
      <c r="BB242" s="7">
        <v>0</v>
      </c>
      <c r="BC242" s="7">
        <v>1</v>
      </c>
      <c r="BD242" s="7">
        <v>1</v>
      </c>
      <c r="BE242" s="7">
        <v>0</v>
      </c>
      <c r="BF242" s="7">
        <v>0</v>
      </c>
      <c r="BG242" s="7">
        <v>0</v>
      </c>
      <c r="BH242" s="7">
        <v>0</v>
      </c>
      <c r="BI242" s="7">
        <v>0</v>
      </c>
      <c r="BJ242" s="7">
        <v>1</v>
      </c>
      <c r="BK242" s="11">
        <v>2</v>
      </c>
      <c r="BL242" s="7" t="s">
        <v>1129</v>
      </c>
      <c r="BM242" s="7">
        <v>1</v>
      </c>
    </row>
    <row r="243" spans="1:65" ht="30" customHeight="1" x14ac:dyDescent="0.3">
      <c r="A243" s="3" t="s">
        <v>15</v>
      </c>
      <c r="B243" s="3">
        <v>14</v>
      </c>
      <c r="C243" s="8">
        <v>44452</v>
      </c>
      <c r="D243" s="9">
        <v>0.63541666666666663</v>
      </c>
      <c r="E243" s="4">
        <v>100</v>
      </c>
      <c r="F243" s="3">
        <v>0</v>
      </c>
      <c r="G243" s="3">
        <v>0</v>
      </c>
      <c r="H243" s="3">
        <v>0</v>
      </c>
      <c r="I243" s="3">
        <v>0.5</v>
      </c>
      <c r="J243" s="9">
        <v>0.34236111111111112</v>
      </c>
      <c r="K243" s="3">
        <v>147.19999999999999</v>
      </c>
      <c r="L243" s="11">
        <f t="shared" ref="L243" si="459">K243-K242</f>
        <v>1.7999999999999829</v>
      </c>
      <c r="M243" s="5">
        <f t="shared" ref="M243" si="460">AB242</f>
        <v>1810</v>
      </c>
      <c r="N243" s="11">
        <v>31</v>
      </c>
      <c r="O243" s="11">
        <v>32.5</v>
      </c>
      <c r="P243" s="11">
        <v>10.75</v>
      </c>
      <c r="Q243" s="11">
        <v>11</v>
      </c>
      <c r="R243" s="11">
        <v>20.375</v>
      </c>
      <c r="S243" s="11">
        <v>20.375</v>
      </c>
      <c r="T243" s="11">
        <v>17</v>
      </c>
      <c r="U243" s="11">
        <v>16</v>
      </c>
      <c r="V243" s="11">
        <v>17</v>
      </c>
      <c r="W243" s="11">
        <v>15</v>
      </c>
      <c r="X243" s="11">
        <v>7</v>
      </c>
      <c r="Y243" s="11">
        <v>7</v>
      </c>
      <c r="Z243" s="3" t="s">
        <v>1281</v>
      </c>
      <c r="AA243" s="10" t="s">
        <v>1283</v>
      </c>
      <c r="AB243" s="5">
        <f>315+230+60+240+300+80+6+0+220</f>
        <v>1451</v>
      </c>
      <c r="AC243" s="6">
        <f>12+1+4+0+12+5+0+0+4.5</f>
        <v>38.5</v>
      </c>
      <c r="AD243" s="6">
        <f>3+1+3+0+2+3.5+0+0+2.5</f>
        <v>15</v>
      </c>
      <c r="AE243" s="6">
        <f>8+8+5+3+4+6+0+0+7</f>
        <v>41</v>
      </c>
      <c r="AF243" s="6">
        <f>47+46+2+57+40+2+1+0+39</f>
        <v>234</v>
      </c>
      <c r="AG243" s="6">
        <f>1.5+2+0+0+2+0+0+0+1</f>
        <v>6.5</v>
      </c>
      <c r="AH243" s="6">
        <f>480+400+143+60+720+190+460+55+280</f>
        <v>2788</v>
      </c>
      <c r="AI243" s="6">
        <f t="shared" si="400"/>
        <v>2.653342522398346E-2</v>
      </c>
      <c r="AJ243" s="6">
        <f t="shared" si="401"/>
        <v>1.0337698139214336E-2</v>
      </c>
      <c r="AK243" s="6">
        <f t="shared" si="402"/>
        <v>2.8256374913852515E-2</v>
      </c>
      <c r="AL243" s="6">
        <f t="shared" si="403"/>
        <v>0.16126809097174363</v>
      </c>
      <c r="AM243" s="6">
        <f t="shared" si="404"/>
        <v>4.4796691936595454E-3</v>
      </c>
      <c r="AN243" s="6">
        <f t="shared" si="405"/>
        <v>1.9214334941419711</v>
      </c>
      <c r="AO243" s="7">
        <v>5</v>
      </c>
      <c r="AP243" s="7">
        <v>1</v>
      </c>
      <c r="AQ243" s="7">
        <v>0</v>
      </c>
      <c r="AR243" s="10" t="s">
        <v>1280</v>
      </c>
      <c r="AS243" s="7" t="s">
        <v>1279</v>
      </c>
      <c r="AT243" s="7">
        <v>0</v>
      </c>
      <c r="AU243" s="7">
        <f>20+10+3+5+10</f>
        <v>48</v>
      </c>
      <c r="AV243" s="7">
        <v>0</v>
      </c>
      <c r="AW243" s="7">
        <v>31</v>
      </c>
      <c r="AX243" s="7">
        <v>1</v>
      </c>
      <c r="AY243" s="5">
        <v>5</v>
      </c>
      <c r="AZ243" s="7">
        <v>0</v>
      </c>
      <c r="BA243" s="7">
        <v>0</v>
      </c>
      <c r="BB243" s="7">
        <v>0</v>
      </c>
      <c r="BC243" s="7">
        <v>1</v>
      </c>
      <c r="BD243" s="7">
        <v>1</v>
      </c>
      <c r="BE243" s="7">
        <v>0</v>
      </c>
      <c r="BF243" s="7">
        <v>0</v>
      </c>
      <c r="BG243" s="7">
        <v>0</v>
      </c>
      <c r="BH243" s="7">
        <v>0</v>
      </c>
      <c r="BI243" s="7">
        <v>0</v>
      </c>
      <c r="BJ243" s="7">
        <v>1</v>
      </c>
      <c r="BK243" s="11">
        <v>1</v>
      </c>
      <c r="BL243" s="7" t="s">
        <v>1129</v>
      </c>
      <c r="BM243" s="7">
        <v>1</v>
      </c>
    </row>
    <row r="244" spans="1:65" ht="30" customHeight="1" x14ac:dyDescent="0.3">
      <c r="A244" s="3" t="s">
        <v>16</v>
      </c>
      <c r="B244" s="3">
        <v>15</v>
      </c>
      <c r="C244" s="8">
        <v>44453</v>
      </c>
      <c r="D244" s="9">
        <v>0.5625</v>
      </c>
      <c r="E244" s="4">
        <v>90</v>
      </c>
      <c r="F244" s="3">
        <v>7</v>
      </c>
      <c r="G244" s="3">
        <v>3</v>
      </c>
      <c r="H244" s="3">
        <v>21</v>
      </c>
      <c r="I244" s="3">
        <v>0.5</v>
      </c>
      <c r="J244" s="9">
        <v>0.3347222222222222</v>
      </c>
      <c r="K244" s="3">
        <v>145.80000000000001</v>
      </c>
      <c r="L244" s="11">
        <f t="shared" ref="L244" si="461">K244-K243</f>
        <v>-1.3999999999999773</v>
      </c>
      <c r="M244" s="5">
        <f t="shared" ref="M244" si="462">AB243</f>
        <v>1451</v>
      </c>
      <c r="N244" s="11">
        <v>30.5</v>
      </c>
      <c r="O244" s="11">
        <v>32.75</v>
      </c>
      <c r="P244" s="11">
        <v>10.875</v>
      </c>
      <c r="Q244" s="11">
        <v>10.875</v>
      </c>
      <c r="R244" s="11">
        <v>19.625</v>
      </c>
      <c r="S244" s="11">
        <v>20.125</v>
      </c>
      <c r="T244" s="11">
        <v>17</v>
      </c>
      <c r="U244" s="11">
        <v>17</v>
      </c>
      <c r="V244" s="11">
        <v>17</v>
      </c>
      <c r="W244" s="11">
        <v>17</v>
      </c>
      <c r="X244" s="11">
        <v>7</v>
      </c>
      <c r="Y244" s="11">
        <v>7</v>
      </c>
      <c r="Z244" s="3" t="s">
        <v>1286</v>
      </c>
      <c r="AA244" s="10" t="s">
        <v>1285</v>
      </c>
      <c r="AB244" s="5">
        <f>520+120+0+10+13+400+240+230+220+230</f>
        <v>1983</v>
      </c>
      <c r="AC244" s="6">
        <f>36+8+0+0+1+24+0+1+5+1</f>
        <v>76</v>
      </c>
      <c r="AD244" s="6">
        <f>10+5+0+0+1+13+0+1+3+1</f>
        <v>34</v>
      </c>
      <c r="AE244" s="6">
        <f>40+9+0+0+0+8+3+8+7+8</f>
        <v>83</v>
      </c>
      <c r="AF244" s="6">
        <f>10+3+0+2+1+45+57+46+39+46</f>
        <v>249</v>
      </c>
      <c r="AG244" s="6">
        <f>4+0+0+0+0+3+0+2+1+2</f>
        <v>12</v>
      </c>
      <c r="AH244" s="6">
        <f>700+285+110+800+1+133+60+400+280+400</f>
        <v>3169</v>
      </c>
      <c r="AI244" s="6">
        <f t="shared" si="400"/>
        <v>3.8325769036812909E-2</v>
      </c>
      <c r="AJ244" s="6">
        <f t="shared" si="401"/>
        <v>1.7145738779626829E-2</v>
      </c>
      <c r="AK244" s="6">
        <f t="shared" si="402"/>
        <v>4.1855774079677256E-2</v>
      </c>
      <c r="AL244" s="6">
        <f t="shared" si="403"/>
        <v>0.12556732223903178</v>
      </c>
      <c r="AM244" s="6">
        <f t="shared" si="404"/>
        <v>6.0514372163388806E-3</v>
      </c>
      <c r="AN244" s="6">
        <f t="shared" si="405"/>
        <v>1.5980837115481594</v>
      </c>
      <c r="AO244" s="7">
        <v>5</v>
      </c>
      <c r="AP244" s="7">
        <v>1</v>
      </c>
      <c r="AQ244" s="7">
        <v>0</v>
      </c>
      <c r="AR244" s="10" t="s">
        <v>1284</v>
      </c>
      <c r="AS244" s="7">
        <v>0</v>
      </c>
      <c r="AT244" s="7">
        <v>0</v>
      </c>
      <c r="AU244" s="7">
        <v>0</v>
      </c>
      <c r="AV244" s="7">
        <v>0</v>
      </c>
      <c r="AW244" s="7">
        <v>31</v>
      </c>
      <c r="AX244" s="7">
        <v>1</v>
      </c>
      <c r="AY244" s="5">
        <v>6.5</v>
      </c>
      <c r="AZ244" s="7">
        <v>0</v>
      </c>
      <c r="BA244" s="7">
        <v>0</v>
      </c>
      <c r="BB244" s="7">
        <v>0</v>
      </c>
      <c r="BC244" s="7">
        <v>1</v>
      </c>
      <c r="BD244" s="7">
        <v>1</v>
      </c>
      <c r="BE244" s="7">
        <v>0</v>
      </c>
      <c r="BF244" s="7">
        <v>0</v>
      </c>
      <c r="BG244" s="7">
        <v>0</v>
      </c>
      <c r="BH244" s="7">
        <v>0</v>
      </c>
      <c r="BI244" s="7">
        <v>0</v>
      </c>
      <c r="BJ244" s="7">
        <v>1</v>
      </c>
      <c r="BK244" s="11">
        <v>1</v>
      </c>
      <c r="BL244" s="7" t="s">
        <v>1129</v>
      </c>
      <c r="BM244" s="7">
        <v>1</v>
      </c>
    </row>
    <row r="245" spans="1:65" ht="30" customHeight="1" x14ac:dyDescent="0.3">
      <c r="A245" s="3" t="s">
        <v>17</v>
      </c>
      <c r="B245" s="3">
        <v>16</v>
      </c>
      <c r="C245" s="8">
        <v>44454</v>
      </c>
      <c r="D245" s="9">
        <v>0.27083333333333331</v>
      </c>
      <c r="E245" s="4">
        <v>61</v>
      </c>
      <c r="F245" s="3">
        <v>0</v>
      </c>
      <c r="G245" s="3">
        <v>0</v>
      </c>
      <c r="H245" s="3">
        <v>0</v>
      </c>
      <c r="I245" s="3">
        <v>0</v>
      </c>
      <c r="J245" s="9">
        <v>0.30694444444444441</v>
      </c>
      <c r="K245" s="3">
        <v>142.80000000000001</v>
      </c>
      <c r="L245" s="11">
        <f t="shared" ref="L245" si="463">K245-K244</f>
        <v>-3</v>
      </c>
      <c r="M245" s="5">
        <f t="shared" ref="M245" si="464">AB244</f>
        <v>1983</v>
      </c>
      <c r="N245" s="11">
        <v>30.5</v>
      </c>
      <c r="O245" s="11">
        <v>32.75</v>
      </c>
      <c r="P245" s="11">
        <v>10.875</v>
      </c>
      <c r="Q245" s="11">
        <v>10.875</v>
      </c>
      <c r="R245" s="11">
        <v>19.75</v>
      </c>
      <c r="S245" s="11">
        <v>20.25</v>
      </c>
      <c r="T245" s="11">
        <v>15</v>
      </c>
      <c r="U245" s="11">
        <v>15</v>
      </c>
      <c r="V245" s="11">
        <v>16</v>
      </c>
      <c r="W245" s="11">
        <v>15</v>
      </c>
      <c r="X245" s="11">
        <v>7</v>
      </c>
      <c r="Y245" s="11">
        <v>7</v>
      </c>
      <c r="Z245" s="3" t="s">
        <v>1287</v>
      </c>
      <c r="AA245" s="10" t="s">
        <v>1288</v>
      </c>
      <c r="AB245" s="5">
        <f>460+120+760+240+720+630+360</f>
        <v>3290</v>
      </c>
      <c r="AC245" s="6">
        <f>2+7.5+34+2+0+31.5+14.4</f>
        <v>91.4</v>
      </c>
      <c r="AD245" s="6">
        <f>1+5.25+18+0.5+0+4.5+2.4</f>
        <v>31.65</v>
      </c>
      <c r="AE245" s="6">
        <f>1+5.25+18+0.5+0+4.5+2.4</f>
        <v>31.65</v>
      </c>
      <c r="AF245" s="6">
        <f>92+3+96+46+171+90+48</f>
        <v>546</v>
      </c>
      <c r="AG245" s="6">
        <f>4+0+6+2+0+9+2.4</f>
        <v>23.4</v>
      </c>
      <c r="AH245" s="6">
        <f>800+285+1760+630+180+67.5+864</f>
        <v>4586.5</v>
      </c>
      <c r="AI245" s="6">
        <f t="shared" si="400"/>
        <v>2.7781155015197571E-2</v>
      </c>
      <c r="AJ245" s="6">
        <f t="shared" si="401"/>
        <v>9.6200607902735564E-3</v>
      </c>
      <c r="AK245" s="6">
        <f t="shared" si="402"/>
        <v>9.6200607902735564E-3</v>
      </c>
      <c r="AL245" s="6">
        <f t="shared" si="403"/>
        <v>0.16595744680851063</v>
      </c>
      <c r="AM245" s="6">
        <f t="shared" si="404"/>
        <v>7.112462006079027E-3</v>
      </c>
      <c r="AN245" s="6">
        <f t="shared" si="405"/>
        <v>1.3940729483282674</v>
      </c>
      <c r="AO245" s="7">
        <v>5</v>
      </c>
      <c r="AP245" s="7">
        <v>1</v>
      </c>
      <c r="AQ245" s="7">
        <v>0</v>
      </c>
      <c r="AR245" s="7">
        <v>0</v>
      </c>
      <c r="AS245" s="7">
        <v>0</v>
      </c>
      <c r="AT245" s="7">
        <v>0</v>
      </c>
      <c r="AU245" s="7">
        <v>0</v>
      </c>
      <c r="AV245" s="7">
        <v>0</v>
      </c>
      <c r="AW245" s="7">
        <v>31</v>
      </c>
      <c r="AX245" s="7">
        <v>1</v>
      </c>
      <c r="AY245" s="5">
        <v>6</v>
      </c>
      <c r="AZ245" s="7">
        <v>0</v>
      </c>
      <c r="BA245" s="7">
        <v>0</v>
      </c>
      <c r="BB245" s="7">
        <v>0</v>
      </c>
      <c r="BC245" s="7">
        <v>1</v>
      </c>
      <c r="BD245" s="7">
        <v>1</v>
      </c>
      <c r="BE245" s="7">
        <v>0</v>
      </c>
      <c r="BF245" s="7">
        <v>0</v>
      </c>
      <c r="BG245" s="7">
        <v>0</v>
      </c>
      <c r="BH245" s="7">
        <v>0</v>
      </c>
      <c r="BI245" s="7">
        <v>0</v>
      </c>
      <c r="BJ245" s="7">
        <v>1</v>
      </c>
      <c r="BK245" s="11">
        <v>1</v>
      </c>
      <c r="BL245" s="7" t="s">
        <v>1129</v>
      </c>
      <c r="BM245" s="7">
        <v>1</v>
      </c>
    </row>
    <row r="246" spans="1:65" ht="30" customHeight="1" x14ac:dyDescent="0.3">
      <c r="A246" s="3" t="s">
        <v>18</v>
      </c>
      <c r="B246" s="3">
        <v>17</v>
      </c>
      <c r="C246" s="8">
        <v>44455</v>
      </c>
      <c r="D246" s="9">
        <v>0.25</v>
      </c>
      <c r="E246" s="4">
        <v>61</v>
      </c>
      <c r="F246" s="3">
        <v>0</v>
      </c>
      <c r="G246" s="3">
        <v>0</v>
      </c>
      <c r="H246" s="3">
        <v>0</v>
      </c>
      <c r="I246" s="3">
        <v>0</v>
      </c>
      <c r="J246" s="9">
        <v>0.40625</v>
      </c>
      <c r="K246" s="3">
        <v>149.80000000000001</v>
      </c>
      <c r="L246" s="11">
        <f t="shared" ref="L246" si="465">K246-K245</f>
        <v>7</v>
      </c>
      <c r="M246" s="5">
        <f t="shared" ref="M246" si="466">AB245</f>
        <v>3290</v>
      </c>
      <c r="N246" s="11">
        <v>30.625</v>
      </c>
      <c r="O246" s="11">
        <v>32.5</v>
      </c>
      <c r="P246" s="11">
        <v>11</v>
      </c>
      <c r="Q246" s="11">
        <v>10.875</v>
      </c>
      <c r="R246" s="11">
        <v>20.125</v>
      </c>
      <c r="S246" s="11">
        <v>20.375</v>
      </c>
      <c r="T246" s="11">
        <v>15</v>
      </c>
      <c r="U246" s="11">
        <v>14</v>
      </c>
      <c r="V246" s="11">
        <v>15</v>
      </c>
      <c r="W246" s="11">
        <v>15</v>
      </c>
      <c r="X246" s="11">
        <v>7</v>
      </c>
      <c r="Y246" s="11">
        <v>7</v>
      </c>
      <c r="Z246" s="3" t="s">
        <v>1290</v>
      </c>
      <c r="AA246" s="10" t="s">
        <v>1289</v>
      </c>
      <c r="AB246" s="5">
        <f>460+120+480+640+220+150+220+80+270</f>
        <v>2640</v>
      </c>
      <c r="AC246" s="6">
        <f>2+7.5+19.2+0+4.5+9+4.5+5+10.8</f>
        <v>62.5</v>
      </c>
      <c r="AD246" s="6">
        <f>1+5.25+3.2+0+2.5+5+2.5+3.5+1.8</f>
        <v>24.75</v>
      </c>
      <c r="AE246" s="6">
        <f>16+9+6.4+8+7+2+7+6+3.6</f>
        <v>65</v>
      </c>
      <c r="AF246" s="6">
        <f>92+3+64+152+39+17+39+2+36</f>
        <v>444</v>
      </c>
      <c r="AG246" s="6">
        <f>4+0+3.2+0+1+1+1+0+1.8</f>
        <v>12</v>
      </c>
      <c r="AH246" s="6">
        <f>800+285+1152+160+280+50+280+190+684</f>
        <v>3881</v>
      </c>
      <c r="AI246" s="6">
        <f t="shared" si="400"/>
        <v>2.3674242424242424E-2</v>
      </c>
      <c r="AJ246" s="6">
        <f t="shared" si="401"/>
        <v>9.3749999999999997E-3</v>
      </c>
      <c r="AK246" s="6">
        <f t="shared" si="402"/>
        <v>2.462121212121212E-2</v>
      </c>
      <c r="AL246" s="6">
        <f t="shared" si="403"/>
        <v>0.16818181818181818</v>
      </c>
      <c r="AM246" s="6">
        <f t="shared" si="404"/>
        <v>4.5454545454545452E-3</v>
      </c>
      <c r="AN246" s="6">
        <f t="shared" si="405"/>
        <v>1.4700757575757575</v>
      </c>
      <c r="AO246" s="7">
        <v>5</v>
      </c>
      <c r="AP246" s="7">
        <v>2</v>
      </c>
      <c r="AQ246" s="7">
        <v>0</v>
      </c>
      <c r="AR246" s="7">
        <v>0</v>
      </c>
      <c r="AS246" s="7">
        <v>0</v>
      </c>
      <c r="AT246" s="7">
        <v>0</v>
      </c>
      <c r="AU246" s="7">
        <v>0</v>
      </c>
      <c r="AV246" s="7">
        <v>0</v>
      </c>
      <c r="AW246" s="7">
        <v>31</v>
      </c>
      <c r="AX246" s="7">
        <v>1</v>
      </c>
      <c r="AY246" s="5">
        <v>5.5</v>
      </c>
      <c r="AZ246" s="7">
        <v>0</v>
      </c>
      <c r="BA246" s="7">
        <v>0</v>
      </c>
      <c r="BB246" s="7">
        <v>0</v>
      </c>
      <c r="BC246" s="7">
        <v>1</v>
      </c>
      <c r="BD246" s="7">
        <v>1</v>
      </c>
      <c r="BE246" s="7">
        <v>0</v>
      </c>
      <c r="BF246" s="7">
        <v>0</v>
      </c>
      <c r="BG246" s="7">
        <v>0</v>
      </c>
      <c r="BH246" s="7">
        <v>0</v>
      </c>
      <c r="BI246" s="7">
        <v>0</v>
      </c>
      <c r="BJ246" s="7">
        <v>1</v>
      </c>
      <c r="BK246" s="11">
        <v>3.5</v>
      </c>
      <c r="BL246" s="7" t="s">
        <v>1129</v>
      </c>
      <c r="BM246" s="7">
        <v>1</v>
      </c>
    </row>
    <row r="247" spans="1:65" ht="30" customHeight="1" x14ac:dyDescent="0.3">
      <c r="A247" s="3" t="s">
        <v>137</v>
      </c>
      <c r="B247" s="3">
        <v>18</v>
      </c>
      <c r="C247" s="8">
        <v>44456</v>
      </c>
      <c r="D247" s="9">
        <v>0.40625</v>
      </c>
      <c r="E247" s="4">
        <v>68</v>
      </c>
      <c r="F247" s="3">
        <v>0</v>
      </c>
      <c r="G247" s="3">
        <v>0</v>
      </c>
      <c r="H247" s="3">
        <v>0</v>
      </c>
      <c r="I247" s="3">
        <v>0.75</v>
      </c>
      <c r="J247" s="9">
        <v>0.3</v>
      </c>
      <c r="K247" s="3">
        <v>145.6</v>
      </c>
      <c r="L247" s="11">
        <f t="shared" ref="L247" si="467">K247-K246</f>
        <v>-4.2000000000000171</v>
      </c>
      <c r="M247" s="5">
        <f t="shared" ref="M247" si="468">AB246</f>
        <v>2640</v>
      </c>
      <c r="N247" s="11">
        <v>31.25</v>
      </c>
      <c r="O247" s="11">
        <v>33</v>
      </c>
      <c r="P247" s="11">
        <v>11</v>
      </c>
      <c r="Q247" s="11">
        <v>11.125</v>
      </c>
      <c r="R247" s="11">
        <v>19.5</v>
      </c>
      <c r="S247" s="11">
        <v>20</v>
      </c>
      <c r="T247" s="11">
        <v>14</v>
      </c>
      <c r="U247" s="11">
        <v>14</v>
      </c>
      <c r="V247" s="11">
        <v>17</v>
      </c>
      <c r="W247" s="11">
        <v>16</v>
      </c>
      <c r="X247" s="11">
        <v>7</v>
      </c>
      <c r="Y247" s="11">
        <v>7</v>
      </c>
      <c r="Z247" s="3" t="s">
        <v>1292</v>
      </c>
      <c r="AA247" s="10" t="s">
        <v>1298</v>
      </c>
      <c r="AB247" s="5">
        <f>440+180+7+0+240+19+400+110+240+380+200</f>
        <v>2216</v>
      </c>
      <c r="AC247" s="6">
        <f>9+11+0+0+17+0+0+0+17+17+9</f>
        <v>80</v>
      </c>
      <c r="AD247" s="6">
        <f>5+8+0+0+3+0+0+0+3+9+4</f>
        <v>32</v>
      </c>
      <c r="AE247" s="6">
        <f>14+14+0+0+4.5+2+5+12+5+9+9</f>
        <v>74.5</v>
      </c>
      <c r="AF247" s="6">
        <f>78+5+1+0+20+3+95+15+20+48+20</f>
        <v>305</v>
      </c>
      <c r="AG247" s="6">
        <f>2+0+0+0+3+1+0+0+3+3+2</f>
        <v>14</v>
      </c>
      <c r="AH247" s="6">
        <f>560+428+533+55+390+8+100+60+390+880+80</f>
        <v>3484</v>
      </c>
      <c r="AI247" s="6">
        <f t="shared" si="400"/>
        <v>3.6101083032490974E-2</v>
      </c>
      <c r="AJ247" s="6">
        <f t="shared" si="401"/>
        <v>1.444043321299639E-2</v>
      </c>
      <c r="AK247" s="6">
        <f t="shared" si="402"/>
        <v>3.3619133574007219E-2</v>
      </c>
      <c r="AL247" s="6">
        <f t="shared" si="403"/>
        <v>0.13763537906137185</v>
      </c>
      <c r="AM247" s="6">
        <f t="shared" si="404"/>
        <v>6.3176895306859202E-3</v>
      </c>
      <c r="AN247" s="6">
        <f t="shared" si="405"/>
        <v>1.5722021660649819</v>
      </c>
      <c r="AO247" s="7">
        <v>5</v>
      </c>
      <c r="AP247" s="7">
        <v>1</v>
      </c>
      <c r="AQ247" s="7">
        <v>0</v>
      </c>
      <c r="AR247" s="20" t="s">
        <v>1295</v>
      </c>
      <c r="AS247" s="7" t="s">
        <v>1294</v>
      </c>
      <c r="AT247" s="7">
        <v>0</v>
      </c>
      <c r="AU247" s="7">
        <f>10-10</f>
        <v>0</v>
      </c>
      <c r="AV247" s="7">
        <v>0</v>
      </c>
      <c r="AW247" s="7">
        <v>31</v>
      </c>
      <c r="AX247" s="7">
        <v>1</v>
      </c>
      <c r="AY247" s="5">
        <v>8.25</v>
      </c>
      <c r="AZ247" s="7">
        <v>0</v>
      </c>
      <c r="BA247" s="7">
        <v>1</v>
      </c>
      <c r="BB247" s="7">
        <v>0</v>
      </c>
      <c r="BC247" s="7">
        <v>1</v>
      </c>
      <c r="BD247" s="7">
        <v>1</v>
      </c>
      <c r="BE247" s="7">
        <v>0</v>
      </c>
      <c r="BF247" s="7">
        <v>0</v>
      </c>
      <c r="BG247" s="7">
        <v>0</v>
      </c>
      <c r="BH247" s="7">
        <v>0</v>
      </c>
      <c r="BI247" s="7">
        <v>0</v>
      </c>
      <c r="BJ247" s="7">
        <v>1</v>
      </c>
      <c r="BK247" s="11">
        <v>0</v>
      </c>
      <c r="BL247" s="3">
        <v>0</v>
      </c>
      <c r="BM247" s="7">
        <v>1</v>
      </c>
    </row>
    <row r="248" spans="1:65" ht="30" customHeight="1" x14ac:dyDescent="0.3">
      <c r="A248" s="3" t="s">
        <v>19</v>
      </c>
      <c r="B248" s="3">
        <v>19</v>
      </c>
      <c r="C248" s="8">
        <v>44457</v>
      </c>
      <c r="D248" s="9">
        <v>0.75</v>
      </c>
      <c r="E248" s="4">
        <v>79</v>
      </c>
      <c r="F248" s="3">
        <v>5</v>
      </c>
      <c r="G248" s="3">
        <v>3</v>
      </c>
      <c r="H248" s="3">
        <v>15</v>
      </c>
      <c r="I248" s="3">
        <v>0.4</v>
      </c>
      <c r="J248" s="9">
        <v>0.2638888888888889</v>
      </c>
      <c r="K248" s="3">
        <v>144.6</v>
      </c>
      <c r="L248" s="11">
        <f t="shared" ref="L248" si="469">K248-K247</f>
        <v>-1</v>
      </c>
      <c r="M248" s="5">
        <f t="shared" ref="M248" si="470">AB247</f>
        <v>2216</v>
      </c>
      <c r="N248" s="11">
        <v>30.5</v>
      </c>
      <c r="O248" s="11">
        <v>32.25</v>
      </c>
      <c r="P248" s="11">
        <v>10.875</v>
      </c>
      <c r="Q248" s="11">
        <v>10.875</v>
      </c>
      <c r="R248" s="11">
        <v>20.125</v>
      </c>
      <c r="S248" s="11">
        <v>20.125</v>
      </c>
      <c r="T248" s="11">
        <v>15</v>
      </c>
      <c r="U248" s="11">
        <v>15</v>
      </c>
      <c r="V248" s="11">
        <v>16</v>
      </c>
      <c r="W248" s="11">
        <v>15</v>
      </c>
      <c r="X248" s="11">
        <v>7</v>
      </c>
      <c r="Y248" s="11">
        <v>7</v>
      </c>
      <c r="Z248" s="3" t="s">
        <v>1301</v>
      </c>
      <c r="AA248" s="10" t="s">
        <v>1302</v>
      </c>
      <c r="AB248" s="5">
        <f>110+520+320+200+320+240+220+8+0+80</f>
        <v>2018</v>
      </c>
      <c r="AC248" s="6">
        <f>0+5+22+9+0+10+5+0+0+5</f>
        <v>56</v>
      </c>
      <c r="AD248" s="6">
        <f>0+0+4+4+0+2+3+0+0+3.5</f>
        <v>16.5</v>
      </c>
      <c r="AE248" s="6">
        <f>12+22+6+9+4+3+7+0+0+6</f>
        <v>69</v>
      </c>
      <c r="AF248" s="6">
        <f>15+96+26+20+76+32+39+2+0+2</f>
        <v>308</v>
      </c>
      <c r="AG248" s="6">
        <f>0+6+4+2+0+1.6+1+0+0+0</f>
        <v>14.6</v>
      </c>
      <c r="AH248" s="6">
        <f>60+760+520+80+80+576+280+640+55+190</f>
        <v>3241</v>
      </c>
      <c r="AI248" s="6">
        <f t="shared" si="400"/>
        <v>2.7750247770069375E-2</v>
      </c>
      <c r="AJ248" s="6">
        <f t="shared" si="401"/>
        <v>8.1764122893954409E-3</v>
      </c>
      <c r="AK248" s="6">
        <f t="shared" si="402"/>
        <v>3.4192269573835483E-2</v>
      </c>
      <c r="AL248" s="6">
        <f t="shared" si="403"/>
        <v>0.15262636273538158</v>
      </c>
      <c r="AM248" s="6">
        <f t="shared" si="404"/>
        <v>7.2348860257680867E-3</v>
      </c>
      <c r="AN248" s="6">
        <f t="shared" si="405"/>
        <v>1.606045589692765</v>
      </c>
      <c r="AO248" s="7">
        <v>5</v>
      </c>
      <c r="AP248" s="7">
        <v>1</v>
      </c>
      <c r="AQ248" s="7">
        <v>0</v>
      </c>
      <c r="AR248" s="10" t="s">
        <v>1300</v>
      </c>
      <c r="AS248" s="7">
        <v>0</v>
      </c>
      <c r="AT248" s="7">
        <v>0</v>
      </c>
      <c r="AU248" s="7">
        <v>0</v>
      </c>
      <c r="AV248" s="7">
        <v>0</v>
      </c>
      <c r="AW248" s="7">
        <v>31</v>
      </c>
      <c r="AX248" s="7">
        <v>1</v>
      </c>
      <c r="AY248" s="5">
        <v>6</v>
      </c>
      <c r="AZ248" s="7">
        <v>0</v>
      </c>
      <c r="BA248" s="7">
        <v>1</v>
      </c>
      <c r="BB248" s="7">
        <v>0</v>
      </c>
      <c r="BC248" s="7">
        <v>1</v>
      </c>
      <c r="BD248" s="7">
        <v>1</v>
      </c>
      <c r="BE248" s="7">
        <v>0</v>
      </c>
      <c r="BF248" s="7">
        <v>0</v>
      </c>
      <c r="BG248" s="7">
        <v>0</v>
      </c>
      <c r="BH248" s="7">
        <v>0</v>
      </c>
      <c r="BI248" s="7">
        <v>0</v>
      </c>
      <c r="BJ248" s="7">
        <v>1</v>
      </c>
      <c r="BK248" s="11">
        <v>0</v>
      </c>
      <c r="BL248" s="7">
        <v>0</v>
      </c>
      <c r="BM248" s="7">
        <v>1</v>
      </c>
    </row>
    <row r="249" spans="1:65" ht="30" customHeight="1" x14ac:dyDescent="0.3">
      <c r="A249" s="3" t="s">
        <v>23</v>
      </c>
      <c r="B249" s="3">
        <v>20</v>
      </c>
      <c r="C249" s="8">
        <v>44458</v>
      </c>
      <c r="D249" s="9">
        <v>0.29166666666666669</v>
      </c>
      <c r="E249" s="4">
        <v>56</v>
      </c>
      <c r="F249" s="3">
        <v>0</v>
      </c>
      <c r="G249" s="3">
        <v>0</v>
      </c>
      <c r="H249" s="3">
        <v>0</v>
      </c>
      <c r="I249" s="3">
        <v>0</v>
      </c>
      <c r="J249" s="9">
        <v>0.27916666666666667</v>
      </c>
      <c r="K249" s="3">
        <v>144.19999999999999</v>
      </c>
      <c r="L249" s="11">
        <f t="shared" ref="L249" si="471">K249-K248</f>
        <v>-0.40000000000000568</v>
      </c>
      <c r="M249" s="5">
        <f t="shared" ref="M249" si="472">AB248</f>
        <v>2018</v>
      </c>
      <c r="N249" s="11">
        <v>30.875</v>
      </c>
      <c r="O249" s="11">
        <v>32.625</v>
      </c>
      <c r="P249" s="11">
        <v>10.75</v>
      </c>
      <c r="Q249" s="11">
        <v>10.875</v>
      </c>
      <c r="R249" s="11">
        <v>20.125</v>
      </c>
      <c r="S249" s="11">
        <v>20.375</v>
      </c>
      <c r="T249" s="11">
        <v>15</v>
      </c>
      <c r="U249" s="11">
        <v>15</v>
      </c>
      <c r="V249" s="11">
        <v>17</v>
      </c>
      <c r="W249" s="11">
        <v>15</v>
      </c>
      <c r="X249" s="11">
        <v>7</v>
      </c>
      <c r="Y249" s="11">
        <v>7</v>
      </c>
      <c r="Z249" s="3" t="s">
        <v>1303</v>
      </c>
      <c r="AA249" s="10" t="s">
        <v>1307</v>
      </c>
      <c r="AB249" s="5">
        <f>200+38+440+120+0+16+110+240+98+110+260+70</f>
        <v>1702</v>
      </c>
      <c r="AC249" s="6">
        <f>9+1+9+8+0+0+0+0+4+1+3+5</f>
        <v>40</v>
      </c>
      <c r="AD249" s="6">
        <f>4+0+5+5+0+0+0+0+0+1+0+3</f>
        <v>18</v>
      </c>
      <c r="AE249" s="6">
        <f>9+4+14+9+0+0+12+3+2+1+11+4</f>
        <v>69</v>
      </c>
      <c r="AF249" s="6">
        <f>20+7+78+3+0+3+15+57+15+24+48+1</f>
        <v>271</v>
      </c>
      <c r="AG249" s="6">
        <f>2+2+2+0+0+0+0+0+2+0+3+0</f>
        <v>11</v>
      </c>
      <c r="AH249" s="6">
        <f>80+16+560+285+110+1280+60+60+248+150+380+250</f>
        <v>3479</v>
      </c>
      <c r="AI249" s="6">
        <f t="shared" si="400"/>
        <v>2.3501762632197415E-2</v>
      </c>
      <c r="AJ249" s="6">
        <f t="shared" si="401"/>
        <v>1.0575793184488837E-2</v>
      </c>
      <c r="AK249" s="6">
        <f t="shared" si="402"/>
        <v>4.0540540540540543E-2</v>
      </c>
      <c r="AL249" s="6">
        <f t="shared" si="403"/>
        <v>0.1592244418331375</v>
      </c>
      <c r="AM249" s="6">
        <f t="shared" si="404"/>
        <v>6.4629847238542888E-3</v>
      </c>
      <c r="AN249" s="6">
        <f t="shared" si="405"/>
        <v>2.0440658049353702</v>
      </c>
      <c r="AO249" s="7">
        <v>5</v>
      </c>
      <c r="AP249" s="7">
        <v>2</v>
      </c>
      <c r="AQ249" s="7">
        <v>0</v>
      </c>
      <c r="AR249" s="3">
        <v>0</v>
      </c>
      <c r="AS249" s="7">
        <v>0</v>
      </c>
      <c r="AT249" s="7">
        <v>0</v>
      </c>
      <c r="AU249" s="7">
        <v>0</v>
      </c>
      <c r="AV249" s="7">
        <v>0</v>
      </c>
      <c r="AW249" s="7">
        <v>31</v>
      </c>
      <c r="AX249" s="7">
        <v>1</v>
      </c>
      <c r="AY249" s="5">
        <v>7.75</v>
      </c>
      <c r="AZ249" s="7">
        <v>0</v>
      </c>
      <c r="BA249" s="7">
        <v>1</v>
      </c>
      <c r="BB249" s="7">
        <v>0</v>
      </c>
      <c r="BC249" s="7">
        <v>1</v>
      </c>
      <c r="BD249" s="7">
        <v>1</v>
      </c>
      <c r="BE249" s="7">
        <v>0</v>
      </c>
      <c r="BF249" s="7">
        <v>0</v>
      </c>
      <c r="BG249" s="7">
        <v>0</v>
      </c>
      <c r="BH249" s="7">
        <v>0</v>
      </c>
      <c r="BI249" s="7">
        <v>0</v>
      </c>
      <c r="BJ249" s="7">
        <v>1</v>
      </c>
      <c r="BK249" s="11">
        <v>0</v>
      </c>
      <c r="BL249" s="7">
        <v>0</v>
      </c>
      <c r="BM249" s="7">
        <v>1</v>
      </c>
    </row>
    <row r="250" spans="1:65" ht="30" customHeight="1" x14ac:dyDescent="0.3">
      <c r="A250" s="3" t="s">
        <v>15</v>
      </c>
      <c r="B250" s="3">
        <v>21</v>
      </c>
      <c r="C250" s="8">
        <v>44459</v>
      </c>
      <c r="D250" s="9">
        <v>0.65972222222222221</v>
      </c>
      <c r="E250" s="4">
        <v>93</v>
      </c>
      <c r="F250" s="3">
        <v>0</v>
      </c>
      <c r="G250" s="3">
        <v>0</v>
      </c>
      <c r="H250" s="3">
        <v>0</v>
      </c>
      <c r="I250" s="3">
        <v>0.4</v>
      </c>
      <c r="J250" s="9">
        <v>0.27013888888888887</v>
      </c>
      <c r="K250" s="3">
        <v>143.19999999999999</v>
      </c>
      <c r="L250" s="11">
        <f t="shared" ref="L250" si="473">K250-K249</f>
        <v>-1</v>
      </c>
      <c r="M250" s="5">
        <f t="shared" ref="M250" si="474">AB249</f>
        <v>1702</v>
      </c>
      <c r="N250" s="11">
        <v>30.5</v>
      </c>
      <c r="O250" s="11">
        <v>32.375</v>
      </c>
      <c r="P250" s="11">
        <v>10.875</v>
      </c>
      <c r="Q250" s="11">
        <v>10.875</v>
      </c>
      <c r="R250" s="11">
        <v>20.375</v>
      </c>
      <c r="S250" s="11">
        <v>20</v>
      </c>
      <c r="T250" s="11">
        <v>16</v>
      </c>
      <c r="U250" s="11">
        <v>17</v>
      </c>
      <c r="V250" s="11">
        <v>17</v>
      </c>
      <c r="W250" s="11">
        <v>15</v>
      </c>
      <c r="X250" s="11">
        <v>7</v>
      </c>
      <c r="Y250" s="11">
        <v>7</v>
      </c>
      <c r="Z250" s="3" t="s">
        <v>1311</v>
      </c>
      <c r="AA250" s="10" t="s">
        <v>1310</v>
      </c>
      <c r="AB250" s="12">
        <f>220+120+220+520+16+0+400+520+240+210+6</f>
        <v>2472</v>
      </c>
      <c r="AC250" s="6">
        <f>4.5+7.5+2+36+0+0+0+10+0+15+0</f>
        <v>75</v>
      </c>
      <c r="AD250" s="6">
        <f>2.5+5+1+10+0+0+0+1+0+4.5+0</f>
        <v>24</v>
      </c>
      <c r="AE250" s="6">
        <f>7+9+2+40+0+0+5+26+3+18+0</f>
        <v>110</v>
      </c>
      <c r="AF250" s="6">
        <f>39+3+48+10+3+0+95+88+57+0+1.2</f>
        <v>344.2</v>
      </c>
      <c r="AG250" s="6">
        <f>1+0+0+4+0+0+0+10+0+0+0</f>
        <v>15</v>
      </c>
      <c r="AH250" s="6">
        <f>280+285+300+700+1280+110+100+700+60+210+480</f>
        <v>4505</v>
      </c>
      <c r="AI250" s="6">
        <f t="shared" si="400"/>
        <v>3.0339805825242719E-2</v>
      </c>
      <c r="AJ250" s="6">
        <f t="shared" si="401"/>
        <v>9.7087378640776691E-3</v>
      </c>
      <c r="AK250" s="6">
        <f t="shared" si="402"/>
        <v>4.4498381877022652E-2</v>
      </c>
      <c r="AL250" s="6">
        <f t="shared" si="403"/>
        <v>0.13923948220064725</v>
      </c>
      <c r="AM250" s="6">
        <f t="shared" si="404"/>
        <v>6.0679611650485436E-3</v>
      </c>
      <c r="AN250" s="6">
        <f t="shared" si="405"/>
        <v>1.8224110032362459</v>
      </c>
      <c r="AO250" s="7">
        <v>5</v>
      </c>
      <c r="AP250" s="7">
        <v>3</v>
      </c>
      <c r="AQ250" s="7">
        <v>0</v>
      </c>
      <c r="AR250" s="10" t="s">
        <v>1309</v>
      </c>
      <c r="AS250" s="3">
        <f>10+10</f>
        <v>20</v>
      </c>
      <c r="AT250" s="7">
        <v>0</v>
      </c>
      <c r="AU250" s="7">
        <v>0</v>
      </c>
      <c r="AV250" s="7">
        <v>0</v>
      </c>
      <c r="AW250" s="7">
        <v>31</v>
      </c>
      <c r="AX250" s="7">
        <v>1</v>
      </c>
      <c r="AY250" s="5">
        <v>5</v>
      </c>
      <c r="AZ250" s="7">
        <v>0</v>
      </c>
      <c r="BA250" s="7">
        <v>0</v>
      </c>
      <c r="BB250" s="7">
        <v>0</v>
      </c>
      <c r="BC250" s="7">
        <v>1</v>
      </c>
      <c r="BD250" s="7">
        <v>1</v>
      </c>
      <c r="BE250" s="7">
        <v>0</v>
      </c>
      <c r="BF250" s="7">
        <v>0</v>
      </c>
      <c r="BG250" s="7">
        <v>0</v>
      </c>
      <c r="BH250" s="7">
        <v>0</v>
      </c>
      <c r="BI250" s="7">
        <v>0</v>
      </c>
      <c r="BJ250" s="7">
        <v>1</v>
      </c>
      <c r="BK250" s="11">
        <v>3</v>
      </c>
      <c r="BL250" s="7" t="s">
        <v>1306</v>
      </c>
      <c r="BM250" s="7">
        <v>1</v>
      </c>
    </row>
    <row r="251" spans="1:65" ht="30" customHeight="1" x14ac:dyDescent="0.3">
      <c r="A251" s="3" t="s">
        <v>16</v>
      </c>
      <c r="B251" s="3">
        <v>22</v>
      </c>
      <c r="C251" s="8">
        <v>44460</v>
      </c>
      <c r="D251" s="9">
        <v>0.66666666666666663</v>
      </c>
      <c r="E251" s="4">
        <v>100</v>
      </c>
      <c r="F251" s="3">
        <v>5</v>
      </c>
      <c r="G251" s="3">
        <v>3</v>
      </c>
      <c r="H251" s="3">
        <v>15</v>
      </c>
      <c r="I251" s="3">
        <v>0.5</v>
      </c>
      <c r="J251" s="9">
        <v>0.25208333333333333</v>
      </c>
      <c r="K251" s="3">
        <v>143.80000000000001</v>
      </c>
      <c r="L251" s="11">
        <f t="shared" ref="L251" si="475">K251-K250</f>
        <v>0.60000000000002274</v>
      </c>
      <c r="M251" s="5">
        <f t="shared" ref="M251" si="476">AB250</f>
        <v>2472</v>
      </c>
      <c r="N251" s="11">
        <v>31.5</v>
      </c>
      <c r="O251" s="11">
        <v>32.5</v>
      </c>
      <c r="P251" s="11">
        <v>10.875</v>
      </c>
      <c r="Q251" s="11">
        <v>11</v>
      </c>
      <c r="R251" s="11">
        <v>20</v>
      </c>
      <c r="S251" s="11">
        <v>20.375</v>
      </c>
      <c r="T251" s="11">
        <v>15</v>
      </c>
      <c r="U251" s="11">
        <v>15</v>
      </c>
      <c r="V251" s="11">
        <v>17</v>
      </c>
      <c r="W251" s="11">
        <v>17</v>
      </c>
      <c r="X251" s="11">
        <v>7</v>
      </c>
      <c r="Y251" s="11">
        <v>7</v>
      </c>
      <c r="Z251" s="3" t="s">
        <v>1312</v>
      </c>
      <c r="AA251" s="10" t="s">
        <v>1313</v>
      </c>
      <c r="AB251" s="5">
        <f>780+280+180+0+20+160</f>
        <v>1420</v>
      </c>
      <c r="AC251" s="6">
        <f>15+20+11+0+0+0</f>
        <v>46</v>
      </c>
      <c r="AD251" s="6">
        <f>2+6+8+0+0+0</f>
        <v>16</v>
      </c>
      <c r="AE251" s="6">
        <f>39+24+14+0+0+2</f>
        <v>79</v>
      </c>
      <c r="AF251" s="6">
        <f>132+0+5+0+4+38</f>
        <v>179</v>
      </c>
      <c r="AG251" s="6">
        <f>15+0+0+0+0+0</f>
        <v>15</v>
      </c>
      <c r="AH251" s="6">
        <f>1050+280+428+110+1600+40</f>
        <v>3508</v>
      </c>
      <c r="AI251" s="6">
        <f t="shared" si="400"/>
        <v>3.2394366197183097E-2</v>
      </c>
      <c r="AJ251" s="6">
        <f t="shared" si="401"/>
        <v>1.1267605633802818E-2</v>
      </c>
      <c r="AK251" s="6">
        <f t="shared" si="402"/>
        <v>5.5633802816901411E-2</v>
      </c>
      <c r="AL251" s="6">
        <f t="shared" si="403"/>
        <v>0.12605633802816901</v>
      </c>
      <c r="AM251" s="6">
        <f t="shared" si="404"/>
        <v>1.0563380281690141E-2</v>
      </c>
      <c r="AN251" s="6">
        <f t="shared" si="405"/>
        <v>2.4704225352112674</v>
      </c>
      <c r="AO251" s="7">
        <v>5</v>
      </c>
      <c r="AP251" s="7">
        <v>1</v>
      </c>
      <c r="AQ251" s="7">
        <v>0</v>
      </c>
      <c r="AR251" s="10" t="s">
        <v>1314</v>
      </c>
      <c r="AS251" s="3">
        <f>15+10-9</f>
        <v>16</v>
      </c>
      <c r="AT251" s="7">
        <v>0</v>
      </c>
      <c r="AU251" s="7">
        <v>0</v>
      </c>
      <c r="AV251" s="7">
        <v>0</v>
      </c>
      <c r="AW251" s="7">
        <v>31</v>
      </c>
      <c r="AX251" s="7">
        <v>1</v>
      </c>
      <c r="AY251" s="5">
        <v>7.25</v>
      </c>
      <c r="AZ251" s="7">
        <v>0</v>
      </c>
      <c r="BA251" s="7">
        <v>0</v>
      </c>
      <c r="BB251" s="7">
        <v>0</v>
      </c>
      <c r="BC251" s="7">
        <v>1</v>
      </c>
      <c r="BD251" s="7">
        <v>1</v>
      </c>
      <c r="BE251" s="7">
        <v>0</v>
      </c>
      <c r="BF251" s="7">
        <v>0</v>
      </c>
      <c r="BG251" s="7">
        <v>0</v>
      </c>
      <c r="BH251" s="7">
        <v>0</v>
      </c>
      <c r="BI251" s="7">
        <v>0</v>
      </c>
      <c r="BJ251" s="7">
        <v>1</v>
      </c>
      <c r="BK251" s="11">
        <v>1</v>
      </c>
      <c r="BL251" s="7" t="s">
        <v>1306</v>
      </c>
      <c r="BM251" s="7">
        <v>1</v>
      </c>
    </row>
    <row r="252" spans="1:65" ht="30" customHeight="1" x14ac:dyDescent="0.3">
      <c r="A252" s="3" t="s">
        <v>17</v>
      </c>
      <c r="B252" s="3">
        <v>23</v>
      </c>
      <c r="C252" s="8">
        <v>44461</v>
      </c>
      <c r="D252" s="9">
        <v>0.27430555555555552</v>
      </c>
      <c r="E252" s="4">
        <v>73</v>
      </c>
      <c r="F252" s="3">
        <v>0</v>
      </c>
      <c r="G252" s="3">
        <v>0</v>
      </c>
      <c r="H252" s="3">
        <v>0</v>
      </c>
      <c r="I252" s="3">
        <v>0</v>
      </c>
      <c r="J252" s="9">
        <v>0.27777777777777779</v>
      </c>
      <c r="K252" s="3">
        <v>142.80000000000001</v>
      </c>
      <c r="L252" s="11">
        <f t="shared" ref="L252" si="477">K252-K251</f>
        <v>-1</v>
      </c>
      <c r="M252" s="5">
        <f t="shared" ref="M252" si="478">AB251</f>
        <v>1420</v>
      </c>
      <c r="N252" s="11">
        <v>30.5</v>
      </c>
      <c r="O252" s="11">
        <v>32.25</v>
      </c>
      <c r="P252" s="11">
        <v>10.75</v>
      </c>
      <c r="Q252" s="11">
        <v>10.875</v>
      </c>
      <c r="R252" s="11">
        <v>19.75</v>
      </c>
      <c r="S252" s="11">
        <v>20</v>
      </c>
      <c r="T252" s="11">
        <v>15</v>
      </c>
      <c r="U252" s="11">
        <v>15</v>
      </c>
      <c r="V252" s="11">
        <v>16</v>
      </c>
      <c r="W252" s="11">
        <v>15</v>
      </c>
      <c r="X252" s="11">
        <v>7</v>
      </c>
      <c r="Y252" s="11">
        <v>7</v>
      </c>
      <c r="Z252" s="3" t="s">
        <v>1326</v>
      </c>
      <c r="AA252" s="10" t="s">
        <v>1325</v>
      </c>
      <c r="AB252" s="5">
        <f>500+810+220+400+113+260+87+200+520+15+0</f>
        <v>3125</v>
      </c>
      <c r="AC252" s="6">
        <f>38+9+14+0+5+10+10+9+5+0+0</f>
        <v>100</v>
      </c>
      <c r="AD252" s="6">
        <f>9+0+9+0+3+6+6+5+0+0+0</f>
        <v>38</v>
      </c>
      <c r="AE252" s="6">
        <f>31+36+20+5+1+2+2+1+22+0+0</f>
        <v>120</v>
      </c>
      <c r="AF252" s="6">
        <f>12+153+4+95+18+38+38+27+96+3+0</f>
        <v>484</v>
      </c>
      <c r="AG252" s="6">
        <f>4+9+0+0+0+2+2+0+6+0+0</f>
        <v>23</v>
      </c>
      <c r="AH252" s="6">
        <f>527+1200+740+100+38+40+40+80+760+1200+110</f>
        <v>4835</v>
      </c>
      <c r="AI252" s="6">
        <f t="shared" si="400"/>
        <v>3.2000000000000001E-2</v>
      </c>
      <c r="AJ252" s="6">
        <f t="shared" si="401"/>
        <v>1.2160000000000001E-2</v>
      </c>
      <c r="AK252" s="6">
        <f t="shared" si="402"/>
        <v>3.8399999999999997E-2</v>
      </c>
      <c r="AL252" s="6">
        <f t="shared" si="403"/>
        <v>0.15487999999999999</v>
      </c>
      <c r="AM252" s="6">
        <f t="shared" si="404"/>
        <v>7.3600000000000002E-3</v>
      </c>
      <c r="AN252" s="6">
        <f t="shared" si="405"/>
        <v>1.5471999999999999</v>
      </c>
      <c r="AO252" s="7">
        <v>6</v>
      </c>
      <c r="AP252" s="7">
        <v>1</v>
      </c>
      <c r="AQ252" s="7">
        <v>0</v>
      </c>
      <c r="AR252" s="7">
        <v>0</v>
      </c>
      <c r="AS252" s="7">
        <v>0</v>
      </c>
      <c r="AT252" s="7">
        <v>0</v>
      </c>
      <c r="AU252" s="7">
        <v>0</v>
      </c>
      <c r="AV252" s="7">
        <v>0</v>
      </c>
      <c r="AW252" s="7">
        <v>31</v>
      </c>
      <c r="AX252" s="7">
        <v>1</v>
      </c>
      <c r="AY252" s="5">
        <v>6.5</v>
      </c>
      <c r="AZ252" s="7">
        <v>0</v>
      </c>
      <c r="BA252" s="7">
        <v>1</v>
      </c>
      <c r="BB252" s="7">
        <v>0</v>
      </c>
      <c r="BC252" s="7">
        <v>1</v>
      </c>
      <c r="BD252" s="7">
        <v>1</v>
      </c>
      <c r="BE252" s="7">
        <v>0</v>
      </c>
      <c r="BF252" s="7">
        <v>0</v>
      </c>
      <c r="BG252" s="7">
        <v>0</v>
      </c>
      <c r="BH252" s="7">
        <v>0</v>
      </c>
      <c r="BI252" s="7">
        <v>0</v>
      </c>
      <c r="BJ252" s="7">
        <v>1</v>
      </c>
      <c r="BK252" s="11">
        <v>0</v>
      </c>
      <c r="BL252" s="7">
        <v>0</v>
      </c>
      <c r="BM252" s="7">
        <v>1</v>
      </c>
    </row>
    <row r="253" spans="1:65" ht="30" customHeight="1" x14ac:dyDescent="0.3">
      <c r="A253" s="3" t="s">
        <v>18</v>
      </c>
      <c r="B253" s="3">
        <v>24</v>
      </c>
      <c r="C253" s="8">
        <v>44462</v>
      </c>
      <c r="D253" s="9">
        <v>0.72430555555555554</v>
      </c>
      <c r="E253" s="4">
        <v>84</v>
      </c>
      <c r="F253" s="3">
        <v>0</v>
      </c>
      <c r="G253" s="3">
        <v>0</v>
      </c>
      <c r="H253" s="3">
        <v>0</v>
      </c>
      <c r="I253" s="3">
        <v>0</v>
      </c>
      <c r="J253" s="9">
        <v>0.30555555555555552</v>
      </c>
      <c r="K253" s="3">
        <v>143.80000000000001</v>
      </c>
      <c r="L253" s="11">
        <f t="shared" ref="L253" si="479">K253-K252</f>
        <v>1</v>
      </c>
      <c r="M253" s="5">
        <f t="shared" ref="M253" si="480">AB252</f>
        <v>3125</v>
      </c>
      <c r="N253" s="11">
        <v>30.375</v>
      </c>
      <c r="O253" s="11">
        <v>32.125</v>
      </c>
      <c r="P253" s="11">
        <v>10.875</v>
      </c>
      <c r="Q253" s="11">
        <v>11</v>
      </c>
      <c r="R253" s="11">
        <v>20</v>
      </c>
      <c r="S253" s="11">
        <v>20</v>
      </c>
      <c r="T253" s="11">
        <v>15</v>
      </c>
      <c r="U253" s="11">
        <v>15</v>
      </c>
      <c r="V253" s="11">
        <v>15</v>
      </c>
      <c r="W253" s="11">
        <v>15</v>
      </c>
      <c r="X253" s="11">
        <v>7</v>
      </c>
      <c r="Y253" s="11">
        <v>7</v>
      </c>
      <c r="Z253" s="3" t="s">
        <v>1315</v>
      </c>
      <c r="AA253" s="10" t="s">
        <v>1327</v>
      </c>
      <c r="AB253" s="5">
        <f>360+334+270+260+220+160+113+100+130+100+10+0+140</f>
        <v>2197</v>
      </c>
      <c r="AC253" s="6">
        <f>21+25+3+3+14+0+5+5+5+5+0+0+7</f>
        <v>93</v>
      </c>
      <c r="AD253" s="6">
        <f>12+6+0+0+9+0+3+3+3+3+0+0+3</f>
        <v>42</v>
      </c>
      <c r="AE253" s="6">
        <f>29+21+12+11+20+2+1+1+1+1+0+0+2</f>
        <v>101</v>
      </c>
      <c r="AF253" s="6">
        <f>14+8+51+48+4+38+18+13+19+13+2+0+20</f>
        <v>248</v>
      </c>
      <c r="AG253" s="6">
        <f>5+3+3+3+0+0+0+0+1+0+0+0+3</f>
        <v>18</v>
      </c>
      <c r="AH253" s="6">
        <f>555+351+400+380+740+40+38+40+20+40+800+110+310</f>
        <v>3824</v>
      </c>
      <c r="AI253" s="6">
        <f t="shared" si="400"/>
        <v>4.2330450614474283E-2</v>
      </c>
      <c r="AJ253" s="6">
        <f t="shared" si="401"/>
        <v>1.9116977696859355E-2</v>
      </c>
      <c r="AK253" s="6">
        <f t="shared" si="402"/>
        <v>4.5971779699590348E-2</v>
      </c>
      <c r="AL253" s="6">
        <f t="shared" si="403"/>
        <v>0.11288120163859809</v>
      </c>
      <c r="AM253" s="6">
        <f t="shared" si="404"/>
        <v>8.1929904415111512E-3</v>
      </c>
      <c r="AN253" s="6">
        <f t="shared" si="405"/>
        <v>1.7405553026854803</v>
      </c>
      <c r="AO253" s="7">
        <v>6</v>
      </c>
      <c r="AP253" s="7">
        <v>2</v>
      </c>
      <c r="AQ253" s="7">
        <v>0</v>
      </c>
      <c r="AR253" s="7">
        <v>0</v>
      </c>
      <c r="AS253" s="7">
        <v>0</v>
      </c>
      <c r="AT253" s="7">
        <v>0</v>
      </c>
      <c r="AU253" s="7">
        <v>0</v>
      </c>
      <c r="AV253" s="7">
        <v>0</v>
      </c>
      <c r="AW253" s="7">
        <v>31</v>
      </c>
      <c r="AX253" s="7">
        <v>1</v>
      </c>
      <c r="AY253" s="5">
        <v>6.5</v>
      </c>
      <c r="AZ253" s="7">
        <v>0</v>
      </c>
      <c r="BA253" s="7">
        <v>0</v>
      </c>
      <c r="BB253" s="7">
        <v>0</v>
      </c>
      <c r="BC253" s="7">
        <v>1</v>
      </c>
      <c r="BD253" s="7">
        <v>1</v>
      </c>
      <c r="BE253" s="7">
        <v>0</v>
      </c>
      <c r="BF253" s="7">
        <v>0</v>
      </c>
      <c r="BG253" s="7">
        <v>0</v>
      </c>
      <c r="BH253" s="7">
        <v>0</v>
      </c>
      <c r="BI253" s="7">
        <v>0</v>
      </c>
      <c r="BJ253" s="7">
        <v>1</v>
      </c>
      <c r="BK253" s="11">
        <v>3</v>
      </c>
      <c r="BL253" s="3" t="s">
        <v>1306</v>
      </c>
      <c r="BM253" s="7">
        <v>1</v>
      </c>
    </row>
    <row r="254" spans="1:65" ht="30" customHeight="1" x14ac:dyDescent="0.3"/>
    <row r="255" spans="1:65" ht="30" customHeight="1" x14ac:dyDescent="0.3"/>
    <row r="256" spans="1:65" ht="30" customHeight="1" x14ac:dyDescent="0.3"/>
    <row r="257" ht="30" customHeight="1" x14ac:dyDescent="0.3"/>
  </sheetData>
  <autoFilter ref="BA1:BA195" xr:uid="{00000000-0001-0000-0000-000000000000}"/>
  <phoneticPr fontId="1" type="noConversion"/>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05087D-762F-4B12-B905-BA55329DE4CE}">
  <dimension ref="A1:C24"/>
  <sheetViews>
    <sheetView topLeftCell="A5" workbookViewId="0">
      <selection activeCell="C24" sqref="C24"/>
    </sheetView>
  </sheetViews>
  <sheetFormatPr defaultRowHeight="14.4" x14ac:dyDescent="0.3"/>
  <sheetData>
    <row r="1" spans="1:3" x14ac:dyDescent="0.3">
      <c r="A1">
        <v>12</v>
      </c>
    </row>
    <row r="2" spans="1:3" x14ac:dyDescent="0.3">
      <c r="A2">
        <v>1</v>
      </c>
    </row>
    <row r="3" spans="1:3" x14ac:dyDescent="0.3">
      <c r="A3">
        <v>2</v>
      </c>
    </row>
    <row r="4" spans="1:3" x14ac:dyDescent="0.3">
      <c r="A4">
        <v>3</v>
      </c>
    </row>
    <row r="5" spans="1:3" x14ac:dyDescent="0.3">
      <c r="A5">
        <v>4</v>
      </c>
    </row>
    <row r="6" spans="1:3" x14ac:dyDescent="0.3">
      <c r="A6">
        <v>5</v>
      </c>
    </row>
    <row r="7" spans="1:3" x14ac:dyDescent="0.3">
      <c r="A7">
        <v>6</v>
      </c>
      <c r="B7" t="s">
        <v>1188</v>
      </c>
      <c r="C7" t="s">
        <v>1188</v>
      </c>
    </row>
    <row r="8" spans="1:3" x14ac:dyDescent="0.3">
      <c r="A8">
        <v>7</v>
      </c>
    </row>
    <row r="9" spans="1:3" x14ac:dyDescent="0.3">
      <c r="A9">
        <v>8</v>
      </c>
    </row>
    <row r="10" spans="1:3" x14ac:dyDescent="0.3">
      <c r="A10">
        <v>9</v>
      </c>
    </row>
    <row r="11" spans="1:3" x14ac:dyDescent="0.3">
      <c r="A11">
        <v>10</v>
      </c>
    </row>
    <row r="12" spans="1:3" x14ac:dyDescent="0.3">
      <c r="A12">
        <v>11</v>
      </c>
    </row>
    <row r="13" spans="1:3" x14ac:dyDescent="0.3">
      <c r="A13">
        <v>12</v>
      </c>
    </row>
    <row r="14" spans="1:3" x14ac:dyDescent="0.3">
      <c r="A14">
        <v>1</v>
      </c>
    </row>
    <row r="15" spans="1:3" x14ac:dyDescent="0.3">
      <c r="A15">
        <v>2</v>
      </c>
      <c r="B15" t="s">
        <v>1188</v>
      </c>
      <c r="C15" t="s">
        <v>1188</v>
      </c>
    </row>
    <row r="16" spans="1:3" x14ac:dyDescent="0.3">
      <c r="A16">
        <v>3</v>
      </c>
    </row>
    <row r="17" spans="1:3" x14ac:dyDescent="0.3">
      <c r="A17">
        <v>4</v>
      </c>
    </row>
    <row r="18" spans="1:3" x14ac:dyDescent="0.3">
      <c r="A18">
        <v>5</v>
      </c>
    </row>
    <row r="19" spans="1:3" x14ac:dyDescent="0.3">
      <c r="A19">
        <v>6</v>
      </c>
    </row>
    <row r="20" spans="1:3" x14ac:dyDescent="0.3">
      <c r="A20">
        <v>7</v>
      </c>
    </row>
    <row r="21" spans="1:3" x14ac:dyDescent="0.3">
      <c r="A21">
        <v>8</v>
      </c>
    </row>
    <row r="22" spans="1:3" x14ac:dyDescent="0.3">
      <c r="A22">
        <v>9</v>
      </c>
    </row>
    <row r="23" spans="1:3" x14ac:dyDescent="0.3">
      <c r="A23">
        <v>10</v>
      </c>
      <c r="B23" t="s">
        <v>1188</v>
      </c>
      <c r="C23" t="s">
        <v>1188</v>
      </c>
    </row>
    <row r="24" spans="1:3" x14ac:dyDescent="0.3">
      <c r="A24">
        <v>11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08201-0651-4E9B-9EC9-991C0BB98E8A}">
  <dimension ref="A1:B1032253"/>
  <sheetViews>
    <sheetView topLeftCell="A56" workbookViewId="0">
      <selection activeCell="A65" sqref="A65"/>
    </sheetView>
  </sheetViews>
  <sheetFormatPr defaultRowHeight="14.4" x14ac:dyDescent="0.3"/>
  <cols>
    <col min="1" max="1" width="29.33203125" style="13" customWidth="1"/>
    <col min="2" max="2" width="77.44140625" customWidth="1"/>
  </cols>
  <sheetData>
    <row r="1" spans="1:2" x14ac:dyDescent="0.3">
      <c r="A1" s="13" t="s">
        <v>0</v>
      </c>
      <c r="B1" t="s">
        <v>243</v>
      </c>
    </row>
    <row r="2" spans="1:2" x14ac:dyDescent="0.3">
      <c r="A2" s="13" t="s">
        <v>124</v>
      </c>
      <c r="B2" t="s">
        <v>300</v>
      </c>
    </row>
    <row r="3" spans="1:2" x14ac:dyDescent="0.3">
      <c r="A3" s="13" t="s">
        <v>1</v>
      </c>
      <c r="B3" t="s">
        <v>244</v>
      </c>
    </row>
    <row r="4" spans="1:2" x14ac:dyDescent="0.3">
      <c r="A4" s="13" t="s">
        <v>2</v>
      </c>
      <c r="B4" t="s">
        <v>245</v>
      </c>
    </row>
    <row r="5" spans="1:2" x14ac:dyDescent="0.3">
      <c r="A5" s="14" t="s">
        <v>25</v>
      </c>
      <c r="B5" t="s">
        <v>246</v>
      </c>
    </row>
    <row r="6" spans="1:2" x14ac:dyDescent="0.3">
      <c r="A6" s="13" t="s">
        <v>125</v>
      </c>
      <c r="B6" t="s">
        <v>247</v>
      </c>
    </row>
    <row r="7" spans="1:2" x14ac:dyDescent="0.3">
      <c r="A7" s="13" t="s">
        <v>126</v>
      </c>
      <c r="B7" t="s">
        <v>248</v>
      </c>
    </row>
    <row r="8" spans="1:2" x14ac:dyDescent="0.3">
      <c r="A8" s="13" t="s">
        <v>87</v>
      </c>
      <c r="B8" t="s">
        <v>242</v>
      </c>
    </row>
    <row r="9" spans="1:2" x14ac:dyDescent="0.3">
      <c r="A9" s="13" t="s">
        <v>250</v>
      </c>
      <c r="B9" t="s">
        <v>251</v>
      </c>
    </row>
    <row r="10" spans="1:2" x14ac:dyDescent="0.3">
      <c r="A10" s="13" t="s">
        <v>22</v>
      </c>
      <c r="B10" t="s">
        <v>241</v>
      </c>
    </row>
    <row r="11" spans="1:2" x14ac:dyDescent="0.3">
      <c r="A11" s="13" t="s">
        <v>3</v>
      </c>
      <c r="B11" t="s">
        <v>240</v>
      </c>
    </row>
    <row r="12" spans="1:2" x14ac:dyDescent="0.3">
      <c r="A12" s="15" t="s">
        <v>94</v>
      </c>
      <c r="B12" t="s">
        <v>239</v>
      </c>
    </row>
    <row r="13" spans="1:2" x14ac:dyDescent="0.3">
      <c r="A13" s="15" t="s">
        <v>93</v>
      </c>
      <c r="B13" t="s">
        <v>238</v>
      </c>
    </row>
    <row r="14" spans="1:2" x14ac:dyDescent="0.3">
      <c r="A14" s="15" t="s">
        <v>4</v>
      </c>
      <c r="B14" t="s">
        <v>237</v>
      </c>
    </row>
    <row r="15" spans="1:2" x14ac:dyDescent="0.3">
      <c r="A15" s="15" t="s">
        <v>117</v>
      </c>
      <c r="B15" t="s">
        <v>236</v>
      </c>
    </row>
    <row r="16" spans="1:2" x14ac:dyDescent="0.3">
      <c r="A16" s="15" t="s">
        <v>5</v>
      </c>
      <c r="B16" t="s">
        <v>235</v>
      </c>
    </row>
    <row r="17" spans="1:2" x14ac:dyDescent="0.3">
      <c r="A17" s="15" t="s">
        <v>6</v>
      </c>
      <c r="B17" t="s">
        <v>234</v>
      </c>
    </row>
    <row r="18" spans="1:2" x14ac:dyDescent="0.3">
      <c r="A18" s="15" t="s">
        <v>7</v>
      </c>
      <c r="B18" t="s">
        <v>233</v>
      </c>
    </row>
    <row r="19" spans="1:2" x14ac:dyDescent="0.3">
      <c r="A19" s="15" t="s">
        <v>8</v>
      </c>
      <c r="B19" t="s">
        <v>232</v>
      </c>
    </row>
    <row r="20" spans="1:2" x14ac:dyDescent="0.3">
      <c r="A20" s="15" t="s">
        <v>9</v>
      </c>
      <c r="B20" t="s">
        <v>228</v>
      </c>
    </row>
    <row r="21" spans="1:2" x14ac:dyDescent="0.3">
      <c r="A21" s="15" t="s">
        <v>10</v>
      </c>
      <c r="B21" t="s">
        <v>229</v>
      </c>
    </row>
    <row r="22" spans="1:2" x14ac:dyDescent="0.3">
      <c r="A22" s="15" t="s">
        <v>11</v>
      </c>
      <c r="B22" t="s">
        <v>226</v>
      </c>
    </row>
    <row r="23" spans="1:2" x14ac:dyDescent="0.3">
      <c r="A23" s="15" t="s">
        <v>12</v>
      </c>
      <c r="B23" t="s">
        <v>227</v>
      </c>
    </row>
    <row r="24" spans="1:2" x14ac:dyDescent="0.3">
      <c r="A24" s="15" t="s">
        <v>13</v>
      </c>
      <c r="B24" t="s">
        <v>230</v>
      </c>
    </row>
    <row r="25" spans="1:2" x14ac:dyDescent="0.3">
      <c r="A25" s="15" t="s">
        <v>14</v>
      </c>
      <c r="B25" t="s">
        <v>231</v>
      </c>
    </row>
    <row r="26" spans="1:2" x14ac:dyDescent="0.3">
      <c r="A26" s="13" t="s">
        <v>31</v>
      </c>
      <c r="B26" t="s">
        <v>225</v>
      </c>
    </row>
    <row r="27" spans="1:2" x14ac:dyDescent="0.3">
      <c r="A27" s="13" t="s">
        <v>86</v>
      </c>
      <c r="B27" t="s">
        <v>224</v>
      </c>
    </row>
    <row r="28" spans="1:2" x14ac:dyDescent="0.3">
      <c r="A28" s="15" t="s">
        <v>30</v>
      </c>
      <c r="B28" t="s">
        <v>222</v>
      </c>
    </row>
    <row r="29" spans="1:2" x14ac:dyDescent="0.3">
      <c r="A29" s="15" t="s">
        <v>26</v>
      </c>
      <c r="B29" t="s">
        <v>221</v>
      </c>
    </row>
    <row r="30" spans="1:2" x14ac:dyDescent="0.3">
      <c r="A30" s="15" t="s">
        <v>27</v>
      </c>
      <c r="B30" t="s">
        <v>220</v>
      </c>
    </row>
    <row r="31" spans="1:2" x14ac:dyDescent="0.3">
      <c r="A31" s="15" t="s">
        <v>28</v>
      </c>
      <c r="B31" t="s">
        <v>219</v>
      </c>
    </row>
    <row r="32" spans="1:2" x14ac:dyDescent="0.3">
      <c r="A32" s="15" t="s">
        <v>88</v>
      </c>
      <c r="B32" t="s">
        <v>223</v>
      </c>
    </row>
    <row r="33" spans="1:2" x14ac:dyDescent="0.3">
      <c r="A33" s="15" t="s">
        <v>89</v>
      </c>
      <c r="B33" t="s">
        <v>218</v>
      </c>
    </row>
    <row r="34" spans="1:2" x14ac:dyDescent="0.3">
      <c r="A34" s="15" t="s">
        <v>184</v>
      </c>
      <c r="B34" t="s">
        <v>217</v>
      </c>
    </row>
    <row r="35" spans="1:2" x14ac:dyDescent="0.3">
      <c r="A35" s="15" t="s">
        <v>185</v>
      </c>
      <c r="B35" t="s">
        <v>215</v>
      </c>
    </row>
    <row r="36" spans="1:2" x14ac:dyDescent="0.3">
      <c r="A36" s="15" t="s">
        <v>186</v>
      </c>
      <c r="B36" t="s">
        <v>214</v>
      </c>
    </row>
    <row r="37" spans="1:2" x14ac:dyDescent="0.3">
      <c r="A37" s="15" t="s">
        <v>187</v>
      </c>
      <c r="B37" t="s">
        <v>213</v>
      </c>
    </row>
    <row r="38" spans="1:2" x14ac:dyDescent="0.3">
      <c r="A38" s="15" t="s">
        <v>188</v>
      </c>
      <c r="B38" t="s">
        <v>216</v>
      </c>
    </row>
    <row r="39" spans="1:2" x14ac:dyDescent="0.3">
      <c r="A39" s="15" t="s">
        <v>189</v>
      </c>
      <c r="B39" t="s">
        <v>212</v>
      </c>
    </row>
    <row r="40" spans="1:2" x14ac:dyDescent="0.3">
      <c r="A40" s="15" t="s">
        <v>271</v>
      </c>
      <c r="B40" t="s">
        <v>211</v>
      </c>
    </row>
    <row r="41" spans="1:2" x14ac:dyDescent="0.3">
      <c r="A41" s="14" t="s">
        <v>47</v>
      </c>
      <c r="B41" t="s">
        <v>210</v>
      </c>
    </row>
    <row r="42" spans="1:2" x14ac:dyDescent="0.3">
      <c r="A42" s="14" t="s">
        <v>118</v>
      </c>
      <c r="B42" t="s">
        <v>209</v>
      </c>
    </row>
    <row r="43" spans="1:2" x14ac:dyDescent="0.3">
      <c r="A43" s="14" t="s">
        <v>85</v>
      </c>
      <c r="B43" t="s">
        <v>301</v>
      </c>
    </row>
    <row r="44" spans="1:2" x14ac:dyDescent="0.3">
      <c r="A44" s="13" t="s">
        <v>21</v>
      </c>
      <c r="B44" t="s">
        <v>208</v>
      </c>
    </row>
    <row r="45" spans="1:2" x14ac:dyDescent="0.3">
      <c r="A45" s="14" t="s">
        <v>91</v>
      </c>
      <c r="B45" t="s">
        <v>207</v>
      </c>
    </row>
    <row r="46" spans="1:2" x14ac:dyDescent="0.3">
      <c r="A46" s="14" t="s">
        <v>92</v>
      </c>
      <c r="B46" t="s">
        <v>206</v>
      </c>
    </row>
    <row r="47" spans="1:2" x14ac:dyDescent="0.3">
      <c r="A47" s="14" t="s">
        <v>98</v>
      </c>
      <c r="B47" t="s">
        <v>205</v>
      </c>
    </row>
    <row r="48" spans="1:2" x14ac:dyDescent="0.3">
      <c r="A48" s="14" t="s">
        <v>99</v>
      </c>
      <c r="B48" t="s">
        <v>204</v>
      </c>
    </row>
    <row r="49" spans="1:2" x14ac:dyDescent="0.3">
      <c r="A49" s="13" t="s">
        <v>24</v>
      </c>
      <c r="B49" t="s">
        <v>203</v>
      </c>
    </row>
    <row r="50" spans="1:2" x14ac:dyDescent="0.3">
      <c r="A50" s="13" t="s">
        <v>82</v>
      </c>
      <c r="B50" t="s">
        <v>202</v>
      </c>
    </row>
    <row r="51" spans="1:2" x14ac:dyDescent="0.3">
      <c r="A51" s="13" t="s">
        <v>105</v>
      </c>
      <c r="B51" t="s">
        <v>201</v>
      </c>
    </row>
    <row r="52" spans="1:2" x14ac:dyDescent="0.3">
      <c r="A52" s="13" t="s">
        <v>100</v>
      </c>
      <c r="B52" t="s">
        <v>200</v>
      </c>
    </row>
    <row r="53" spans="1:2" x14ac:dyDescent="0.3">
      <c r="A53" s="13" t="s">
        <v>101</v>
      </c>
      <c r="B53" t="s">
        <v>196</v>
      </c>
    </row>
    <row r="54" spans="1:2" x14ac:dyDescent="0.3">
      <c r="A54" s="13" t="s">
        <v>102</v>
      </c>
      <c r="B54" t="s">
        <v>197</v>
      </c>
    </row>
    <row r="55" spans="1:2" x14ac:dyDescent="0.3">
      <c r="A55" s="13" t="s">
        <v>103</v>
      </c>
      <c r="B55" t="s">
        <v>198</v>
      </c>
    </row>
    <row r="56" spans="1:2" x14ac:dyDescent="0.3">
      <c r="A56" s="13" t="s">
        <v>104</v>
      </c>
      <c r="B56" t="s">
        <v>199</v>
      </c>
    </row>
    <row r="57" spans="1:2" x14ac:dyDescent="0.3">
      <c r="A57" s="3" t="s">
        <v>381</v>
      </c>
      <c r="B57" t="s">
        <v>386</v>
      </c>
    </row>
    <row r="58" spans="1:2" x14ac:dyDescent="0.3">
      <c r="A58" s="3" t="s">
        <v>382</v>
      </c>
      <c r="B58" t="s">
        <v>387</v>
      </c>
    </row>
    <row r="59" spans="1:2" x14ac:dyDescent="0.3">
      <c r="A59" s="3" t="s">
        <v>383</v>
      </c>
      <c r="B59" t="s">
        <v>388</v>
      </c>
    </row>
    <row r="60" spans="1:2" x14ac:dyDescent="0.3">
      <c r="A60" s="3" t="s">
        <v>384</v>
      </c>
      <c r="B60" t="s">
        <v>389</v>
      </c>
    </row>
    <row r="61" spans="1:2" x14ac:dyDescent="0.3">
      <c r="A61" s="3" t="s">
        <v>385</v>
      </c>
      <c r="B61" t="s">
        <v>390</v>
      </c>
    </row>
    <row r="62" spans="1:2" x14ac:dyDescent="0.3">
      <c r="A62" s="13" t="s">
        <v>641</v>
      </c>
      <c r="B62" t="s">
        <v>642</v>
      </c>
    </row>
    <row r="63" spans="1:2" x14ac:dyDescent="0.3">
      <c r="A63" s="13" t="s">
        <v>986</v>
      </c>
      <c r="B63" t="s">
        <v>988</v>
      </c>
    </row>
    <row r="64" spans="1:2" x14ac:dyDescent="0.3">
      <c r="A64" s="13" t="s">
        <v>964</v>
      </c>
      <c r="B64" t="s">
        <v>987</v>
      </c>
    </row>
    <row r="65" spans="1:2" x14ac:dyDescent="0.3">
      <c r="A65" s="13" t="s">
        <v>1106</v>
      </c>
      <c r="B65" t="s">
        <v>1103</v>
      </c>
    </row>
    <row r="16386" spans="1:1" x14ac:dyDescent="0.3">
      <c r="A16386" s="13" t="s">
        <v>0</v>
      </c>
    </row>
    <row r="16387" spans="1:1" x14ac:dyDescent="0.3">
      <c r="A16387" s="13" t="s">
        <v>124</v>
      </c>
    </row>
    <row r="16388" spans="1:1" x14ac:dyDescent="0.3">
      <c r="A16388" s="13" t="s">
        <v>1</v>
      </c>
    </row>
    <row r="16389" spans="1:1" x14ac:dyDescent="0.3">
      <c r="A16389" s="13" t="s">
        <v>2</v>
      </c>
    </row>
    <row r="16390" spans="1:1" x14ac:dyDescent="0.3">
      <c r="A16390" s="14" t="s">
        <v>25</v>
      </c>
    </row>
    <row r="16391" spans="1:1" x14ac:dyDescent="0.3">
      <c r="A16391" s="13" t="s">
        <v>125</v>
      </c>
    </row>
    <row r="16392" spans="1:1" x14ac:dyDescent="0.3">
      <c r="A16392" s="13" t="s">
        <v>126</v>
      </c>
    </row>
    <row r="16393" spans="1:1" x14ac:dyDescent="0.3">
      <c r="A16393" s="13" t="s">
        <v>87</v>
      </c>
    </row>
    <row r="16394" spans="1:1" x14ac:dyDescent="0.3">
      <c r="A16394" s="13" t="s">
        <v>22</v>
      </c>
    </row>
    <row r="16395" spans="1:1" x14ac:dyDescent="0.3">
      <c r="A16395" s="13" t="s">
        <v>3</v>
      </c>
    </row>
    <row r="16396" spans="1:1" x14ac:dyDescent="0.3">
      <c r="A16396" s="15" t="s">
        <v>94</v>
      </c>
    </row>
    <row r="16397" spans="1:1" x14ac:dyDescent="0.3">
      <c r="A16397" s="15" t="s">
        <v>93</v>
      </c>
    </row>
    <row r="16398" spans="1:1" x14ac:dyDescent="0.3">
      <c r="A16398" s="15" t="s">
        <v>4</v>
      </c>
    </row>
    <row r="16399" spans="1:1" x14ac:dyDescent="0.3">
      <c r="A16399" s="15" t="s">
        <v>117</v>
      </c>
    </row>
    <row r="16400" spans="1:1" x14ac:dyDescent="0.3">
      <c r="A16400" s="15" t="s">
        <v>5</v>
      </c>
    </row>
    <row r="16401" spans="1:1" x14ac:dyDescent="0.3">
      <c r="A16401" s="15" t="s">
        <v>6</v>
      </c>
    </row>
    <row r="16402" spans="1:1" x14ac:dyDescent="0.3">
      <c r="A16402" s="15" t="s">
        <v>7</v>
      </c>
    </row>
    <row r="16403" spans="1:1" x14ac:dyDescent="0.3">
      <c r="A16403" s="15" t="s">
        <v>8</v>
      </c>
    </row>
    <row r="16404" spans="1:1" x14ac:dyDescent="0.3">
      <c r="A16404" s="15" t="s">
        <v>9</v>
      </c>
    </row>
    <row r="16405" spans="1:1" x14ac:dyDescent="0.3">
      <c r="A16405" s="15" t="s">
        <v>10</v>
      </c>
    </row>
    <row r="16406" spans="1:1" x14ac:dyDescent="0.3">
      <c r="A16406" s="15" t="s">
        <v>11</v>
      </c>
    </row>
    <row r="16407" spans="1:1" x14ac:dyDescent="0.3">
      <c r="A16407" s="15" t="s">
        <v>12</v>
      </c>
    </row>
    <row r="16408" spans="1:1" x14ac:dyDescent="0.3">
      <c r="A16408" s="15" t="s">
        <v>13</v>
      </c>
    </row>
    <row r="16409" spans="1:1" x14ac:dyDescent="0.3">
      <c r="A16409" s="15" t="s">
        <v>14</v>
      </c>
    </row>
    <row r="16410" spans="1:1" x14ac:dyDescent="0.3">
      <c r="A16410" s="13" t="s">
        <v>31</v>
      </c>
    </row>
    <row r="16411" spans="1:1" x14ac:dyDescent="0.3">
      <c r="A16411" s="13" t="s">
        <v>86</v>
      </c>
    </row>
    <row r="16412" spans="1:1" x14ac:dyDescent="0.3">
      <c r="A16412" s="15" t="s">
        <v>30</v>
      </c>
    </row>
    <row r="16413" spans="1:1" x14ac:dyDescent="0.3">
      <c r="A16413" s="15" t="s">
        <v>26</v>
      </c>
    </row>
    <row r="16414" spans="1:1" x14ac:dyDescent="0.3">
      <c r="A16414" s="15" t="s">
        <v>27</v>
      </c>
    </row>
    <row r="16415" spans="1:1" x14ac:dyDescent="0.3">
      <c r="A16415" s="15" t="s">
        <v>28</v>
      </c>
    </row>
    <row r="16416" spans="1:1" x14ac:dyDescent="0.3">
      <c r="A16416" s="15" t="s">
        <v>88</v>
      </c>
    </row>
    <row r="16417" spans="1:1" x14ac:dyDescent="0.3">
      <c r="A16417" s="15" t="s">
        <v>89</v>
      </c>
    </row>
    <row r="16418" spans="1:1" x14ac:dyDescent="0.3">
      <c r="A16418" s="15" t="s">
        <v>184</v>
      </c>
    </row>
    <row r="16419" spans="1:1" x14ac:dyDescent="0.3">
      <c r="A16419" s="15" t="s">
        <v>185</v>
      </c>
    </row>
    <row r="16420" spans="1:1" x14ac:dyDescent="0.3">
      <c r="A16420" s="15" t="s">
        <v>186</v>
      </c>
    </row>
    <row r="16421" spans="1:1" x14ac:dyDescent="0.3">
      <c r="A16421" s="15" t="s">
        <v>187</v>
      </c>
    </row>
    <row r="16422" spans="1:1" x14ac:dyDescent="0.3">
      <c r="A16422" s="15" t="s">
        <v>188</v>
      </c>
    </row>
    <row r="16423" spans="1:1" x14ac:dyDescent="0.3">
      <c r="A16423" s="15" t="s">
        <v>189</v>
      </c>
    </row>
    <row r="16424" spans="1:1" x14ac:dyDescent="0.3">
      <c r="A16424" s="15" t="s">
        <v>190</v>
      </c>
    </row>
    <row r="16425" spans="1:1" x14ac:dyDescent="0.3">
      <c r="A16425" s="14" t="s">
        <v>47</v>
      </c>
    </row>
    <row r="16426" spans="1:1" x14ac:dyDescent="0.3">
      <c r="A16426" s="14" t="s">
        <v>118</v>
      </c>
    </row>
    <row r="16427" spans="1:1" x14ac:dyDescent="0.3">
      <c r="A16427" s="14" t="s">
        <v>85</v>
      </c>
    </row>
    <row r="16428" spans="1:1" x14ac:dyDescent="0.3">
      <c r="A16428" s="13" t="s">
        <v>21</v>
      </c>
    </row>
    <row r="16429" spans="1:1" x14ac:dyDescent="0.3">
      <c r="A16429" s="14" t="s">
        <v>91</v>
      </c>
    </row>
    <row r="16430" spans="1:1" x14ac:dyDescent="0.3">
      <c r="A16430" s="14" t="s">
        <v>92</v>
      </c>
    </row>
    <row r="16431" spans="1:1" x14ac:dyDescent="0.3">
      <c r="A16431" s="14" t="s">
        <v>98</v>
      </c>
    </row>
    <row r="16432" spans="1:1" x14ac:dyDescent="0.3">
      <c r="A16432" s="14" t="s">
        <v>99</v>
      </c>
    </row>
    <row r="16433" spans="1:1" x14ac:dyDescent="0.3">
      <c r="A16433" s="13" t="s">
        <v>24</v>
      </c>
    </row>
    <row r="16434" spans="1:1" x14ac:dyDescent="0.3">
      <c r="A16434" s="13" t="s">
        <v>82</v>
      </c>
    </row>
    <row r="16435" spans="1:1" x14ac:dyDescent="0.3">
      <c r="A16435" s="13" t="s">
        <v>105</v>
      </c>
    </row>
    <row r="16436" spans="1:1" x14ac:dyDescent="0.3">
      <c r="A16436" s="13" t="s">
        <v>100</v>
      </c>
    </row>
    <row r="16437" spans="1:1" x14ac:dyDescent="0.3">
      <c r="A16437" s="13" t="s">
        <v>101</v>
      </c>
    </row>
    <row r="16438" spans="1:1" x14ac:dyDescent="0.3">
      <c r="A16438" s="13" t="s">
        <v>102</v>
      </c>
    </row>
    <row r="16439" spans="1:1" x14ac:dyDescent="0.3">
      <c r="A16439" s="13" t="s">
        <v>103</v>
      </c>
    </row>
    <row r="16440" spans="1:1" x14ac:dyDescent="0.3">
      <c r="A16440" s="13" t="s">
        <v>104</v>
      </c>
    </row>
    <row r="32770" spans="1:1" x14ac:dyDescent="0.3">
      <c r="A32770" s="13" t="s">
        <v>0</v>
      </c>
    </row>
    <row r="32771" spans="1:1" x14ac:dyDescent="0.3">
      <c r="A32771" s="13" t="s">
        <v>124</v>
      </c>
    </row>
    <row r="32772" spans="1:1" x14ac:dyDescent="0.3">
      <c r="A32772" s="13" t="s">
        <v>1</v>
      </c>
    </row>
    <row r="32773" spans="1:1" x14ac:dyDescent="0.3">
      <c r="A32773" s="13" t="s">
        <v>2</v>
      </c>
    </row>
    <row r="32774" spans="1:1" x14ac:dyDescent="0.3">
      <c r="A32774" s="14" t="s">
        <v>25</v>
      </c>
    </row>
    <row r="32775" spans="1:1" x14ac:dyDescent="0.3">
      <c r="A32775" s="13" t="s">
        <v>125</v>
      </c>
    </row>
    <row r="32776" spans="1:1" x14ac:dyDescent="0.3">
      <c r="A32776" s="13" t="s">
        <v>126</v>
      </c>
    </row>
    <row r="32777" spans="1:1" x14ac:dyDescent="0.3">
      <c r="A32777" s="13" t="s">
        <v>87</v>
      </c>
    </row>
    <row r="32778" spans="1:1" x14ac:dyDescent="0.3">
      <c r="A32778" s="13" t="s">
        <v>22</v>
      </c>
    </row>
    <row r="32779" spans="1:1" x14ac:dyDescent="0.3">
      <c r="A32779" s="13" t="s">
        <v>3</v>
      </c>
    </row>
    <row r="32780" spans="1:1" x14ac:dyDescent="0.3">
      <c r="A32780" s="15" t="s">
        <v>94</v>
      </c>
    </row>
    <row r="32781" spans="1:1" x14ac:dyDescent="0.3">
      <c r="A32781" s="15" t="s">
        <v>93</v>
      </c>
    </row>
    <row r="32782" spans="1:1" x14ac:dyDescent="0.3">
      <c r="A32782" s="15" t="s">
        <v>4</v>
      </c>
    </row>
    <row r="32783" spans="1:1" x14ac:dyDescent="0.3">
      <c r="A32783" s="15" t="s">
        <v>117</v>
      </c>
    </row>
    <row r="32784" spans="1:1" x14ac:dyDescent="0.3">
      <c r="A32784" s="15" t="s">
        <v>5</v>
      </c>
    </row>
    <row r="32785" spans="1:1" x14ac:dyDescent="0.3">
      <c r="A32785" s="15" t="s">
        <v>6</v>
      </c>
    </row>
    <row r="32786" spans="1:1" x14ac:dyDescent="0.3">
      <c r="A32786" s="15" t="s">
        <v>7</v>
      </c>
    </row>
    <row r="32787" spans="1:1" x14ac:dyDescent="0.3">
      <c r="A32787" s="15" t="s">
        <v>8</v>
      </c>
    </row>
    <row r="32788" spans="1:1" x14ac:dyDescent="0.3">
      <c r="A32788" s="15" t="s">
        <v>9</v>
      </c>
    </row>
    <row r="32789" spans="1:1" x14ac:dyDescent="0.3">
      <c r="A32789" s="15" t="s">
        <v>10</v>
      </c>
    </row>
    <row r="32790" spans="1:1" x14ac:dyDescent="0.3">
      <c r="A32790" s="15" t="s">
        <v>11</v>
      </c>
    </row>
    <row r="32791" spans="1:1" x14ac:dyDescent="0.3">
      <c r="A32791" s="15" t="s">
        <v>12</v>
      </c>
    </row>
    <row r="32792" spans="1:1" x14ac:dyDescent="0.3">
      <c r="A32792" s="15" t="s">
        <v>13</v>
      </c>
    </row>
    <row r="32793" spans="1:1" x14ac:dyDescent="0.3">
      <c r="A32793" s="15" t="s">
        <v>14</v>
      </c>
    </row>
    <row r="32794" spans="1:1" x14ac:dyDescent="0.3">
      <c r="A32794" s="13" t="s">
        <v>31</v>
      </c>
    </row>
    <row r="32795" spans="1:1" x14ac:dyDescent="0.3">
      <c r="A32795" s="13" t="s">
        <v>86</v>
      </c>
    </row>
    <row r="32796" spans="1:1" x14ac:dyDescent="0.3">
      <c r="A32796" s="15" t="s">
        <v>30</v>
      </c>
    </row>
    <row r="32797" spans="1:1" x14ac:dyDescent="0.3">
      <c r="A32797" s="15" t="s">
        <v>26</v>
      </c>
    </row>
    <row r="32798" spans="1:1" x14ac:dyDescent="0.3">
      <c r="A32798" s="15" t="s">
        <v>27</v>
      </c>
    </row>
    <row r="32799" spans="1:1" x14ac:dyDescent="0.3">
      <c r="A32799" s="15" t="s">
        <v>28</v>
      </c>
    </row>
    <row r="32800" spans="1:1" x14ac:dyDescent="0.3">
      <c r="A32800" s="15" t="s">
        <v>88</v>
      </c>
    </row>
    <row r="32801" spans="1:1" x14ac:dyDescent="0.3">
      <c r="A32801" s="15" t="s">
        <v>89</v>
      </c>
    </row>
    <row r="32802" spans="1:1" x14ac:dyDescent="0.3">
      <c r="A32802" s="15" t="s">
        <v>184</v>
      </c>
    </row>
    <row r="32803" spans="1:1" x14ac:dyDescent="0.3">
      <c r="A32803" s="15" t="s">
        <v>185</v>
      </c>
    </row>
    <row r="32804" spans="1:1" x14ac:dyDescent="0.3">
      <c r="A32804" s="15" t="s">
        <v>186</v>
      </c>
    </row>
    <row r="32805" spans="1:1" x14ac:dyDescent="0.3">
      <c r="A32805" s="15" t="s">
        <v>187</v>
      </c>
    </row>
    <row r="32806" spans="1:1" x14ac:dyDescent="0.3">
      <c r="A32806" s="15" t="s">
        <v>188</v>
      </c>
    </row>
    <row r="32807" spans="1:1" x14ac:dyDescent="0.3">
      <c r="A32807" s="15" t="s">
        <v>189</v>
      </c>
    </row>
    <row r="32808" spans="1:1" x14ac:dyDescent="0.3">
      <c r="A32808" s="15" t="s">
        <v>190</v>
      </c>
    </row>
    <row r="32809" spans="1:1" x14ac:dyDescent="0.3">
      <c r="A32809" s="14" t="s">
        <v>47</v>
      </c>
    </row>
    <row r="32810" spans="1:1" x14ac:dyDescent="0.3">
      <c r="A32810" s="14" t="s">
        <v>118</v>
      </c>
    </row>
    <row r="32811" spans="1:1" x14ac:dyDescent="0.3">
      <c r="A32811" s="14" t="s">
        <v>85</v>
      </c>
    </row>
    <row r="32812" spans="1:1" x14ac:dyDescent="0.3">
      <c r="A32812" s="13" t="s">
        <v>21</v>
      </c>
    </row>
    <row r="32813" spans="1:1" x14ac:dyDescent="0.3">
      <c r="A32813" s="14" t="s">
        <v>91</v>
      </c>
    </row>
    <row r="32814" spans="1:1" x14ac:dyDescent="0.3">
      <c r="A32814" s="14" t="s">
        <v>92</v>
      </c>
    </row>
    <row r="32815" spans="1:1" x14ac:dyDescent="0.3">
      <c r="A32815" s="14" t="s">
        <v>98</v>
      </c>
    </row>
    <row r="32816" spans="1:1" x14ac:dyDescent="0.3">
      <c r="A32816" s="14" t="s">
        <v>99</v>
      </c>
    </row>
    <row r="32817" spans="1:1" x14ac:dyDescent="0.3">
      <c r="A32817" s="13" t="s">
        <v>24</v>
      </c>
    </row>
    <row r="32818" spans="1:1" x14ac:dyDescent="0.3">
      <c r="A32818" s="13" t="s">
        <v>82</v>
      </c>
    </row>
    <row r="32819" spans="1:1" x14ac:dyDescent="0.3">
      <c r="A32819" s="13" t="s">
        <v>105</v>
      </c>
    </row>
    <row r="32820" spans="1:1" x14ac:dyDescent="0.3">
      <c r="A32820" s="13" t="s">
        <v>100</v>
      </c>
    </row>
    <row r="32821" spans="1:1" x14ac:dyDescent="0.3">
      <c r="A32821" s="13" t="s">
        <v>101</v>
      </c>
    </row>
    <row r="32822" spans="1:1" x14ac:dyDescent="0.3">
      <c r="A32822" s="13" t="s">
        <v>102</v>
      </c>
    </row>
    <row r="32823" spans="1:1" x14ac:dyDescent="0.3">
      <c r="A32823" s="13" t="s">
        <v>103</v>
      </c>
    </row>
    <row r="32824" spans="1:1" x14ac:dyDescent="0.3">
      <c r="A32824" s="13" t="s">
        <v>104</v>
      </c>
    </row>
    <row r="49154" spans="1:1" x14ac:dyDescent="0.3">
      <c r="A49154" s="13" t="s">
        <v>0</v>
      </c>
    </row>
    <row r="49155" spans="1:1" x14ac:dyDescent="0.3">
      <c r="A49155" s="13" t="s">
        <v>124</v>
      </c>
    </row>
    <row r="49156" spans="1:1" x14ac:dyDescent="0.3">
      <c r="A49156" s="13" t="s">
        <v>1</v>
      </c>
    </row>
    <row r="49157" spans="1:1" x14ac:dyDescent="0.3">
      <c r="A49157" s="13" t="s">
        <v>2</v>
      </c>
    </row>
    <row r="49158" spans="1:1" x14ac:dyDescent="0.3">
      <c r="A49158" s="14" t="s">
        <v>25</v>
      </c>
    </row>
    <row r="49159" spans="1:1" x14ac:dyDescent="0.3">
      <c r="A49159" s="13" t="s">
        <v>125</v>
      </c>
    </row>
    <row r="49160" spans="1:1" x14ac:dyDescent="0.3">
      <c r="A49160" s="13" t="s">
        <v>126</v>
      </c>
    </row>
    <row r="49161" spans="1:1" x14ac:dyDescent="0.3">
      <c r="A49161" s="13" t="s">
        <v>87</v>
      </c>
    </row>
    <row r="49162" spans="1:1" x14ac:dyDescent="0.3">
      <c r="A49162" s="13" t="s">
        <v>22</v>
      </c>
    </row>
    <row r="49163" spans="1:1" x14ac:dyDescent="0.3">
      <c r="A49163" s="13" t="s">
        <v>3</v>
      </c>
    </row>
    <row r="49164" spans="1:1" x14ac:dyDescent="0.3">
      <c r="A49164" s="15" t="s">
        <v>94</v>
      </c>
    </row>
    <row r="49165" spans="1:1" x14ac:dyDescent="0.3">
      <c r="A49165" s="15" t="s">
        <v>93</v>
      </c>
    </row>
    <row r="49166" spans="1:1" x14ac:dyDescent="0.3">
      <c r="A49166" s="15" t="s">
        <v>4</v>
      </c>
    </row>
    <row r="49167" spans="1:1" x14ac:dyDescent="0.3">
      <c r="A49167" s="15" t="s">
        <v>117</v>
      </c>
    </row>
    <row r="49168" spans="1:1" x14ac:dyDescent="0.3">
      <c r="A49168" s="15" t="s">
        <v>5</v>
      </c>
    </row>
    <row r="49169" spans="1:1" x14ac:dyDescent="0.3">
      <c r="A49169" s="15" t="s">
        <v>6</v>
      </c>
    </row>
    <row r="49170" spans="1:1" x14ac:dyDescent="0.3">
      <c r="A49170" s="15" t="s">
        <v>7</v>
      </c>
    </row>
    <row r="49171" spans="1:1" x14ac:dyDescent="0.3">
      <c r="A49171" s="15" t="s">
        <v>8</v>
      </c>
    </row>
    <row r="49172" spans="1:1" x14ac:dyDescent="0.3">
      <c r="A49172" s="15" t="s">
        <v>9</v>
      </c>
    </row>
    <row r="49173" spans="1:1" x14ac:dyDescent="0.3">
      <c r="A49173" s="15" t="s">
        <v>10</v>
      </c>
    </row>
    <row r="49174" spans="1:1" x14ac:dyDescent="0.3">
      <c r="A49174" s="15" t="s">
        <v>11</v>
      </c>
    </row>
    <row r="49175" spans="1:1" x14ac:dyDescent="0.3">
      <c r="A49175" s="15" t="s">
        <v>12</v>
      </c>
    </row>
    <row r="49176" spans="1:1" x14ac:dyDescent="0.3">
      <c r="A49176" s="15" t="s">
        <v>13</v>
      </c>
    </row>
    <row r="49177" spans="1:1" x14ac:dyDescent="0.3">
      <c r="A49177" s="15" t="s">
        <v>14</v>
      </c>
    </row>
    <row r="49178" spans="1:1" x14ac:dyDescent="0.3">
      <c r="A49178" s="13" t="s">
        <v>31</v>
      </c>
    </row>
    <row r="49179" spans="1:1" x14ac:dyDescent="0.3">
      <c r="A49179" s="13" t="s">
        <v>86</v>
      </c>
    </row>
    <row r="49180" spans="1:1" x14ac:dyDescent="0.3">
      <c r="A49180" s="15" t="s">
        <v>30</v>
      </c>
    </row>
    <row r="49181" spans="1:1" x14ac:dyDescent="0.3">
      <c r="A49181" s="15" t="s">
        <v>26</v>
      </c>
    </row>
    <row r="49182" spans="1:1" x14ac:dyDescent="0.3">
      <c r="A49182" s="15" t="s">
        <v>27</v>
      </c>
    </row>
    <row r="49183" spans="1:1" x14ac:dyDescent="0.3">
      <c r="A49183" s="15" t="s">
        <v>28</v>
      </c>
    </row>
    <row r="49184" spans="1:1" x14ac:dyDescent="0.3">
      <c r="A49184" s="15" t="s">
        <v>88</v>
      </c>
    </row>
    <row r="49185" spans="1:1" x14ac:dyDescent="0.3">
      <c r="A49185" s="15" t="s">
        <v>89</v>
      </c>
    </row>
    <row r="49186" spans="1:1" x14ac:dyDescent="0.3">
      <c r="A49186" s="15" t="s">
        <v>184</v>
      </c>
    </row>
    <row r="49187" spans="1:1" x14ac:dyDescent="0.3">
      <c r="A49187" s="15" t="s">
        <v>185</v>
      </c>
    </row>
    <row r="49188" spans="1:1" x14ac:dyDescent="0.3">
      <c r="A49188" s="15" t="s">
        <v>186</v>
      </c>
    </row>
    <row r="49189" spans="1:1" x14ac:dyDescent="0.3">
      <c r="A49189" s="15" t="s">
        <v>187</v>
      </c>
    </row>
    <row r="49190" spans="1:1" x14ac:dyDescent="0.3">
      <c r="A49190" s="15" t="s">
        <v>188</v>
      </c>
    </row>
    <row r="49191" spans="1:1" x14ac:dyDescent="0.3">
      <c r="A49191" s="15" t="s">
        <v>189</v>
      </c>
    </row>
    <row r="49192" spans="1:1" x14ac:dyDescent="0.3">
      <c r="A49192" s="15" t="s">
        <v>190</v>
      </c>
    </row>
    <row r="49193" spans="1:1" x14ac:dyDescent="0.3">
      <c r="A49193" s="14" t="s">
        <v>47</v>
      </c>
    </row>
    <row r="49194" spans="1:1" x14ac:dyDescent="0.3">
      <c r="A49194" s="14" t="s">
        <v>118</v>
      </c>
    </row>
    <row r="49195" spans="1:1" x14ac:dyDescent="0.3">
      <c r="A49195" s="14" t="s">
        <v>85</v>
      </c>
    </row>
    <row r="49196" spans="1:1" x14ac:dyDescent="0.3">
      <c r="A49196" s="13" t="s">
        <v>21</v>
      </c>
    </row>
    <row r="49197" spans="1:1" x14ac:dyDescent="0.3">
      <c r="A49197" s="14" t="s">
        <v>91</v>
      </c>
    </row>
    <row r="49198" spans="1:1" x14ac:dyDescent="0.3">
      <c r="A49198" s="14" t="s">
        <v>92</v>
      </c>
    </row>
    <row r="49199" spans="1:1" x14ac:dyDescent="0.3">
      <c r="A49199" s="14" t="s">
        <v>98</v>
      </c>
    </row>
    <row r="49200" spans="1:1" x14ac:dyDescent="0.3">
      <c r="A49200" s="14" t="s">
        <v>99</v>
      </c>
    </row>
    <row r="49201" spans="1:1" x14ac:dyDescent="0.3">
      <c r="A49201" s="13" t="s">
        <v>24</v>
      </c>
    </row>
    <row r="49202" spans="1:1" x14ac:dyDescent="0.3">
      <c r="A49202" s="13" t="s">
        <v>82</v>
      </c>
    </row>
    <row r="49203" spans="1:1" x14ac:dyDescent="0.3">
      <c r="A49203" s="13" t="s">
        <v>105</v>
      </c>
    </row>
    <row r="49204" spans="1:1" x14ac:dyDescent="0.3">
      <c r="A49204" s="13" t="s">
        <v>100</v>
      </c>
    </row>
    <row r="49205" spans="1:1" x14ac:dyDescent="0.3">
      <c r="A49205" s="13" t="s">
        <v>101</v>
      </c>
    </row>
    <row r="49206" spans="1:1" x14ac:dyDescent="0.3">
      <c r="A49206" s="13" t="s">
        <v>102</v>
      </c>
    </row>
    <row r="49207" spans="1:1" x14ac:dyDescent="0.3">
      <c r="A49207" s="13" t="s">
        <v>103</v>
      </c>
    </row>
    <row r="49208" spans="1:1" x14ac:dyDescent="0.3">
      <c r="A49208" s="13" t="s">
        <v>104</v>
      </c>
    </row>
    <row r="65538" spans="1:1" x14ac:dyDescent="0.3">
      <c r="A65538" s="13" t="s">
        <v>0</v>
      </c>
    </row>
    <row r="65539" spans="1:1" x14ac:dyDescent="0.3">
      <c r="A65539" s="13" t="s">
        <v>124</v>
      </c>
    </row>
    <row r="65540" spans="1:1" x14ac:dyDescent="0.3">
      <c r="A65540" s="13" t="s">
        <v>1</v>
      </c>
    </row>
    <row r="65541" spans="1:1" x14ac:dyDescent="0.3">
      <c r="A65541" s="13" t="s">
        <v>2</v>
      </c>
    </row>
    <row r="65542" spans="1:1" x14ac:dyDescent="0.3">
      <c r="A65542" s="14" t="s">
        <v>25</v>
      </c>
    </row>
    <row r="65543" spans="1:1" x14ac:dyDescent="0.3">
      <c r="A65543" s="13" t="s">
        <v>125</v>
      </c>
    </row>
    <row r="65544" spans="1:1" x14ac:dyDescent="0.3">
      <c r="A65544" s="13" t="s">
        <v>126</v>
      </c>
    </row>
    <row r="65545" spans="1:1" x14ac:dyDescent="0.3">
      <c r="A65545" s="13" t="s">
        <v>87</v>
      </c>
    </row>
    <row r="65546" spans="1:1" x14ac:dyDescent="0.3">
      <c r="A65546" s="13" t="s">
        <v>22</v>
      </c>
    </row>
    <row r="65547" spans="1:1" x14ac:dyDescent="0.3">
      <c r="A65547" s="13" t="s">
        <v>3</v>
      </c>
    </row>
    <row r="65548" spans="1:1" x14ac:dyDescent="0.3">
      <c r="A65548" s="15" t="s">
        <v>94</v>
      </c>
    </row>
    <row r="65549" spans="1:1" x14ac:dyDescent="0.3">
      <c r="A65549" s="15" t="s">
        <v>93</v>
      </c>
    </row>
    <row r="65550" spans="1:1" x14ac:dyDescent="0.3">
      <c r="A65550" s="15" t="s">
        <v>4</v>
      </c>
    </row>
    <row r="65551" spans="1:1" x14ac:dyDescent="0.3">
      <c r="A65551" s="15" t="s">
        <v>117</v>
      </c>
    </row>
    <row r="65552" spans="1:1" x14ac:dyDescent="0.3">
      <c r="A65552" s="15" t="s">
        <v>5</v>
      </c>
    </row>
    <row r="65553" spans="1:1" x14ac:dyDescent="0.3">
      <c r="A65553" s="15" t="s">
        <v>6</v>
      </c>
    </row>
    <row r="65554" spans="1:1" x14ac:dyDescent="0.3">
      <c r="A65554" s="15" t="s">
        <v>7</v>
      </c>
    </row>
    <row r="65555" spans="1:1" x14ac:dyDescent="0.3">
      <c r="A65555" s="15" t="s">
        <v>8</v>
      </c>
    </row>
    <row r="65556" spans="1:1" x14ac:dyDescent="0.3">
      <c r="A65556" s="15" t="s">
        <v>9</v>
      </c>
    </row>
    <row r="65557" spans="1:1" x14ac:dyDescent="0.3">
      <c r="A65557" s="15" t="s">
        <v>10</v>
      </c>
    </row>
    <row r="65558" spans="1:1" x14ac:dyDescent="0.3">
      <c r="A65558" s="15" t="s">
        <v>11</v>
      </c>
    </row>
    <row r="65559" spans="1:1" x14ac:dyDescent="0.3">
      <c r="A65559" s="15" t="s">
        <v>12</v>
      </c>
    </row>
    <row r="65560" spans="1:1" x14ac:dyDescent="0.3">
      <c r="A65560" s="15" t="s">
        <v>13</v>
      </c>
    </row>
    <row r="65561" spans="1:1" x14ac:dyDescent="0.3">
      <c r="A65561" s="15" t="s">
        <v>14</v>
      </c>
    </row>
    <row r="65562" spans="1:1" x14ac:dyDescent="0.3">
      <c r="A65562" s="13" t="s">
        <v>31</v>
      </c>
    </row>
    <row r="65563" spans="1:1" x14ac:dyDescent="0.3">
      <c r="A65563" s="13" t="s">
        <v>86</v>
      </c>
    </row>
    <row r="65564" spans="1:1" x14ac:dyDescent="0.3">
      <c r="A65564" s="15" t="s">
        <v>30</v>
      </c>
    </row>
    <row r="65565" spans="1:1" x14ac:dyDescent="0.3">
      <c r="A65565" s="15" t="s">
        <v>26</v>
      </c>
    </row>
    <row r="65566" spans="1:1" x14ac:dyDescent="0.3">
      <c r="A65566" s="15" t="s">
        <v>27</v>
      </c>
    </row>
    <row r="65567" spans="1:1" x14ac:dyDescent="0.3">
      <c r="A65567" s="15" t="s">
        <v>28</v>
      </c>
    </row>
    <row r="65568" spans="1:1" x14ac:dyDescent="0.3">
      <c r="A65568" s="15" t="s">
        <v>88</v>
      </c>
    </row>
    <row r="65569" spans="1:1" x14ac:dyDescent="0.3">
      <c r="A65569" s="15" t="s">
        <v>89</v>
      </c>
    </row>
    <row r="65570" spans="1:1" x14ac:dyDescent="0.3">
      <c r="A65570" s="15" t="s">
        <v>184</v>
      </c>
    </row>
    <row r="65571" spans="1:1" x14ac:dyDescent="0.3">
      <c r="A65571" s="15" t="s">
        <v>185</v>
      </c>
    </row>
    <row r="65572" spans="1:1" x14ac:dyDescent="0.3">
      <c r="A65572" s="15" t="s">
        <v>186</v>
      </c>
    </row>
    <row r="65573" spans="1:1" x14ac:dyDescent="0.3">
      <c r="A65573" s="15" t="s">
        <v>187</v>
      </c>
    </row>
    <row r="65574" spans="1:1" x14ac:dyDescent="0.3">
      <c r="A65574" s="15" t="s">
        <v>188</v>
      </c>
    </row>
    <row r="65575" spans="1:1" x14ac:dyDescent="0.3">
      <c r="A65575" s="15" t="s">
        <v>189</v>
      </c>
    </row>
    <row r="65576" spans="1:1" x14ac:dyDescent="0.3">
      <c r="A65576" s="15" t="s">
        <v>190</v>
      </c>
    </row>
    <row r="65577" spans="1:1" x14ac:dyDescent="0.3">
      <c r="A65577" s="14" t="s">
        <v>47</v>
      </c>
    </row>
    <row r="65578" spans="1:1" x14ac:dyDescent="0.3">
      <c r="A65578" s="14" t="s">
        <v>118</v>
      </c>
    </row>
    <row r="65579" spans="1:1" x14ac:dyDescent="0.3">
      <c r="A65579" s="14" t="s">
        <v>85</v>
      </c>
    </row>
    <row r="65580" spans="1:1" x14ac:dyDescent="0.3">
      <c r="A65580" s="13" t="s">
        <v>21</v>
      </c>
    </row>
    <row r="65581" spans="1:1" x14ac:dyDescent="0.3">
      <c r="A65581" s="14" t="s">
        <v>91</v>
      </c>
    </row>
    <row r="65582" spans="1:1" x14ac:dyDescent="0.3">
      <c r="A65582" s="14" t="s">
        <v>92</v>
      </c>
    </row>
    <row r="65583" spans="1:1" x14ac:dyDescent="0.3">
      <c r="A65583" s="14" t="s">
        <v>98</v>
      </c>
    </row>
    <row r="65584" spans="1:1" x14ac:dyDescent="0.3">
      <c r="A65584" s="14" t="s">
        <v>99</v>
      </c>
    </row>
    <row r="65585" spans="1:1" x14ac:dyDescent="0.3">
      <c r="A65585" s="13" t="s">
        <v>24</v>
      </c>
    </row>
    <row r="65586" spans="1:1" x14ac:dyDescent="0.3">
      <c r="A65586" s="13" t="s">
        <v>82</v>
      </c>
    </row>
    <row r="65587" spans="1:1" x14ac:dyDescent="0.3">
      <c r="A65587" s="13" t="s">
        <v>105</v>
      </c>
    </row>
    <row r="65588" spans="1:1" x14ac:dyDescent="0.3">
      <c r="A65588" s="13" t="s">
        <v>100</v>
      </c>
    </row>
    <row r="65589" spans="1:1" x14ac:dyDescent="0.3">
      <c r="A65589" s="13" t="s">
        <v>101</v>
      </c>
    </row>
    <row r="65590" spans="1:1" x14ac:dyDescent="0.3">
      <c r="A65590" s="13" t="s">
        <v>102</v>
      </c>
    </row>
    <row r="65591" spans="1:1" x14ac:dyDescent="0.3">
      <c r="A65591" s="13" t="s">
        <v>103</v>
      </c>
    </row>
    <row r="65592" spans="1:1" x14ac:dyDescent="0.3">
      <c r="A65592" s="13" t="s">
        <v>104</v>
      </c>
    </row>
    <row r="81922" spans="1:1" x14ac:dyDescent="0.3">
      <c r="A81922" s="13" t="s">
        <v>0</v>
      </c>
    </row>
    <row r="81923" spans="1:1" x14ac:dyDescent="0.3">
      <c r="A81923" s="13" t="s">
        <v>124</v>
      </c>
    </row>
    <row r="81924" spans="1:1" x14ac:dyDescent="0.3">
      <c r="A81924" s="13" t="s">
        <v>1</v>
      </c>
    </row>
    <row r="81925" spans="1:1" x14ac:dyDescent="0.3">
      <c r="A81925" s="13" t="s">
        <v>2</v>
      </c>
    </row>
    <row r="81926" spans="1:1" x14ac:dyDescent="0.3">
      <c r="A81926" s="14" t="s">
        <v>25</v>
      </c>
    </row>
    <row r="81927" spans="1:1" x14ac:dyDescent="0.3">
      <c r="A81927" s="13" t="s">
        <v>125</v>
      </c>
    </row>
    <row r="81928" spans="1:1" x14ac:dyDescent="0.3">
      <c r="A81928" s="13" t="s">
        <v>126</v>
      </c>
    </row>
    <row r="81929" spans="1:1" x14ac:dyDescent="0.3">
      <c r="A81929" s="13" t="s">
        <v>87</v>
      </c>
    </row>
    <row r="81930" spans="1:1" x14ac:dyDescent="0.3">
      <c r="A81930" s="13" t="s">
        <v>22</v>
      </c>
    </row>
    <row r="81931" spans="1:1" x14ac:dyDescent="0.3">
      <c r="A81931" s="13" t="s">
        <v>3</v>
      </c>
    </row>
    <row r="81932" spans="1:1" x14ac:dyDescent="0.3">
      <c r="A81932" s="15" t="s">
        <v>94</v>
      </c>
    </row>
    <row r="81933" spans="1:1" x14ac:dyDescent="0.3">
      <c r="A81933" s="15" t="s">
        <v>93</v>
      </c>
    </row>
    <row r="81934" spans="1:1" x14ac:dyDescent="0.3">
      <c r="A81934" s="15" t="s">
        <v>4</v>
      </c>
    </row>
    <row r="81935" spans="1:1" x14ac:dyDescent="0.3">
      <c r="A81935" s="15" t="s">
        <v>117</v>
      </c>
    </row>
    <row r="81936" spans="1:1" x14ac:dyDescent="0.3">
      <c r="A81936" s="15" t="s">
        <v>5</v>
      </c>
    </row>
    <row r="81937" spans="1:1" x14ac:dyDescent="0.3">
      <c r="A81937" s="15" t="s">
        <v>6</v>
      </c>
    </row>
    <row r="81938" spans="1:1" x14ac:dyDescent="0.3">
      <c r="A81938" s="15" t="s">
        <v>7</v>
      </c>
    </row>
    <row r="81939" spans="1:1" x14ac:dyDescent="0.3">
      <c r="A81939" s="15" t="s">
        <v>8</v>
      </c>
    </row>
    <row r="81940" spans="1:1" x14ac:dyDescent="0.3">
      <c r="A81940" s="15" t="s">
        <v>9</v>
      </c>
    </row>
    <row r="81941" spans="1:1" x14ac:dyDescent="0.3">
      <c r="A81941" s="15" t="s">
        <v>10</v>
      </c>
    </row>
    <row r="81942" spans="1:1" x14ac:dyDescent="0.3">
      <c r="A81942" s="15" t="s">
        <v>11</v>
      </c>
    </row>
    <row r="81943" spans="1:1" x14ac:dyDescent="0.3">
      <c r="A81943" s="15" t="s">
        <v>12</v>
      </c>
    </row>
    <row r="81944" spans="1:1" x14ac:dyDescent="0.3">
      <c r="A81944" s="15" t="s">
        <v>13</v>
      </c>
    </row>
    <row r="81945" spans="1:1" x14ac:dyDescent="0.3">
      <c r="A81945" s="15" t="s">
        <v>14</v>
      </c>
    </row>
    <row r="81946" spans="1:1" x14ac:dyDescent="0.3">
      <c r="A81946" s="13" t="s">
        <v>31</v>
      </c>
    </row>
    <row r="81947" spans="1:1" x14ac:dyDescent="0.3">
      <c r="A81947" s="13" t="s">
        <v>86</v>
      </c>
    </row>
    <row r="81948" spans="1:1" x14ac:dyDescent="0.3">
      <c r="A81948" s="15" t="s">
        <v>30</v>
      </c>
    </row>
    <row r="81949" spans="1:1" x14ac:dyDescent="0.3">
      <c r="A81949" s="15" t="s">
        <v>26</v>
      </c>
    </row>
    <row r="81950" spans="1:1" x14ac:dyDescent="0.3">
      <c r="A81950" s="15" t="s">
        <v>27</v>
      </c>
    </row>
    <row r="81951" spans="1:1" x14ac:dyDescent="0.3">
      <c r="A81951" s="15" t="s">
        <v>28</v>
      </c>
    </row>
    <row r="81952" spans="1:1" x14ac:dyDescent="0.3">
      <c r="A81952" s="15" t="s">
        <v>88</v>
      </c>
    </row>
    <row r="81953" spans="1:1" x14ac:dyDescent="0.3">
      <c r="A81953" s="15" t="s">
        <v>89</v>
      </c>
    </row>
    <row r="81954" spans="1:1" x14ac:dyDescent="0.3">
      <c r="A81954" s="15" t="s">
        <v>184</v>
      </c>
    </row>
    <row r="81955" spans="1:1" x14ac:dyDescent="0.3">
      <c r="A81955" s="15" t="s">
        <v>185</v>
      </c>
    </row>
    <row r="81956" spans="1:1" x14ac:dyDescent="0.3">
      <c r="A81956" s="15" t="s">
        <v>186</v>
      </c>
    </row>
    <row r="81957" spans="1:1" x14ac:dyDescent="0.3">
      <c r="A81957" s="15" t="s">
        <v>187</v>
      </c>
    </row>
    <row r="81958" spans="1:1" x14ac:dyDescent="0.3">
      <c r="A81958" s="15" t="s">
        <v>188</v>
      </c>
    </row>
    <row r="81959" spans="1:1" x14ac:dyDescent="0.3">
      <c r="A81959" s="15" t="s">
        <v>189</v>
      </c>
    </row>
    <row r="81960" spans="1:1" x14ac:dyDescent="0.3">
      <c r="A81960" s="15" t="s">
        <v>190</v>
      </c>
    </row>
    <row r="81961" spans="1:1" x14ac:dyDescent="0.3">
      <c r="A81961" s="14" t="s">
        <v>47</v>
      </c>
    </row>
    <row r="81962" spans="1:1" x14ac:dyDescent="0.3">
      <c r="A81962" s="14" t="s">
        <v>118</v>
      </c>
    </row>
    <row r="81963" spans="1:1" x14ac:dyDescent="0.3">
      <c r="A81963" s="14" t="s">
        <v>85</v>
      </c>
    </row>
    <row r="81964" spans="1:1" x14ac:dyDescent="0.3">
      <c r="A81964" s="13" t="s">
        <v>21</v>
      </c>
    </row>
    <row r="81965" spans="1:1" x14ac:dyDescent="0.3">
      <c r="A81965" s="14" t="s">
        <v>91</v>
      </c>
    </row>
    <row r="81966" spans="1:1" x14ac:dyDescent="0.3">
      <c r="A81966" s="14" t="s">
        <v>92</v>
      </c>
    </row>
    <row r="81967" spans="1:1" x14ac:dyDescent="0.3">
      <c r="A81967" s="14" t="s">
        <v>98</v>
      </c>
    </row>
    <row r="81968" spans="1:1" x14ac:dyDescent="0.3">
      <c r="A81968" s="14" t="s">
        <v>99</v>
      </c>
    </row>
    <row r="81969" spans="1:1" x14ac:dyDescent="0.3">
      <c r="A81969" s="13" t="s">
        <v>24</v>
      </c>
    </row>
    <row r="81970" spans="1:1" x14ac:dyDescent="0.3">
      <c r="A81970" s="13" t="s">
        <v>82</v>
      </c>
    </row>
    <row r="81971" spans="1:1" x14ac:dyDescent="0.3">
      <c r="A81971" s="13" t="s">
        <v>105</v>
      </c>
    </row>
    <row r="81972" spans="1:1" x14ac:dyDescent="0.3">
      <c r="A81972" s="13" t="s">
        <v>100</v>
      </c>
    </row>
    <row r="81973" spans="1:1" x14ac:dyDescent="0.3">
      <c r="A81973" s="13" t="s">
        <v>101</v>
      </c>
    </row>
    <row r="81974" spans="1:1" x14ac:dyDescent="0.3">
      <c r="A81974" s="13" t="s">
        <v>102</v>
      </c>
    </row>
    <row r="81975" spans="1:1" x14ac:dyDescent="0.3">
      <c r="A81975" s="13" t="s">
        <v>103</v>
      </c>
    </row>
    <row r="81976" spans="1:1" x14ac:dyDescent="0.3">
      <c r="A81976" s="13" t="s">
        <v>104</v>
      </c>
    </row>
    <row r="98306" spans="1:1" x14ac:dyDescent="0.3">
      <c r="A98306" s="13" t="s">
        <v>0</v>
      </c>
    </row>
    <row r="98307" spans="1:1" x14ac:dyDescent="0.3">
      <c r="A98307" s="13" t="s">
        <v>124</v>
      </c>
    </row>
    <row r="98308" spans="1:1" x14ac:dyDescent="0.3">
      <c r="A98308" s="13" t="s">
        <v>1</v>
      </c>
    </row>
    <row r="98309" spans="1:1" x14ac:dyDescent="0.3">
      <c r="A98309" s="13" t="s">
        <v>2</v>
      </c>
    </row>
    <row r="98310" spans="1:1" x14ac:dyDescent="0.3">
      <c r="A98310" s="14" t="s">
        <v>25</v>
      </c>
    </row>
    <row r="98311" spans="1:1" x14ac:dyDescent="0.3">
      <c r="A98311" s="13" t="s">
        <v>125</v>
      </c>
    </row>
    <row r="98312" spans="1:1" x14ac:dyDescent="0.3">
      <c r="A98312" s="13" t="s">
        <v>126</v>
      </c>
    </row>
    <row r="98313" spans="1:1" x14ac:dyDescent="0.3">
      <c r="A98313" s="13" t="s">
        <v>87</v>
      </c>
    </row>
    <row r="98314" spans="1:1" x14ac:dyDescent="0.3">
      <c r="A98314" s="13" t="s">
        <v>22</v>
      </c>
    </row>
    <row r="98315" spans="1:1" x14ac:dyDescent="0.3">
      <c r="A98315" s="13" t="s">
        <v>3</v>
      </c>
    </row>
    <row r="98316" spans="1:1" x14ac:dyDescent="0.3">
      <c r="A98316" s="15" t="s">
        <v>94</v>
      </c>
    </row>
    <row r="98317" spans="1:1" x14ac:dyDescent="0.3">
      <c r="A98317" s="15" t="s">
        <v>93</v>
      </c>
    </row>
    <row r="98318" spans="1:1" x14ac:dyDescent="0.3">
      <c r="A98318" s="15" t="s">
        <v>4</v>
      </c>
    </row>
    <row r="98319" spans="1:1" x14ac:dyDescent="0.3">
      <c r="A98319" s="15" t="s">
        <v>117</v>
      </c>
    </row>
    <row r="98320" spans="1:1" x14ac:dyDescent="0.3">
      <c r="A98320" s="15" t="s">
        <v>5</v>
      </c>
    </row>
    <row r="98321" spans="1:1" x14ac:dyDescent="0.3">
      <c r="A98321" s="15" t="s">
        <v>6</v>
      </c>
    </row>
    <row r="98322" spans="1:1" x14ac:dyDescent="0.3">
      <c r="A98322" s="15" t="s">
        <v>7</v>
      </c>
    </row>
    <row r="98323" spans="1:1" x14ac:dyDescent="0.3">
      <c r="A98323" s="15" t="s">
        <v>8</v>
      </c>
    </row>
    <row r="98324" spans="1:1" x14ac:dyDescent="0.3">
      <c r="A98324" s="15" t="s">
        <v>9</v>
      </c>
    </row>
    <row r="98325" spans="1:1" x14ac:dyDescent="0.3">
      <c r="A98325" s="15" t="s">
        <v>10</v>
      </c>
    </row>
    <row r="98326" spans="1:1" x14ac:dyDescent="0.3">
      <c r="A98326" s="15" t="s">
        <v>11</v>
      </c>
    </row>
    <row r="98327" spans="1:1" x14ac:dyDescent="0.3">
      <c r="A98327" s="15" t="s">
        <v>12</v>
      </c>
    </row>
    <row r="98328" spans="1:1" x14ac:dyDescent="0.3">
      <c r="A98328" s="15" t="s">
        <v>13</v>
      </c>
    </row>
    <row r="98329" spans="1:1" x14ac:dyDescent="0.3">
      <c r="A98329" s="15" t="s">
        <v>14</v>
      </c>
    </row>
    <row r="98330" spans="1:1" x14ac:dyDescent="0.3">
      <c r="A98330" s="13" t="s">
        <v>31</v>
      </c>
    </row>
    <row r="98331" spans="1:1" x14ac:dyDescent="0.3">
      <c r="A98331" s="13" t="s">
        <v>86</v>
      </c>
    </row>
    <row r="98332" spans="1:1" x14ac:dyDescent="0.3">
      <c r="A98332" s="15" t="s">
        <v>30</v>
      </c>
    </row>
    <row r="98333" spans="1:1" x14ac:dyDescent="0.3">
      <c r="A98333" s="15" t="s">
        <v>26</v>
      </c>
    </row>
    <row r="98334" spans="1:1" x14ac:dyDescent="0.3">
      <c r="A98334" s="15" t="s">
        <v>27</v>
      </c>
    </row>
    <row r="98335" spans="1:1" x14ac:dyDescent="0.3">
      <c r="A98335" s="15" t="s">
        <v>28</v>
      </c>
    </row>
    <row r="98336" spans="1:1" x14ac:dyDescent="0.3">
      <c r="A98336" s="15" t="s">
        <v>88</v>
      </c>
    </row>
    <row r="98337" spans="1:1" x14ac:dyDescent="0.3">
      <c r="A98337" s="15" t="s">
        <v>89</v>
      </c>
    </row>
    <row r="98338" spans="1:1" x14ac:dyDescent="0.3">
      <c r="A98338" s="15" t="s">
        <v>184</v>
      </c>
    </row>
    <row r="98339" spans="1:1" x14ac:dyDescent="0.3">
      <c r="A98339" s="15" t="s">
        <v>185</v>
      </c>
    </row>
    <row r="98340" spans="1:1" x14ac:dyDescent="0.3">
      <c r="A98340" s="15" t="s">
        <v>186</v>
      </c>
    </row>
    <row r="98341" spans="1:1" x14ac:dyDescent="0.3">
      <c r="A98341" s="15" t="s">
        <v>187</v>
      </c>
    </row>
    <row r="98342" spans="1:1" x14ac:dyDescent="0.3">
      <c r="A98342" s="15" t="s">
        <v>188</v>
      </c>
    </row>
    <row r="98343" spans="1:1" x14ac:dyDescent="0.3">
      <c r="A98343" s="15" t="s">
        <v>189</v>
      </c>
    </row>
    <row r="98344" spans="1:1" x14ac:dyDescent="0.3">
      <c r="A98344" s="15" t="s">
        <v>190</v>
      </c>
    </row>
    <row r="98345" spans="1:1" x14ac:dyDescent="0.3">
      <c r="A98345" s="14" t="s">
        <v>47</v>
      </c>
    </row>
    <row r="98346" spans="1:1" x14ac:dyDescent="0.3">
      <c r="A98346" s="14" t="s">
        <v>118</v>
      </c>
    </row>
    <row r="98347" spans="1:1" x14ac:dyDescent="0.3">
      <c r="A98347" s="14" t="s">
        <v>85</v>
      </c>
    </row>
    <row r="98348" spans="1:1" x14ac:dyDescent="0.3">
      <c r="A98348" s="13" t="s">
        <v>21</v>
      </c>
    </row>
    <row r="98349" spans="1:1" x14ac:dyDescent="0.3">
      <c r="A98349" s="14" t="s">
        <v>91</v>
      </c>
    </row>
    <row r="98350" spans="1:1" x14ac:dyDescent="0.3">
      <c r="A98350" s="14" t="s">
        <v>92</v>
      </c>
    </row>
    <row r="98351" spans="1:1" x14ac:dyDescent="0.3">
      <c r="A98351" s="14" t="s">
        <v>98</v>
      </c>
    </row>
    <row r="98352" spans="1:1" x14ac:dyDescent="0.3">
      <c r="A98352" s="14" t="s">
        <v>99</v>
      </c>
    </row>
    <row r="98353" spans="1:1" x14ac:dyDescent="0.3">
      <c r="A98353" s="13" t="s">
        <v>24</v>
      </c>
    </row>
    <row r="98354" spans="1:1" x14ac:dyDescent="0.3">
      <c r="A98354" s="13" t="s">
        <v>82</v>
      </c>
    </row>
    <row r="98355" spans="1:1" x14ac:dyDescent="0.3">
      <c r="A98355" s="13" t="s">
        <v>105</v>
      </c>
    </row>
    <row r="98356" spans="1:1" x14ac:dyDescent="0.3">
      <c r="A98356" s="13" t="s">
        <v>100</v>
      </c>
    </row>
    <row r="98357" spans="1:1" x14ac:dyDescent="0.3">
      <c r="A98357" s="13" t="s">
        <v>101</v>
      </c>
    </row>
    <row r="98358" spans="1:1" x14ac:dyDescent="0.3">
      <c r="A98358" s="13" t="s">
        <v>102</v>
      </c>
    </row>
    <row r="98359" spans="1:1" x14ac:dyDescent="0.3">
      <c r="A98359" s="13" t="s">
        <v>103</v>
      </c>
    </row>
    <row r="98360" spans="1:1" x14ac:dyDescent="0.3">
      <c r="A98360" s="13" t="s">
        <v>104</v>
      </c>
    </row>
    <row r="114690" spans="1:1" x14ac:dyDescent="0.3">
      <c r="A114690" s="13" t="s">
        <v>0</v>
      </c>
    </row>
    <row r="114691" spans="1:1" x14ac:dyDescent="0.3">
      <c r="A114691" s="13" t="s">
        <v>124</v>
      </c>
    </row>
    <row r="114692" spans="1:1" x14ac:dyDescent="0.3">
      <c r="A114692" s="13" t="s">
        <v>1</v>
      </c>
    </row>
    <row r="114693" spans="1:1" x14ac:dyDescent="0.3">
      <c r="A114693" s="13" t="s">
        <v>2</v>
      </c>
    </row>
    <row r="114694" spans="1:1" x14ac:dyDescent="0.3">
      <c r="A114694" s="14" t="s">
        <v>25</v>
      </c>
    </row>
    <row r="114695" spans="1:1" x14ac:dyDescent="0.3">
      <c r="A114695" s="13" t="s">
        <v>125</v>
      </c>
    </row>
    <row r="114696" spans="1:1" x14ac:dyDescent="0.3">
      <c r="A114696" s="13" t="s">
        <v>126</v>
      </c>
    </row>
    <row r="114697" spans="1:1" x14ac:dyDescent="0.3">
      <c r="A114697" s="13" t="s">
        <v>87</v>
      </c>
    </row>
    <row r="114698" spans="1:1" x14ac:dyDescent="0.3">
      <c r="A114698" s="13" t="s">
        <v>22</v>
      </c>
    </row>
    <row r="114699" spans="1:1" x14ac:dyDescent="0.3">
      <c r="A114699" s="13" t="s">
        <v>3</v>
      </c>
    </row>
    <row r="114700" spans="1:1" x14ac:dyDescent="0.3">
      <c r="A114700" s="15" t="s">
        <v>94</v>
      </c>
    </row>
    <row r="114701" spans="1:1" x14ac:dyDescent="0.3">
      <c r="A114701" s="15" t="s">
        <v>93</v>
      </c>
    </row>
    <row r="114702" spans="1:1" x14ac:dyDescent="0.3">
      <c r="A114702" s="15" t="s">
        <v>4</v>
      </c>
    </row>
    <row r="114703" spans="1:1" x14ac:dyDescent="0.3">
      <c r="A114703" s="15" t="s">
        <v>117</v>
      </c>
    </row>
    <row r="114704" spans="1:1" x14ac:dyDescent="0.3">
      <c r="A114704" s="15" t="s">
        <v>5</v>
      </c>
    </row>
    <row r="114705" spans="1:1" x14ac:dyDescent="0.3">
      <c r="A114705" s="15" t="s">
        <v>6</v>
      </c>
    </row>
    <row r="114706" spans="1:1" x14ac:dyDescent="0.3">
      <c r="A114706" s="15" t="s">
        <v>7</v>
      </c>
    </row>
    <row r="114707" spans="1:1" x14ac:dyDescent="0.3">
      <c r="A114707" s="15" t="s">
        <v>8</v>
      </c>
    </row>
    <row r="114708" spans="1:1" x14ac:dyDescent="0.3">
      <c r="A114708" s="15" t="s">
        <v>9</v>
      </c>
    </row>
    <row r="114709" spans="1:1" x14ac:dyDescent="0.3">
      <c r="A114709" s="15" t="s">
        <v>10</v>
      </c>
    </row>
    <row r="114710" spans="1:1" x14ac:dyDescent="0.3">
      <c r="A114710" s="15" t="s">
        <v>11</v>
      </c>
    </row>
    <row r="114711" spans="1:1" x14ac:dyDescent="0.3">
      <c r="A114711" s="15" t="s">
        <v>12</v>
      </c>
    </row>
    <row r="114712" spans="1:1" x14ac:dyDescent="0.3">
      <c r="A114712" s="15" t="s">
        <v>13</v>
      </c>
    </row>
    <row r="114713" spans="1:1" x14ac:dyDescent="0.3">
      <c r="A114713" s="15" t="s">
        <v>14</v>
      </c>
    </row>
    <row r="114714" spans="1:1" x14ac:dyDescent="0.3">
      <c r="A114714" s="13" t="s">
        <v>31</v>
      </c>
    </row>
    <row r="114715" spans="1:1" x14ac:dyDescent="0.3">
      <c r="A114715" s="13" t="s">
        <v>86</v>
      </c>
    </row>
    <row r="114716" spans="1:1" x14ac:dyDescent="0.3">
      <c r="A114716" s="15" t="s">
        <v>30</v>
      </c>
    </row>
    <row r="114717" spans="1:1" x14ac:dyDescent="0.3">
      <c r="A114717" s="15" t="s">
        <v>26</v>
      </c>
    </row>
    <row r="114718" spans="1:1" x14ac:dyDescent="0.3">
      <c r="A114718" s="15" t="s">
        <v>27</v>
      </c>
    </row>
    <row r="114719" spans="1:1" x14ac:dyDescent="0.3">
      <c r="A114719" s="15" t="s">
        <v>28</v>
      </c>
    </row>
    <row r="114720" spans="1:1" x14ac:dyDescent="0.3">
      <c r="A114720" s="15" t="s">
        <v>88</v>
      </c>
    </row>
    <row r="114721" spans="1:1" x14ac:dyDescent="0.3">
      <c r="A114721" s="15" t="s">
        <v>89</v>
      </c>
    </row>
    <row r="114722" spans="1:1" x14ac:dyDescent="0.3">
      <c r="A114722" s="15" t="s">
        <v>184</v>
      </c>
    </row>
    <row r="114723" spans="1:1" x14ac:dyDescent="0.3">
      <c r="A114723" s="15" t="s">
        <v>185</v>
      </c>
    </row>
    <row r="114724" spans="1:1" x14ac:dyDescent="0.3">
      <c r="A114724" s="15" t="s">
        <v>186</v>
      </c>
    </row>
    <row r="114725" spans="1:1" x14ac:dyDescent="0.3">
      <c r="A114725" s="15" t="s">
        <v>187</v>
      </c>
    </row>
    <row r="114726" spans="1:1" x14ac:dyDescent="0.3">
      <c r="A114726" s="15" t="s">
        <v>188</v>
      </c>
    </row>
    <row r="114727" spans="1:1" x14ac:dyDescent="0.3">
      <c r="A114727" s="15" t="s">
        <v>189</v>
      </c>
    </row>
    <row r="114728" spans="1:1" x14ac:dyDescent="0.3">
      <c r="A114728" s="15" t="s">
        <v>190</v>
      </c>
    </row>
    <row r="114729" spans="1:1" x14ac:dyDescent="0.3">
      <c r="A114729" s="14" t="s">
        <v>47</v>
      </c>
    </row>
    <row r="114730" spans="1:1" x14ac:dyDescent="0.3">
      <c r="A114730" s="14" t="s">
        <v>118</v>
      </c>
    </row>
    <row r="114731" spans="1:1" x14ac:dyDescent="0.3">
      <c r="A114731" s="14" t="s">
        <v>85</v>
      </c>
    </row>
    <row r="114732" spans="1:1" x14ac:dyDescent="0.3">
      <c r="A114732" s="13" t="s">
        <v>21</v>
      </c>
    </row>
    <row r="114733" spans="1:1" x14ac:dyDescent="0.3">
      <c r="A114733" s="14" t="s">
        <v>91</v>
      </c>
    </row>
    <row r="114734" spans="1:1" x14ac:dyDescent="0.3">
      <c r="A114734" s="14" t="s">
        <v>92</v>
      </c>
    </row>
    <row r="114735" spans="1:1" x14ac:dyDescent="0.3">
      <c r="A114735" s="14" t="s">
        <v>98</v>
      </c>
    </row>
    <row r="114736" spans="1:1" x14ac:dyDescent="0.3">
      <c r="A114736" s="14" t="s">
        <v>99</v>
      </c>
    </row>
    <row r="114737" spans="1:1" x14ac:dyDescent="0.3">
      <c r="A114737" s="13" t="s">
        <v>24</v>
      </c>
    </row>
    <row r="114738" spans="1:1" x14ac:dyDescent="0.3">
      <c r="A114738" s="13" t="s">
        <v>82</v>
      </c>
    </row>
    <row r="114739" spans="1:1" x14ac:dyDescent="0.3">
      <c r="A114739" s="13" t="s">
        <v>105</v>
      </c>
    </row>
    <row r="114740" spans="1:1" x14ac:dyDescent="0.3">
      <c r="A114740" s="13" t="s">
        <v>100</v>
      </c>
    </row>
    <row r="114741" spans="1:1" x14ac:dyDescent="0.3">
      <c r="A114741" s="13" t="s">
        <v>101</v>
      </c>
    </row>
    <row r="114742" spans="1:1" x14ac:dyDescent="0.3">
      <c r="A114742" s="13" t="s">
        <v>102</v>
      </c>
    </row>
    <row r="114743" spans="1:1" x14ac:dyDescent="0.3">
      <c r="A114743" s="13" t="s">
        <v>103</v>
      </c>
    </row>
    <row r="114744" spans="1:1" x14ac:dyDescent="0.3">
      <c r="A114744" s="13" t="s">
        <v>104</v>
      </c>
    </row>
    <row r="131074" spans="1:1" x14ac:dyDescent="0.3">
      <c r="A131074" s="13" t="s">
        <v>0</v>
      </c>
    </row>
    <row r="131075" spans="1:1" x14ac:dyDescent="0.3">
      <c r="A131075" s="13" t="s">
        <v>124</v>
      </c>
    </row>
    <row r="131076" spans="1:1" x14ac:dyDescent="0.3">
      <c r="A131076" s="13" t="s">
        <v>1</v>
      </c>
    </row>
    <row r="131077" spans="1:1" x14ac:dyDescent="0.3">
      <c r="A131077" s="13" t="s">
        <v>2</v>
      </c>
    </row>
    <row r="131078" spans="1:1" x14ac:dyDescent="0.3">
      <c r="A131078" s="14" t="s">
        <v>25</v>
      </c>
    </row>
    <row r="131079" spans="1:1" x14ac:dyDescent="0.3">
      <c r="A131079" s="13" t="s">
        <v>125</v>
      </c>
    </row>
    <row r="131080" spans="1:1" x14ac:dyDescent="0.3">
      <c r="A131080" s="13" t="s">
        <v>126</v>
      </c>
    </row>
    <row r="131081" spans="1:1" x14ac:dyDescent="0.3">
      <c r="A131081" s="13" t="s">
        <v>87</v>
      </c>
    </row>
    <row r="131082" spans="1:1" x14ac:dyDescent="0.3">
      <c r="A131082" s="13" t="s">
        <v>22</v>
      </c>
    </row>
    <row r="131083" spans="1:1" x14ac:dyDescent="0.3">
      <c r="A131083" s="13" t="s">
        <v>3</v>
      </c>
    </row>
    <row r="131084" spans="1:1" x14ac:dyDescent="0.3">
      <c r="A131084" s="15" t="s">
        <v>94</v>
      </c>
    </row>
    <row r="131085" spans="1:1" x14ac:dyDescent="0.3">
      <c r="A131085" s="15" t="s">
        <v>93</v>
      </c>
    </row>
    <row r="131086" spans="1:1" x14ac:dyDescent="0.3">
      <c r="A131086" s="15" t="s">
        <v>4</v>
      </c>
    </row>
    <row r="131087" spans="1:1" x14ac:dyDescent="0.3">
      <c r="A131087" s="15" t="s">
        <v>117</v>
      </c>
    </row>
    <row r="131088" spans="1:1" x14ac:dyDescent="0.3">
      <c r="A131088" s="15" t="s">
        <v>5</v>
      </c>
    </row>
    <row r="131089" spans="1:1" x14ac:dyDescent="0.3">
      <c r="A131089" s="15" t="s">
        <v>6</v>
      </c>
    </row>
    <row r="131090" spans="1:1" x14ac:dyDescent="0.3">
      <c r="A131090" s="15" t="s">
        <v>7</v>
      </c>
    </row>
    <row r="131091" spans="1:1" x14ac:dyDescent="0.3">
      <c r="A131091" s="15" t="s">
        <v>8</v>
      </c>
    </row>
    <row r="131092" spans="1:1" x14ac:dyDescent="0.3">
      <c r="A131092" s="15" t="s">
        <v>9</v>
      </c>
    </row>
    <row r="131093" spans="1:1" x14ac:dyDescent="0.3">
      <c r="A131093" s="15" t="s">
        <v>10</v>
      </c>
    </row>
    <row r="131094" spans="1:1" x14ac:dyDescent="0.3">
      <c r="A131094" s="15" t="s">
        <v>11</v>
      </c>
    </row>
    <row r="131095" spans="1:1" x14ac:dyDescent="0.3">
      <c r="A131095" s="15" t="s">
        <v>12</v>
      </c>
    </row>
    <row r="131096" spans="1:1" x14ac:dyDescent="0.3">
      <c r="A131096" s="15" t="s">
        <v>13</v>
      </c>
    </row>
    <row r="131097" spans="1:1" x14ac:dyDescent="0.3">
      <c r="A131097" s="15" t="s">
        <v>14</v>
      </c>
    </row>
    <row r="131098" spans="1:1" x14ac:dyDescent="0.3">
      <c r="A131098" s="13" t="s">
        <v>31</v>
      </c>
    </row>
    <row r="131099" spans="1:1" x14ac:dyDescent="0.3">
      <c r="A131099" s="13" t="s">
        <v>86</v>
      </c>
    </row>
    <row r="131100" spans="1:1" x14ac:dyDescent="0.3">
      <c r="A131100" s="15" t="s">
        <v>30</v>
      </c>
    </row>
    <row r="131101" spans="1:1" x14ac:dyDescent="0.3">
      <c r="A131101" s="15" t="s">
        <v>26</v>
      </c>
    </row>
    <row r="131102" spans="1:1" x14ac:dyDescent="0.3">
      <c r="A131102" s="15" t="s">
        <v>27</v>
      </c>
    </row>
    <row r="131103" spans="1:1" x14ac:dyDescent="0.3">
      <c r="A131103" s="15" t="s">
        <v>28</v>
      </c>
    </row>
    <row r="131104" spans="1:1" x14ac:dyDescent="0.3">
      <c r="A131104" s="15" t="s">
        <v>88</v>
      </c>
    </row>
    <row r="131105" spans="1:1" x14ac:dyDescent="0.3">
      <c r="A131105" s="15" t="s">
        <v>89</v>
      </c>
    </row>
    <row r="131106" spans="1:1" x14ac:dyDescent="0.3">
      <c r="A131106" s="15" t="s">
        <v>184</v>
      </c>
    </row>
    <row r="131107" spans="1:1" x14ac:dyDescent="0.3">
      <c r="A131107" s="15" t="s">
        <v>185</v>
      </c>
    </row>
    <row r="131108" spans="1:1" x14ac:dyDescent="0.3">
      <c r="A131108" s="15" t="s">
        <v>186</v>
      </c>
    </row>
    <row r="131109" spans="1:1" x14ac:dyDescent="0.3">
      <c r="A131109" s="15" t="s">
        <v>187</v>
      </c>
    </row>
    <row r="131110" spans="1:1" x14ac:dyDescent="0.3">
      <c r="A131110" s="15" t="s">
        <v>188</v>
      </c>
    </row>
    <row r="131111" spans="1:1" x14ac:dyDescent="0.3">
      <c r="A131111" s="15" t="s">
        <v>189</v>
      </c>
    </row>
    <row r="131112" spans="1:1" x14ac:dyDescent="0.3">
      <c r="A131112" s="15" t="s">
        <v>190</v>
      </c>
    </row>
    <row r="131113" spans="1:1" x14ac:dyDescent="0.3">
      <c r="A131113" s="14" t="s">
        <v>47</v>
      </c>
    </row>
    <row r="131114" spans="1:1" x14ac:dyDescent="0.3">
      <c r="A131114" s="14" t="s">
        <v>118</v>
      </c>
    </row>
    <row r="131115" spans="1:1" x14ac:dyDescent="0.3">
      <c r="A131115" s="14" t="s">
        <v>85</v>
      </c>
    </row>
    <row r="131116" spans="1:1" x14ac:dyDescent="0.3">
      <c r="A131116" s="13" t="s">
        <v>21</v>
      </c>
    </row>
    <row r="131117" spans="1:1" x14ac:dyDescent="0.3">
      <c r="A131117" s="14" t="s">
        <v>91</v>
      </c>
    </row>
    <row r="131118" spans="1:1" x14ac:dyDescent="0.3">
      <c r="A131118" s="14" t="s">
        <v>92</v>
      </c>
    </row>
    <row r="131119" spans="1:1" x14ac:dyDescent="0.3">
      <c r="A131119" s="14" t="s">
        <v>98</v>
      </c>
    </row>
    <row r="131120" spans="1:1" x14ac:dyDescent="0.3">
      <c r="A131120" s="14" t="s">
        <v>99</v>
      </c>
    </row>
    <row r="131121" spans="1:1" x14ac:dyDescent="0.3">
      <c r="A131121" s="13" t="s">
        <v>24</v>
      </c>
    </row>
    <row r="131122" spans="1:1" x14ac:dyDescent="0.3">
      <c r="A131122" s="13" t="s">
        <v>82</v>
      </c>
    </row>
    <row r="131123" spans="1:1" x14ac:dyDescent="0.3">
      <c r="A131123" s="13" t="s">
        <v>105</v>
      </c>
    </row>
    <row r="131124" spans="1:1" x14ac:dyDescent="0.3">
      <c r="A131124" s="13" t="s">
        <v>100</v>
      </c>
    </row>
    <row r="131125" spans="1:1" x14ac:dyDescent="0.3">
      <c r="A131125" s="13" t="s">
        <v>101</v>
      </c>
    </row>
    <row r="131126" spans="1:1" x14ac:dyDescent="0.3">
      <c r="A131126" s="13" t="s">
        <v>102</v>
      </c>
    </row>
    <row r="131127" spans="1:1" x14ac:dyDescent="0.3">
      <c r="A131127" s="13" t="s">
        <v>103</v>
      </c>
    </row>
    <row r="131128" spans="1:1" x14ac:dyDescent="0.3">
      <c r="A131128" s="13" t="s">
        <v>104</v>
      </c>
    </row>
    <row r="147458" spans="1:1" x14ac:dyDescent="0.3">
      <c r="A147458" s="13" t="s">
        <v>0</v>
      </c>
    </row>
    <row r="147459" spans="1:1" x14ac:dyDescent="0.3">
      <c r="A147459" s="13" t="s">
        <v>124</v>
      </c>
    </row>
    <row r="147460" spans="1:1" x14ac:dyDescent="0.3">
      <c r="A147460" s="13" t="s">
        <v>1</v>
      </c>
    </row>
    <row r="147461" spans="1:1" x14ac:dyDescent="0.3">
      <c r="A147461" s="13" t="s">
        <v>2</v>
      </c>
    </row>
    <row r="147462" spans="1:1" x14ac:dyDescent="0.3">
      <c r="A147462" s="14" t="s">
        <v>25</v>
      </c>
    </row>
    <row r="147463" spans="1:1" x14ac:dyDescent="0.3">
      <c r="A147463" s="13" t="s">
        <v>125</v>
      </c>
    </row>
    <row r="147464" spans="1:1" x14ac:dyDescent="0.3">
      <c r="A147464" s="13" t="s">
        <v>126</v>
      </c>
    </row>
    <row r="147465" spans="1:1" x14ac:dyDescent="0.3">
      <c r="A147465" s="13" t="s">
        <v>87</v>
      </c>
    </row>
    <row r="147466" spans="1:1" x14ac:dyDescent="0.3">
      <c r="A147466" s="13" t="s">
        <v>22</v>
      </c>
    </row>
    <row r="147467" spans="1:1" x14ac:dyDescent="0.3">
      <c r="A147467" s="13" t="s">
        <v>3</v>
      </c>
    </row>
    <row r="147468" spans="1:1" x14ac:dyDescent="0.3">
      <c r="A147468" s="15" t="s">
        <v>94</v>
      </c>
    </row>
    <row r="147469" spans="1:1" x14ac:dyDescent="0.3">
      <c r="A147469" s="15" t="s">
        <v>93</v>
      </c>
    </row>
    <row r="147470" spans="1:1" x14ac:dyDescent="0.3">
      <c r="A147470" s="15" t="s">
        <v>4</v>
      </c>
    </row>
    <row r="147471" spans="1:1" x14ac:dyDescent="0.3">
      <c r="A147471" s="15" t="s">
        <v>117</v>
      </c>
    </row>
    <row r="147472" spans="1:1" x14ac:dyDescent="0.3">
      <c r="A147472" s="15" t="s">
        <v>5</v>
      </c>
    </row>
    <row r="147473" spans="1:1" x14ac:dyDescent="0.3">
      <c r="A147473" s="15" t="s">
        <v>6</v>
      </c>
    </row>
    <row r="147474" spans="1:1" x14ac:dyDescent="0.3">
      <c r="A147474" s="15" t="s">
        <v>7</v>
      </c>
    </row>
    <row r="147475" spans="1:1" x14ac:dyDescent="0.3">
      <c r="A147475" s="15" t="s">
        <v>8</v>
      </c>
    </row>
    <row r="147476" spans="1:1" x14ac:dyDescent="0.3">
      <c r="A147476" s="15" t="s">
        <v>9</v>
      </c>
    </row>
    <row r="147477" spans="1:1" x14ac:dyDescent="0.3">
      <c r="A147477" s="15" t="s">
        <v>10</v>
      </c>
    </row>
    <row r="147478" spans="1:1" x14ac:dyDescent="0.3">
      <c r="A147478" s="15" t="s">
        <v>11</v>
      </c>
    </row>
    <row r="147479" spans="1:1" x14ac:dyDescent="0.3">
      <c r="A147479" s="15" t="s">
        <v>12</v>
      </c>
    </row>
    <row r="147480" spans="1:1" x14ac:dyDescent="0.3">
      <c r="A147480" s="15" t="s">
        <v>13</v>
      </c>
    </row>
    <row r="147481" spans="1:1" x14ac:dyDescent="0.3">
      <c r="A147481" s="15" t="s">
        <v>14</v>
      </c>
    </row>
    <row r="147482" spans="1:1" x14ac:dyDescent="0.3">
      <c r="A147482" s="13" t="s">
        <v>31</v>
      </c>
    </row>
    <row r="147483" spans="1:1" x14ac:dyDescent="0.3">
      <c r="A147483" s="13" t="s">
        <v>86</v>
      </c>
    </row>
    <row r="147484" spans="1:1" x14ac:dyDescent="0.3">
      <c r="A147484" s="15" t="s">
        <v>30</v>
      </c>
    </row>
    <row r="147485" spans="1:1" x14ac:dyDescent="0.3">
      <c r="A147485" s="15" t="s">
        <v>26</v>
      </c>
    </row>
    <row r="147486" spans="1:1" x14ac:dyDescent="0.3">
      <c r="A147486" s="15" t="s">
        <v>27</v>
      </c>
    </row>
    <row r="147487" spans="1:1" x14ac:dyDescent="0.3">
      <c r="A147487" s="15" t="s">
        <v>28</v>
      </c>
    </row>
    <row r="147488" spans="1:1" x14ac:dyDescent="0.3">
      <c r="A147488" s="15" t="s">
        <v>88</v>
      </c>
    </row>
    <row r="147489" spans="1:1" x14ac:dyDescent="0.3">
      <c r="A147489" s="15" t="s">
        <v>89</v>
      </c>
    </row>
    <row r="147490" spans="1:1" x14ac:dyDescent="0.3">
      <c r="A147490" s="15" t="s">
        <v>184</v>
      </c>
    </row>
    <row r="147491" spans="1:1" x14ac:dyDescent="0.3">
      <c r="A147491" s="15" t="s">
        <v>185</v>
      </c>
    </row>
    <row r="147492" spans="1:1" x14ac:dyDescent="0.3">
      <c r="A147492" s="15" t="s">
        <v>186</v>
      </c>
    </row>
    <row r="147493" spans="1:1" x14ac:dyDescent="0.3">
      <c r="A147493" s="15" t="s">
        <v>187</v>
      </c>
    </row>
    <row r="147494" spans="1:1" x14ac:dyDescent="0.3">
      <c r="A147494" s="15" t="s">
        <v>188</v>
      </c>
    </row>
    <row r="147495" spans="1:1" x14ac:dyDescent="0.3">
      <c r="A147495" s="15" t="s">
        <v>189</v>
      </c>
    </row>
    <row r="147496" spans="1:1" x14ac:dyDescent="0.3">
      <c r="A147496" s="15" t="s">
        <v>190</v>
      </c>
    </row>
    <row r="147497" spans="1:1" x14ac:dyDescent="0.3">
      <c r="A147497" s="14" t="s">
        <v>47</v>
      </c>
    </row>
    <row r="147498" spans="1:1" x14ac:dyDescent="0.3">
      <c r="A147498" s="14" t="s">
        <v>118</v>
      </c>
    </row>
    <row r="147499" spans="1:1" x14ac:dyDescent="0.3">
      <c r="A147499" s="14" t="s">
        <v>85</v>
      </c>
    </row>
    <row r="147500" spans="1:1" x14ac:dyDescent="0.3">
      <c r="A147500" s="13" t="s">
        <v>21</v>
      </c>
    </row>
    <row r="147501" spans="1:1" x14ac:dyDescent="0.3">
      <c r="A147501" s="14" t="s">
        <v>91</v>
      </c>
    </row>
    <row r="147502" spans="1:1" x14ac:dyDescent="0.3">
      <c r="A147502" s="14" t="s">
        <v>92</v>
      </c>
    </row>
    <row r="147503" spans="1:1" x14ac:dyDescent="0.3">
      <c r="A147503" s="14" t="s">
        <v>98</v>
      </c>
    </row>
    <row r="147504" spans="1:1" x14ac:dyDescent="0.3">
      <c r="A147504" s="14" t="s">
        <v>99</v>
      </c>
    </row>
    <row r="147505" spans="1:1" x14ac:dyDescent="0.3">
      <c r="A147505" s="13" t="s">
        <v>24</v>
      </c>
    </row>
    <row r="147506" spans="1:1" x14ac:dyDescent="0.3">
      <c r="A147506" s="13" t="s">
        <v>82</v>
      </c>
    </row>
    <row r="147507" spans="1:1" x14ac:dyDescent="0.3">
      <c r="A147507" s="13" t="s">
        <v>105</v>
      </c>
    </row>
    <row r="147508" spans="1:1" x14ac:dyDescent="0.3">
      <c r="A147508" s="13" t="s">
        <v>100</v>
      </c>
    </row>
    <row r="147509" spans="1:1" x14ac:dyDescent="0.3">
      <c r="A147509" s="13" t="s">
        <v>101</v>
      </c>
    </row>
    <row r="147510" spans="1:1" x14ac:dyDescent="0.3">
      <c r="A147510" s="13" t="s">
        <v>102</v>
      </c>
    </row>
    <row r="147511" spans="1:1" x14ac:dyDescent="0.3">
      <c r="A147511" s="13" t="s">
        <v>103</v>
      </c>
    </row>
    <row r="147512" spans="1:1" x14ac:dyDescent="0.3">
      <c r="A147512" s="13" t="s">
        <v>104</v>
      </c>
    </row>
    <row r="163842" spans="1:1" x14ac:dyDescent="0.3">
      <c r="A163842" s="13" t="s">
        <v>0</v>
      </c>
    </row>
    <row r="163843" spans="1:1" x14ac:dyDescent="0.3">
      <c r="A163843" s="13" t="s">
        <v>124</v>
      </c>
    </row>
    <row r="163844" spans="1:1" x14ac:dyDescent="0.3">
      <c r="A163844" s="13" t="s">
        <v>1</v>
      </c>
    </row>
    <row r="163845" spans="1:1" x14ac:dyDescent="0.3">
      <c r="A163845" s="13" t="s">
        <v>2</v>
      </c>
    </row>
    <row r="163846" spans="1:1" x14ac:dyDescent="0.3">
      <c r="A163846" s="14" t="s">
        <v>25</v>
      </c>
    </row>
    <row r="163847" spans="1:1" x14ac:dyDescent="0.3">
      <c r="A163847" s="13" t="s">
        <v>125</v>
      </c>
    </row>
    <row r="163848" spans="1:1" x14ac:dyDescent="0.3">
      <c r="A163848" s="13" t="s">
        <v>126</v>
      </c>
    </row>
    <row r="163849" spans="1:1" x14ac:dyDescent="0.3">
      <c r="A163849" s="13" t="s">
        <v>87</v>
      </c>
    </row>
    <row r="163850" spans="1:1" x14ac:dyDescent="0.3">
      <c r="A163850" s="13" t="s">
        <v>22</v>
      </c>
    </row>
    <row r="163851" spans="1:1" x14ac:dyDescent="0.3">
      <c r="A163851" s="13" t="s">
        <v>3</v>
      </c>
    </row>
    <row r="163852" spans="1:1" x14ac:dyDescent="0.3">
      <c r="A163852" s="15" t="s">
        <v>94</v>
      </c>
    </row>
    <row r="163853" spans="1:1" x14ac:dyDescent="0.3">
      <c r="A163853" s="15" t="s">
        <v>93</v>
      </c>
    </row>
    <row r="163854" spans="1:1" x14ac:dyDescent="0.3">
      <c r="A163854" s="15" t="s">
        <v>4</v>
      </c>
    </row>
    <row r="163855" spans="1:1" x14ac:dyDescent="0.3">
      <c r="A163855" s="15" t="s">
        <v>117</v>
      </c>
    </row>
    <row r="163856" spans="1:1" x14ac:dyDescent="0.3">
      <c r="A163856" s="15" t="s">
        <v>5</v>
      </c>
    </row>
    <row r="163857" spans="1:1" x14ac:dyDescent="0.3">
      <c r="A163857" s="15" t="s">
        <v>6</v>
      </c>
    </row>
    <row r="163858" spans="1:1" x14ac:dyDescent="0.3">
      <c r="A163858" s="15" t="s">
        <v>7</v>
      </c>
    </row>
    <row r="163859" spans="1:1" x14ac:dyDescent="0.3">
      <c r="A163859" s="15" t="s">
        <v>8</v>
      </c>
    </row>
    <row r="163860" spans="1:1" x14ac:dyDescent="0.3">
      <c r="A163860" s="15" t="s">
        <v>9</v>
      </c>
    </row>
    <row r="163861" spans="1:1" x14ac:dyDescent="0.3">
      <c r="A163861" s="15" t="s">
        <v>10</v>
      </c>
    </row>
    <row r="163862" spans="1:1" x14ac:dyDescent="0.3">
      <c r="A163862" s="15" t="s">
        <v>11</v>
      </c>
    </row>
    <row r="163863" spans="1:1" x14ac:dyDescent="0.3">
      <c r="A163863" s="15" t="s">
        <v>12</v>
      </c>
    </row>
    <row r="163864" spans="1:1" x14ac:dyDescent="0.3">
      <c r="A163864" s="15" t="s">
        <v>13</v>
      </c>
    </row>
    <row r="163865" spans="1:1" x14ac:dyDescent="0.3">
      <c r="A163865" s="15" t="s">
        <v>14</v>
      </c>
    </row>
    <row r="163866" spans="1:1" x14ac:dyDescent="0.3">
      <c r="A163866" s="13" t="s">
        <v>31</v>
      </c>
    </row>
    <row r="163867" spans="1:1" x14ac:dyDescent="0.3">
      <c r="A163867" s="13" t="s">
        <v>86</v>
      </c>
    </row>
    <row r="163868" spans="1:1" x14ac:dyDescent="0.3">
      <c r="A163868" s="15" t="s">
        <v>30</v>
      </c>
    </row>
    <row r="163869" spans="1:1" x14ac:dyDescent="0.3">
      <c r="A163869" s="15" t="s">
        <v>26</v>
      </c>
    </row>
    <row r="163870" spans="1:1" x14ac:dyDescent="0.3">
      <c r="A163870" s="15" t="s">
        <v>27</v>
      </c>
    </row>
    <row r="163871" spans="1:1" x14ac:dyDescent="0.3">
      <c r="A163871" s="15" t="s">
        <v>28</v>
      </c>
    </row>
    <row r="163872" spans="1:1" x14ac:dyDescent="0.3">
      <c r="A163872" s="15" t="s">
        <v>88</v>
      </c>
    </row>
    <row r="163873" spans="1:1" x14ac:dyDescent="0.3">
      <c r="A163873" s="15" t="s">
        <v>89</v>
      </c>
    </row>
    <row r="163874" spans="1:1" x14ac:dyDescent="0.3">
      <c r="A163874" s="15" t="s">
        <v>184</v>
      </c>
    </row>
    <row r="163875" spans="1:1" x14ac:dyDescent="0.3">
      <c r="A163875" s="15" t="s">
        <v>185</v>
      </c>
    </row>
    <row r="163876" spans="1:1" x14ac:dyDescent="0.3">
      <c r="A163876" s="15" t="s">
        <v>186</v>
      </c>
    </row>
    <row r="163877" spans="1:1" x14ac:dyDescent="0.3">
      <c r="A163877" s="15" t="s">
        <v>187</v>
      </c>
    </row>
    <row r="163878" spans="1:1" x14ac:dyDescent="0.3">
      <c r="A163878" s="15" t="s">
        <v>188</v>
      </c>
    </row>
    <row r="163879" spans="1:1" x14ac:dyDescent="0.3">
      <c r="A163879" s="15" t="s">
        <v>189</v>
      </c>
    </row>
    <row r="163880" spans="1:1" x14ac:dyDescent="0.3">
      <c r="A163880" s="15" t="s">
        <v>190</v>
      </c>
    </row>
    <row r="163881" spans="1:1" x14ac:dyDescent="0.3">
      <c r="A163881" s="14" t="s">
        <v>47</v>
      </c>
    </row>
    <row r="163882" spans="1:1" x14ac:dyDescent="0.3">
      <c r="A163882" s="14" t="s">
        <v>118</v>
      </c>
    </row>
    <row r="163883" spans="1:1" x14ac:dyDescent="0.3">
      <c r="A163883" s="14" t="s">
        <v>85</v>
      </c>
    </row>
    <row r="163884" spans="1:1" x14ac:dyDescent="0.3">
      <c r="A163884" s="13" t="s">
        <v>21</v>
      </c>
    </row>
    <row r="163885" spans="1:1" x14ac:dyDescent="0.3">
      <c r="A163885" s="14" t="s">
        <v>91</v>
      </c>
    </row>
    <row r="163886" spans="1:1" x14ac:dyDescent="0.3">
      <c r="A163886" s="14" t="s">
        <v>92</v>
      </c>
    </row>
    <row r="163887" spans="1:1" x14ac:dyDescent="0.3">
      <c r="A163887" s="14" t="s">
        <v>98</v>
      </c>
    </row>
    <row r="163888" spans="1:1" x14ac:dyDescent="0.3">
      <c r="A163888" s="14" t="s">
        <v>99</v>
      </c>
    </row>
    <row r="163889" spans="1:1" x14ac:dyDescent="0.3">
      <c r="A163889" s="13" t="s">
        <v>24</v>
      </c>
    </row>
    <row r="163890" spans="1:1" x14ac:dyDescent="0.3">
      <c r="A163890" s="13" t="s">
        <v>82</v>
      </c>
    </row>
    <row r="163891" spans="1:1" x14ac:dyDescent="0.3">
      <c r="A163891" s="13" t="s">
        <v>105</v>
      </c>
    </row>
    <row r="163892" spans="1:1" x14ac:dyDescent="0.3">
      <c r="A163892" s="13" t="s">
        <v>100</v>
      </c>
    </row>
    <row r="163893" spans="1:1" x14ac:dyDescent="0.3">
      <c r="A163893" s="13" t="s">
        <v>101</v>
      </c>
    </row>
    <row r="163894" spans="1:1" x14ac:dyDescent="0.3">
      <c r="A163894" s="13" t="s">
        <v>102</v>
      </c>
    </row>
    <row r="163895" spans="1:1" x14ac:dyDescent="0.3">
      <c r="A163895" s="13" t="s">
        <v>103</v>
      </c>
    </row>
    <row r="163896" spans="1:1" x14ac:dyDescent="0.3">
      <c r="A163896" s="13" t="s">
        <v>104</v>
      </c>
    </row>
    <row r="180226" spans="1:1" x14ac:dyDescent="0.3">
      <c r="A180226" s="13" t="s">
        <v>0</v>
      </c>
    </row>
    <row r="180227" spans="1:1" x14ac:dyDescent="0.3">
      <c r="A180227" s="13" t="s">
        <v>124</v>
      </c>
    </row>
    <row r="180228" spans="1:1" x14ac:dyDescent="0.3">
      <c r="A180228" s="13" t="s">
        <v>1</v>
      </c>
    </row>
    <row r="180229" spans="1:1" x14ac:dyDescent="0.3">
      <c r="A180229" s="13" t="s">
        <v>2</v>
      </c>
    </row>
    <row r="180230" spans="1:1" x14ac:dyDescent="0.3">
      <c r="A180230" s="14" t="s">
        <v>25</v>
      </c>
    </row>
    <row r="180231" spans="1:1" x14ac:dyDescent="0.3">
      <c r="A180231" s="13" t="s">
        <v>125</v>
      </c>
    </row>
    <row r="180232" spans="1:1" x14ac:dyDescent="0.3">
      <c r="A180232" s="13" t="s">
        <v>126</v>
      </c>
    </row>
    <row r="180233" spans="1:1" x14ac:dyDescent="0.3">
      <c r="A180233" s="13" t="s">
        <v>87</v>
      </c>
    </row>
    <row r="180234" spans="1:1" x14ac:dyDescent="0.3">
      <c r="A180234" s="13" t="s">
        <v>22</v>
      </c>
    </row>
    <row r="180235" spans="1:1" x14ac:dyDescent="0.3">
      <c r="A180235" s="13" t="s">
        <v>3</v>
      </c>
    </row>
    <row r="180236" spans="1:1" x14ac:dyDescent="0.3">
      <c r="A180236" s="15" t="s">
        <v>94</v>
      </c>
    </row>
    <row r="180237" spans="1:1" x14ac:dyDescent="0.3">
      <c r="A180237" s="15" t="s">
        <v>93</v>
      </c>
    </row>
    <row r="180238" spans="1:1" x14ac:dyDescent="0.3">
      <c r="A180238" s="15" t="s">
        <v>4</v>
      </c>
    </row>
    <row r="180239" spans="1:1" x14ac:dyDescent="0.3">
      <c r="A180239" s="15" t="s">
        <v>117</v>
      </c>
    </row>
    <row r="180240" spans="1:1" x14ac:dyDescent="0.3">
      <c r="A180240" s="15" t="s">
        <v>5</v>
      </c>
    </row>
    <row r="180241" spans="1:1" x14ac:dyDescent="0.3">
      <c r="A180241" s="15" t="s">
        <v>6</v>
      </c>
    </row>
    <row r="180242" spans="1:1" x14ac:dyDescent="0.3">
      <c r="A180242" s="15" t="s">
        <v>7</v>
      </c>
    </row>
    <row r="180243" spans="1:1" x14ac:dyDescent="0.3">
      <c r="A180243" s="15" t="s">
        <v>8</v>
      </c>
    </row>
    <row r="180244" spans="1:1" x14ac:dyDescent="0.3">
      <c r="A180244" s="15" t="s">
        <v>9</v>
      </c>
    </row>
    <row r="180245" spans="1:1" x14ac:dyDescent="0.3">
      <c r="A180245" s="15" t="s">
        <v>10</v>
      </c>
    </row>
    <row r="180246" spans="1:1" x14ac:dyDescent="0.3">
      <c r="A180246" s="15" t="s">
        <v>11</v>
      </c>
    </row>
    <row r="180247" spans="1:1" x14ac:dyDescent="0.3">
      <c r="A180247" s="15" t="s">
        <v>12</v>
      </c>
    </row>
    <row r="180248" spans="1:1" x14ac:dyDescent="0.3">
      <c r="A180248" s="15" t="s">
        <v>13</v>
      </c>
    </row>
    <row r="180249" spans="1:1" x14ac:dyDescent="0.3">
      <c r="A180249" s="15" t="s">
        <v>14</v>
      </c>
    </row>
    <row r="180250" spans="1:1" x14ac:dyDescent="0.3">
      <c r="A180250" s="13" t="s">
        <v>31</v>
      </c>
    </row>
    <row r="180251" spans="1:1" x14ac:dyDescent="0.3">
      <c r="A180251" s="13" t="s">
        <v>86</v>
      </c>
    </row>
    <row r="180252" spans="1:1" x14ac:dyDescent="0.3">
      <c r="A180252" s="15" t="s">
        <v>30</v>
      </c>
    </row>
    <row r="180253" spans="1:1" x14ac:dyDescent="0.3">
      <c r="A180253" s="15" t="s">
        <v>26</v>
      </c>
    </row>
    <row r="180254" spans="1:1" x14ac:dyDescent="0.3">
      <c r="A180254" s="15" t="s">
        <v>27</v>
      </c>
    </row>
    <row r="180255" spans="1:1" x14ac:dyDescent="0.3">
      <c r="A180255" s="15" t="s">
        <v>28</v>
      </c>
    </row>
    <row r="180256" spans="1:1" x14ac:dyDescent="0.3">
      <c r="A180256" s="15" t="s">
        <v>88</v>
      </c>
    </row>
    <row r="180257" spans="1:1" x14ac:dyDescent="0.3">
      <c r="A180257" s="15" t="s">
        <v>89</v>
      </c>
    </row>
    <row r="180258" spans="1:1" x14ac:dyDescent="0.3">
      <c r="A180258" s="15" t="s">
        <v>184</v>
      </c>
    </row>
    <row r="180259" spans="1:1" x14ac:dyDescent="0.3">
      <c r="A180259" s="15" t="s">
        <v>185</v>
      </c>
    </row>
    <row r="180260" spans="1:1" x14ac:dyDescent="0.3">
      <c r="A180260" s="15" t="s">
        <v>186</v>
      </c>
    </row>
    <row r="180261" spans="1:1" x14ac:dyDescent="0.3">
      <c r="A180261" s="15" t="s">
        <v>187</v>
      </c>
    </row>
    <row r="180262" spans="1:1" x14ac:dyDescent="0.3">
      <c r="A180262" s="15" t="s">
        <v>188</v>
      </c>
    </row>
    <row r="180263" spans="1:1" x14ac:dyDescent="0.3">
      <c r="A180263" s="15" t="s">
        <v>189</v>
      </c>
    </row>
    <row r="180264" spans="1:1" x14ac:dyDescent="0.3">
      <c r="A180264" s="15" t="s">
        <v>190</v>
      </c>
    </row>
    <row r="180265" spans="1:1" x14ac:dyDescent="0.3">
      <c r="A180265" s="14" t="s">
        <v>47</v>
      </c>
    </row>
    <row r="180266" spans="1:1" x14ac:dyDescent="0.3">
      <c r="A180266" s="14" t="s">
        <v>118</v>
      </c>
    </row>
    <row r="180267" spans="1:1" x14ac:dyDescent="0.3">
      <c r="A180267" s="14" t="s">
        <v>85</v>
      </c>
    </row>
    <row r="180268" spans="1:1" x14ac:dyDescent="0.3">
      <c r="A180268" s="13" t="s">
        <v>21</v>
      </c>
    </row>
    <row r="180269" spans="1:1" x14ac:dyDescent="0.3">
      <c r="A180269" s="14" t="s">
        <v>91</v>
      </c>
    </row>
    <row r="180270" spans="1:1" x14ac:dyDescent="0.3">
      <c r="A180270" s="14" t="s">
        <v>92</v>
      </c>
    </row>
    <row r="180271" spans="1:1" x14ac:dyDescent="0.3">
      <c r="A180271" s="14" t="s">
        <v>98</v>
      </c>
    </row>
    <row r="180272" spans="1:1" x14ac:dyDescent="0.3">
      <c r="A180272" s="14" t="s">
        <v>99</v>
      </c>
    </row>
    <row r="180273" spans="1:1" x14ac:dyDescent="0.3">
      <c r="A180273" s="13" t="s">
        <v>24</v>
      </c>
    </row>
    <row r="180274" spans="1:1" x14ac:dyDescent="0.3">
      <c r="A180274" s="13" t="s">
        <v>82</v>
      </c>
    </row>
    <row r="180275" spans="1:1" x14ac:dyDescent="0.3">
      <c r="A180275" s="13" t="s">
        <v>105</v>
      </c>
    </row>
    <row r="180276" spans="1:1" x14ac:dyDescent="0.3">
      <c r="A180276" s="13" t="s">
        <v>100</v>
      </c>
    </row>
    <row r="180277" spans="1:1" x14ac:dyDescent="0.3">
      <c r="A180277" s="13" t="s">
        <v>101</v>
      </c>
    </row>
    <row r="180278" spans="1:1" x14ac:dyDescent="0.3">
      <c r="A180278" s="13" t="s">
        <v>102</v>
      </c>
    </row>
    <row r="180279" spans="1:1" x14ac:dyDescent="0.3">
      <c r="A180279" s="13" t="s">
        <v>103</v>
      </c>
    </row>
    <row r="180280" spans="1:1" x14ac:dyDescent="0.3">
      <c r="A180280" s="13" t="s">
        <v>104</v>
      </c>
    </row>
    <row r="196610" spans="1:1" x14ac:dyDescent="0.3">
      <c r="A196610" s="13" t="s">
        <v>0</v>
      </c>
    </row>
    <row r="196611" spans="1:1" x14ac:dyDescent="0.3">
      <c r="A196611" s="13" t="s">
        <v>124</v>
      </c>
    </row>
    <row r="196612" spans="1:1" x14ac:dyDescent="0.3">
      <c r="A196612" s="13" t="s">
        <v>1</v>
      </c>
    </row>
    <row r="196613" spans="1:1" x14ac:dyDescent="0.3">
      <c r="A196613" s="13" t="s">
        <v>2</v>
      </c>
    </row>
    <row r="196614" spans="1:1" x14ac:dyDescent="0.3">
      <c r="A196614" s="14" t="s">
        <v>25</v>
      </c>
    </row>
    <row r="196615" spans="1:1" x14ac:dyDescent="0.3">
      <c r="A196615" s="13" t="s">
        <v>125</v>
      </c>
    </row>
    <row r="196616" spans="1:1" x14ac:dyDescent="0.3">
      <c r="A196616" s="13" t="s">
        <v>126</v>
      </c>
    </row>
    <row r="196617" spans="1:1" x14ac:dyDescent="0.3">
      <c r="A196617" s="13" t="s">
        <v>87</v>
      </c>
    </row>
    <row r="196618" spans="1:1" x14ac:dyDescent="0.3">
      <c r="A196618" s="13" t="s">
        <v>22</v>
      </c>
    </row>
    <row r="196619" spans="1:1" x14ac:dyDescent="0.3">
      <c r="A196619" s="13" t="s">
        <v>3</v>
      </c>
    </row>
    <row r="196620" spans="1:1" x14ac:dyDescent="0.3">
      <c r="A196620" s="15" t="s">
        <v>94</v>
      </c>
    </row>
    <row r="196621" spans="1:1" x14ac:dyDescent="0.3">
      <c r="A196621" s="15" t="s">
        <v>93</v>
      </c>
    </row>
    <row r="196622" spans="1:1" x14ac:dyDescent="0.3">
      <c r="A196622" s="15" t="s">
        <v>4</v>
      </c>
    </row>
    <row r="196623" spans="1:1" x14ac:dyDescent="0.3">
      <c r="A196623" s="15" t="s">
        <v>117</v>
      </c>
    </row>
    <row r="196624" spans="1:1" x14ac:dyDescent="0.3">
      <c r="A196624" s="15" t="s">
        <v>5</v>
      </c>
    </row>
    <row r="196625" spans="1:1" x14ac:dyDescent="0.3">
      <c r="A196625" s="15" t="s">
        <v>6</v>
      </c>
    </row>
    <row r="196626" spans="1:1" x14ac:dyDescent="0.3">
      <c r="A196626" s="15" t="s">
        <v>7</v>
      </c>
    </row>
    <row r="196627" spans="1:1" x14ac:dyDescent="0.3">
      <c r="A196627" s="15" t="s">
        <v>8</v>
      </c>
    </row>
    <row r="196628" spans="1:1" x14ac:dyDescent="0.3">
      <c r="A196628" s="15" t="s">
        <v>9</v>
      </c>
    </row>
    <row r="196629" spans="1:1" x14ac:dyDescent="0.3">
      <c r="A196629" s="15" t="s">
        <v>10</v>
      </c>
    </row>
    <row r="196630" spans="1:1" x14ac:dyDescent="0.3">
      <c r="A196630" s="15" t="s">
        <v>11</v>
      </c>
    </row>
    <row r="196631" spans="1:1" x14ac:dyDescent="0.3">
      <c r="A196631" s="15" t="s">
        <v>12</v>
      </c>
    </row>
    <row r="196632" spans="1:1" x14ac:dyDescent="0.3">
      <c r="A196632" s="15" t="s">
        <v>13</v>
      </c>
    </row>
    <row r="196633" spans="1:1" x14ac:dyDescent="0.3">
      <c r="A196633" s="15" t="s">
        <v>14</v>
      </c>
    </row>
    <row r="196634" spans="1:1" x14ac:dyDescent="0.3">
      <c r="A196634" s="13" t="s">
        <v>31</v>
      </c>
    </row>
    <row r="196635" spans="1:1" x14ac:dyDescent="0.3">
      <c r="A196635" s="13" t="s">
        <v>86</v>
      </c>
    </row>
    <row r="196636" spans="1:1" x14ac:dyDescent="0.3">
      <c r="A196636" s="15" t="s">
        <v>30</v>
      </c>
    </row>
    <row r="196637" spans="1:1" x14ac:dyDescent="0.3">
      <c r="A196637" s="15" t="s">
        <v>26</v>
      </c>
    </row>
    <row r="196638" spans="1:1" x14ac:dyDescent="0.3">
      <c r="A196638" s="15" t="s">
        <v>27</v>
      </c>
    </row>
    <row r="196639" spans="1:1" x14ac:dyDescent="0.3">
      <c r="A196639" s="15" t="s">
        <v>28</v>
      </c>
    </row>
    <row r="196640" spans="1:1" x14ac:dyDescent="0.3">
      <c r="A196640" s="15" t="s">
        <v>88</v>
      </c>
    </row>
    <row r="196641" spans="1:1" x14ac:dyDescent="0.3">
      <c r="A196641" s="15" t="s">
        <v>89</v>
      </c>
    </row>
    <row r="196642" spans="1:1" x14ac:dyDescent="0.3">
      <c r="A196642" s="15" t="s">
        <v>184</v>
      </c>
    </row>
    <row r="196643" spans="1:1" x14ac:dyDescent="0.3">
      <c r="A196643" s="15" t="s">
        <v>185</v>
      </c>
    </row>
    <row r="196644" spans="1:1" x14ac:dyDescent="0.3">
      <c r="A196644" s="15" t="s">
        <v>186</v>
      </c>
    </row>
    <row r="196645" spans="1:1" x14ac:dyDescent="0.3">
      <c r="A196645" s="15" t="s">
        <v>187</v>
      </c>
    </row>
    <row r="196646" spans="1:1" x14ac:dyDescent="0.3">
      <c r="A196646" s="15" t="s">
        <v>188</v>
      </c>
    </row>
    <row r="196647" spans="1:1" x14ac:dyDescent="0.3">
      <c r="A196647" s="15" t="s">
        <v>189</v>
      </c>
    </row>
    <row r="196648" spans="1:1" x14ac:dyDescent="0.3">
      <c r="A196648" s="15" t="s">
        <v>190</v>
      </c>
    </row>
    <row r="196649" spans="1:1" x14ac:dyDescent="0.3">
      <c r="A196649" s="14" t="s">
        <v>47</v>
      </c>
    </row>
    <row r="196650" spans="1:1" x14ac:dyDescent="0.3">
      <c r="A196650" s="14" t="s">
        <v>118</v>
      </c>
    </row>
    <row r="196651" spans="1:1" x14ac:dyDescent="0.3">
      <c r="A196651" s="14" t="s">
        <v>85</v>
      </c>
    </row>
    <row r="196652" spans="1:1" x14ac:dyDescent="0.3">
      <c r="A196652" s="13" t="s">
        <v>21</v>
      </c>
    </row>
    <row r="196653" spans="1:1" x14ac:dyDescent="0.3">
      <c r="A196653" s="14" t="s">
        <v>91</v>
      </c>
    </row>
    <row r="196654" spans="1:1" x14ac:dyDescent="0.3">
      <c r="A196654" s="14" t="s">
        <v>92</v>
      </c>
    </row>
    <row r="196655" spans="1:1" x14ac:dyDescent="0.3">
      <c r="A196655" s="14" t="s">
        <v>98</v>
      </c>
    </row>
    <row r="196656" spans="1:1" x14ac:dyDescent="0.3">
      <c r="A196656" s="14" t="s">
        <v>99</v>
      </c>
    </row>
    <row r="196657" spans="1:1" x14ac:dyDescent="0.3">
      <c r="A196657" s="13" t="s">
        <v>24</v>
      </c>
    </row>
    <row r="196658" spans="1:1" x14ac:dyDescent="0.3">
      <c r="A196658" s="13" t="s">
        <v>82</v>
      </c>
    </row>
    <row r="196659" spans="1:1" x14ac:dyDescent="0.3">
      <c r="A196659" s="13" t="s">
        <v>105</v>
      </c>
    </row>
    <row r="196660" spans="1:1" x14ac:dyDescent="0.3">
      <c r="A196660" s="13" t="s">
        <v>100</v>
      </c>
    </row>
    <row r="196661" spans="1:1" x14ac:dyDescent="0.3">
      <c r="A196661" s="13" t="s">
        <v>101</v>
      </c>
    </row>
    <row r="196662" spans="1:1" x14ac:dyDescent="0.3">
      <c r="A196662" s="13" t="s">
        <v>102</v>
      </c>
    </row>
    <row r="196663" spans="1:1" x14ac:dyDescent="0.3">
      <c r="A196663" s="13" t="s">
        <v>103</v>
      </c>
    </row>
    <row r="196664" spans="1:1" x14ac:dyDescent="0.3">
      <c r="A196664" s="13" t="s">
        <v>104</v>
      </c>
    </row>
    <row r="212994" spans="1:1" x14ac:dyDescent="0.3">
      <c r="A212994" s="13" t="s">
        <v>0</v>
      </c>
    </row>
    <row r="212995" spans="1:1" x14ac:dyDescent="0.3">
      <c r="A212995" s="13" t="s">
        <v>124</v>
      </c>
    </row>
    <row r="212996" spans="1:1" x14ac:dyDescent="0.3">
      <c r="A212996" s="13" t="s">
        <v>1</v>
      </c>
    </row>
    <row r="212997" spans="1:1" x14ac:dyDescent="0.3">
      <c r="A212997" s="13" t="s">
        <v>2</v>
      </c>
    </row>
    <row r="212998" spans="1:1" x14ac:dyDescent="0.3">
      <c r="A212998" s="14" t="s">
        <v>25</v>
      </c>
    </row>
    <row r="212999" spans="1:1" x14ac:dyDescent="0.3">
      <c r="A212999" s="13" t="s">
        <v>125</v>
      </c>
    </row>
    <row r="213000" spans="1:1" x14ac:dyDescent="0.3">
      <c r="A213000" s="13" t="s">
        <v>126</v>
      </c>
    </row>
    <row r="213001" spans="1:1" x14ac:dyDescent="0.3">
      <c r="A213001" s="13" t="s">
        <v>87</v>
      </c>
    </row>
    <row r="213002" spans="1:1" x14ac:dyDescent="0.3">
      <c r="A213002" s="13" t="s">
        <v>22</v>
      </c>
    </row>
    <row r="213003" spans="1:1" x14ac:dyDescent="0.3">
      <c r="A213003" s="13" t="s">
        <v>3</v>
      </c>
    </row>
    <row r="213004" spans="1:1" x14ac:dyDescent="0.3">
      <c r="A213004" s="15" t="s">
        <v>94</v>
      </c>
    </row>
    <row r="213005" spans="1:1" x14ac:dyDescent="0.3">
      <c r="A213005" s="15" t="s">
        <v>93</v>
      </c>
    </row>
    <row r="213006" spans="1:1" x14ac:dyDescent="0.3">
      <c r="A213006" s="15" t="s">
        <v>4</v>
      </c>
    </row>
    <row r="213007" spans="1:1" x14ac:dyDescent="0.3">
      <c r="A213007" s="15" t="s">
        <v>117</v>
      </c>
    </row>
    <row r="213008" spans="1:1" x14ac:dyDescent="0.3">
      <c r="A213008" s="15" t="s">
        <v>5</v>
      </c>
    </row>
    <row r="213009" spans="1:1" x14ac:dyDescent="0.3">
      <c r="A213009" s="15" t="s">
        <v>6</v>
      </c>
    </row>
    <row r="213010" spans="1:1" x14ac:dyDescent="0.3">
      <c r="A213010" s="15" t="s">
        <v>7</v>
      </c>
    </row>
    <row r="213011" spans="1:1" x14ac:dyDescent="0.3">
      <c r="A213011" s="15" t="s">
        <v>8</v>
      </c>
    </row>
    <row r="213012" spans="1:1" x14ac:dyDescent="0.3">
      <c r="A213012" s="15" t="s">
        <v>9</v>
      </c>
    </row>
    <row r="213013" spans="1:1" x14ac:dyDescent="0.3">
      <c r="A213013" s="15" t="s">
        <v>10</v>
      </c>
    </row>
    <row r="213014" spans="1:1" x14ac:dyDescent="0.3">
      <c r="A213014" s="15" t="s">
        <v>11</v>
      </c>
    </row>
    <row r="213015" spans="1:1" x14ac:dyDescent="0.3">
      <c r="A213015" s="15" t="s">
        <v>12</v>
      </c>
    </row>
    <row r="213016" spans="1:1" x14ac:dyDescent="0.3">
      <c r="A213016" s="15" t="s">
        <v>13</v>
      </c>
    </row>
    <row r="213017" spans="1:1" x14ac:dyDescent="0.3">
      <c r="A213017" s="15" t="s">
        <v>14</v>
      </c>
    </row>
    <row r="213018" spans="1:1" x14ac:dyDescent="0.3">
      <c r="A213018" s="13" t="s">
        <v>31</v>
      </c>
    </row>
    <row r="213019" spans="1:1" x14ac:dyDescent="0.3">
      <c r="A213019" s="13" t="s">
        <v>86</v>
      </c>
    </row>
    <row r="213020" spans="1:1" x14ac:dyDescent="0.3">
      <c r="A213020" s="15" t="s">
        <v>30</v>
      </c>
    </row>
    <row r="213021" spans="1:1" x14ac:dyDescent="0.3">
      <c r="A213021" s="15" t="s">
        <v>26</v>
      </c>
    </row>
    <row r="213022" spans="1:1" x14ac:dyDescent="0.3">
      <c r="A213022" s="15" t="s">
        <v>27</v>
      </c>
    </row>
    <row r="213023" spans="1:1" x14ac:dyDescent="0.3">
      <c r="A213023" s="15" t="s">
        <v>28</v>
      </c>
    </row>
    <row r="213024" spans="1:1" x14ac:dyDescent="0.3">
      <c r="A213024" s="15" t="s">
        <v>88</v>
      </c>
    </row>
    <row r="213025" spans="1:1" x14ac:dyDescent="0.3">
      <c r="A213025" s="15" t="s">
        <v>89</v>
      </c>
    </row>
    <row r="213026" spans="1:1" x14ac:dyDescent="0.3">
      <c r="A213026" s="15" t="s">
        <v>184</v>
      </c>
    </row>
    <row r="213027" spans="1:1" x14ac:dyDescent="0.3">
      <c r="A213027" s="15" t="s">
        <v>185</v>
      </c>
    </row>
    <row r="213028" spans="1:1" x14ac:dyDescent="0.3">
      <c r="A213028" s="15" t="s">
        <v>186</v>
      </c>
    </row>
    <row r="213029" spans="1:1" x14ac:dyDescent="0.3">
      <c r="A213029" s="15" t="s">
        <v>187</v>
      </c>
    </row>
    <row r="213030" spans="1:1" x14ac:dyDescent="0.3">
      <c r="A213030" s="15" t="s">
        <v>188</v>
      </c>
    </row>
    <row r="213031" spans="1:1" x14ac:dyDescent="0.3">
      <c r="A213031" s="15" t="s">
        <v>189</v>
      </c>
    </row>
    <row r="213032" spans="1:1" x14ac:dyDescent="0.3">
      <c r="A213032" s="15" t="s">
        <v>190</v>
      </c>
    </row>
    <row r="213033" spans="1:1" x14ac:dyDescent="0.3">
      <c r="A213033" s="14" t="s">
        <v>47</v>
      </c>
    </row>
    <row r="213034" spans="1:1" x14ac:dyDescent="0.3">
      <c r="A213034" s="14" t="s">
        <v>118</v>
      </c>
    </row>
    <row r="213035" spans="1:1" x14ac:dyDescent="0.3">
      <c r="A213035" s="14" t="s">
        <v>85</v>
      </c>
    </row>
    <row r="213036" spans="1:1" x14ac:dyDescent="0.3">
      <c r="A213036" s="13" t="s">
        <v>21</v>
      </c>
    </row>
    <row r="213037" spans="1:1" x14ac:dyDescent="0.3">
      <c r="A213037" s="14" t="s">
        <v>91</v>
      </c>
    </row>
    <row r="213038" spans="1:1" x14ac:dyDescent="0.3">
      <c r="A213038" s="14" t="s">
        <v>92</v>
      </c>
    </row>
    <row r="213039" spans="1:1" x14ac:dyDescent="0.3">
      <c r="A213039" s="14" t="s">
        <v>98</v>
      </c>
    </row>
    <row r="213040" spans="1:1" x14ac:dyDescent="0.3">
      <c r="A213040" s="14" t="s">
        <v>99</v>
      </c>
    </row>
    <row r="213041" spans="1:1" x14ac:dyDescent="0.3">
      <c r="A213041" s="13" t="s">
        <v>24</v>
      </c>
    </row>
    <row r="213042" spans="1:1" x14ac:dyDescent="0.3">
      <c r="A213042" s="13" t="s">
        <v>82</v>
      </c>
    </row>
    <row r="213043" spans="1:1" x14ac:dyDescent="0.3">
      <c r="A213043" s="13" t="s">
        <v>105</v>
      </c>
    </row>
    <row r="213044" spans="1:1" x14ac:dyDescent="0.3">
      <c r="A213044" s="13" t="s">
        <v>100</v>
      </c>
    </row>
    <row r="213045" spans="1:1" x14ac:dyDescent="0.3">
      <c r="A213045" s="13" t="s">
        <v>101</v>
      </c>
    </row>
    <row r="213046" spans="1:1" x14ac:dyDescent="0.3">
      <c r="A213046" s="13" t="s">
        <v>102</v>
      </c>
    </row>
    <row r="213047" spans="1:1" x14ac:dyDescent="0.3">
      <c r="A213047" s="13" t="s">
        <v>103</v>
      </c>
    </row>
    <row r="213048" spans="1:1" x14ac:dyDescent="0.3">
      <c r="A213048" s="13" t="s">
        <v>104</v>
      </c>
    </row>
    <row r="229378" spans="1:1" x14ac:dyDescent="0.3">
      <c r="A229378" s="13" t="s">
        <v>0</v>
      </c>
    </row>
    <row r="229379" spans="1:1" x14ac:dyDescent="0.3">
      <c r="A229379" s="13" t="s">
        <v>124</v>
      </c>
    </row>
    <row r="229380" spans="1:1" x14ac:dyDescent="0.3">
      <c r="A229380" s="13" t="s">
        <v>1</v>
      </c>
    </row>
    <row r="229381" spans="1:1" x14ac:dyDescent="0.3">
      <c r="A229381" s="13" t="s">
        <v>2</v>
      </c>
    </row>
    <row r="229382" spans="1:1" x14ac:dyDescent="0.3">
      <c r="A229382" s="14" t="s">
        <v>25</v>
      </c>
    </row>
    <row r="229383" spans="1:1" x14ac:dyDescent="0.3">
      <c r="A229383" s="13" t="s">
        <v>125</v>
      </c>
    </row>
    <row r="229384" spans="1:1" x14ac:dyDescent="0.3">
      <c r="A229384" s="13" t="s">
        <v>126</v>
      </c>
    </row>
    <row r="229385" spans="1:1" x14ac:dyDescent="0.3">
      <c r="A229385" s="13" t="s">
        <v>87</v>
      </c>
    </row>
    <row r="229386" spans="1:1" x14ac:dyDescent="0.3">
      <c r="A229386" s="13" t="s">
        <v>22</v>
      </c>
    </row>
    <row r="229387" spans="1:1" x14ac:dyDescent="0.3">
      <c r="A229387" s="13" t="s">
        <v>3</v>
      </c>
    </row>
    <row r="229388" spans="1:1" x14ac:dyDescent="0.3">
      <c r="A229388" s="15" t="s">
        <v>94</v>
      </c>
    </row>
    <row r="229389" spans="1:1" x14ac:dyDescent="0.3">
      <c r="A229389" s="15" t="s">
        <v>93</v>
      </c>
    </row>
    <row r="229390" spans="1:1" x14ac:dyDescent="0.3">
      <c r="A229390" s="15" t="s">
        <v>4</v>
      </c>
    </row>
    <row r="229391" spans="1:1" x14ac:dyDescent="0.3">
      <c r="A229391" s="15" t="s">
        <v>117</v>
      </c>
    </row>
    <row r="229392" spans="1:1" x14ac:dyDescent="0.3">
      <c r="A229392" s="15" t="s">
        <v>5</v>
      </c>
    </row>
    <row r="229393" spans="1:1" x14ac:dyDescent="0.3">
      <c r="A229393" s="15" t="s">
        <v>6</v>
      </c>
    </row>
    <row r="229394" spans="1:1" x14ac:dyDescent="0.3">
      <c r="A229394" s="15" t="s">
        <v>7</v>
      </c>
    </row>
    <row r="229395" spans="1:1" x14ac:dyDescent="0.3">
      <c r="A229395" s="15" t="s">
        <v>8</v>
      </c>
    </row>
    <row r="229396" spans="1:1" x14ac:dyDescent="0.3">
      <c r="A229396" s="15" t="s">
        <v>9</v>
      </c>
    </row>
    <row r="229397" spans="1:1" x14ac:dyDescent="0.3">
      <c r="A229397" s="15" t="s">
        <v>10</v>
      </c>
    </row>
    <row r="229398" spans="1:1" x14ac:dyDescent="0.3">
      <c r="A229398" s="15" t="s">
        <v>11</v>
      </c>
    </row>
    <row r="229399" spans="1:1" x14ac:dyDescent="0.3">
      <c r="A229399" s="15" t="s">
        <v>12</v>
      </c>
    </row>
    <row r="229400" spans="1:1" x14ac:dyDescent="0.3">
      <c r="A229400" s="15" t="s">
        <v>13</v>
      </c>
    </row>
    <row r="229401" spans="1:1" x14ac:dyDescent="0.3">
      <c r="A229401" s="15" t="s">
        <v>14</v>
      </c>
    </row>
    <row r="229402" spans="1:1" x14ac:dyDescent="0.3">
      <c r="A229402" s="13" t="s">
        <v>31</v>
      </c>
    </row>
    <row r="229403" spans="1:1" x14ac:dyDescent="0.3">
      <c r="A229403" s="13" t="s">
        <v>86</v>
      </c>
    </row>
    <row r="229404" spans="1:1" x14ac:dyDescent="0.3">
      <c r="A229404" s="15" t="s">
        <v>30</v>
      </c>
    </row>
    <row r="229405" spans="1:1" x14ac:dyDescent="0.3">
      <c r="A229405" s="15" t="s">
        <v>26</v>
      </c>
    </row>
    <row r="229406" spans="1:1" x14ac:dyDescent="0.3">
      <c r="A229406" s="15" t="s">
        <v>27</v>
      </c>
    </row>
    <row r="229407" spans="1:1" x14ac:dyDescent="0.3">
      <c r="A229407" s="15" t="s">
        <v>28</v>
      </c>
    </row>
    <row r="229408" spans="1:1" x14ac:dyDescent="0.3">
      <c r="A229408" s="15" t="s">
        <v>88</v>
      </c>
    </row>
    <row r="229409" spans="1:1" x14ac:dyDescent="0.3">
      <c r="A229409" s="15" t="s">
        <v>89</v>
      </c>
    </row>
    <row r="229410" spans="1:1" x14ac:dyDescent="0.3">
      <c r="A229410" s="15" t="s">
        <v>184</v>
      </c>
    </row>
    <row r="229411" spans="1:1" x14ac:dyDescent="0.3">
      <c r="A229411" s="15" t="s">
        <v>185</v>
      </c>
    </row>
    <row r="229412" spans="1:1" x14ac:dyDescent="0.3">
      <c r="A229412" s="15" t="s">
        <v>186</v>
      </c>
    </row>
    <row r="229413" spans="1:1" x14ac:dyDescent="0.3">
      <c r="A229413" s="15" t="s">
        <v>187</v>
      </c>
    </row>
    <row r="229414" spans="1:1" x14ac:dyDescent="0.3">
      <c r="A229414" s="15" t="s">
        <v>188</v>
      </c>
    </row>
    <row r="229415" spans="1:1" x14ac:dyDescent="0.3">
      <c r="A229415" s="15" t="s">
        <v>189</v>
      </c>
    </row>
    <row r="229416" spans="1:1" x14ac:dyDescent="0.3">
      <c r="A229416" s="15" t="s">
        <v>190</v>
      </c>
    </row>
    <row r="229417" spans="1:1" x14ac:dyDescent="0.3">
      <c r="A229417" s="14" t="s">
        <v>47</v>
      </c>
    </row>
    <row r="229418" spans="1:1" x14ac:dyDescent="0.3">
      <c r="A229418" s="14" t="s">
        <v>118</v>
      </c>
    </row>
    <row r="229419" spans="1:1" x14ac:dyDescent="0.3">
      <c r="A229419" s="14" t="s">
        <v>85</v>
      </c>
    </row>
    <row r="229420" spans="1:1" x14ac:dyDescent="0.3">
      <c r="A229420" s="13" t="s">
        <v>21</v>
      </c>
    </row>
    <row r="229421" spans="1:1" x14ac:dyDescent="0.3">
      <c r="A229421" s="14" t="s">
        <v>91</v>
      </c>
    </row>
    <row r="229422" spans="1:1" x14ac:dyDescent="0.3">
      <c r="A229422" s="14" t="s">
        <v>92</v>
      </c>
    </row>
    <row r="229423" spans="1:1" x14ac:dyDescent="0.3">
      <c r="A229423" s="14" t="s">
        <v>98</v>
      </c>
    </row>
    <row r="229424" spans="1:1" x14ac:dyDescent="0.3">
      <c r="A229424" s="14" t="s">
        <v>99</v>
      </c>
    </row>
    <row r="229425" spans="1:1" x14ac:dyDescent="0.3">
      <c r="A229425" s="13" t="s">
        <v>24</v>
      </c>
    </row>
    <row r="229426" spans="1:1" x14ac:dyDescent="0.3">
      <c r="A229426" s="13" t="s">
        <v>82</v>
      </c>
    </row>
    <row r="229427" spans="1:1" x14ac:dyDescent="0.3">
      <c r="A229427" s="13" t="s">
        <v>105</v>
      </c>
    </row>
    <row r="229428" spans="1:1" x14ac:dyDescent="0.3">
      <c r="A229428" s="13" t="s">
        <v>100</v>
      </c>
    </row>
    <row r="229429" spans="1:1" x14ac:dyDescent="0.3">
      <c r="A229429" s="13" t="s">
        <v>101</v>
      </c>
    </row>
    <row r="229430" spans="1:1" x14ac:dyDescent="0.3">
      <c r="A229430" s="13" t="s">
        <v>102</v>
      </c>
    </row>
    <row r="229431" spans="1:1" x14ac:dyDescent="0.3">
      <c r="A229431" s="13" t="s">
        <v>103</v>
      </c>
    </row>
    <row r="229432" spans="1:1" x14ac:dyDescent="0.3">
      <c r="A229432" s="13" t="s">
        <v>104</v>
      </c>
    </row>
    <row r="245762" spans="1:1" x14ac:dyDescent="0.3">
      <c r="A245762" s="13" t="s">
        <v>0</v>
      </c>
    </row>
    <row r="245763" spans="1:1" x14ac:dyDescent="0.3">
      <c r="A245763" s="13" t="s">
        <v>124</v>
      </c>
    </row>
    <row r="245764" spans="1:1" x14ac:dyDescent="0.3">
      <c r="A245764" s="13" t="s">
        <v>1</v>
      </c>
    </row>
    <row r="245765" spans="1:1" x14ac:dyDescent="0.3">
      <c r="A245765" s="13" t="s">
        <v>2</v>
      </c>
    </row>
    <row r="245766" spans="1:1" x14ac:dyDescent="0.3">
      <c r="A245766" s="14" t="s">
        <v>25</v>
      </c>
    </row>
    <row r="245767" spans="1:1" x14ac:dyDescent="0.3">
      <c r="A245767" s="13" t="s">
        <v>125</v>
      </c>
    </row>
    <row r="245768" spans="1:1" x14ac:dyDescent="0.3">
      <c r="A245768" s="13" t="s">
        <v>126</v>
      </c>
    </row>
    <row r="245769" spans="1:1" x14ac:dyDescent="0.3">
      <c r="A245769" s="13" t="s">
        <v>87</v>
      </c>
    </row>
    <row r="245770" spans="1:1" x14ac:dyDescent="0.3">
      <c r="A245770" s="13" t="s">
        <v>22</v>
      </c>
    </row>
    <row r="245771" spans="1:1" x14ac:dyDescent="0.3">
      <c r="A245771" s="13" t="s">
        <v>3</v>
      </c>
    </row>
    <row r="245772" spans="1:1" x14ac:dyDescent="0.3">
      <c r="A245772" s="15" t="s">
        <v>94</v>
      </c>
    </row>
    <row r="245773" spans="1:1" x14ac:dyDescent="0.3">
      <c r="A245773" s="15" t="s">
        <v>93</v>
      </c>
    </row>
    <row r="245774" spans="1:1" x14ac:dyDescent="0.3">
      <c r="A245774" s="15" t="s">
        <v>4</v>
      </c>
    </row>
    <row r="245775" spans="1:1" x14ac:dyDescent="0.3">
      <c r="A245775" s="15" t="s">
        <v>117</v>
      </c>
    </row>
    <row r="245776" spans="1:1" x14ac:dyDescent="0.3">
      <c r="A245776" s="15" t="s">
        <v>5</v>
      </c>
    </row>
    <row r="245777" spans="1:1" x14ac:dyDescent="0.3">
      <c r="A245777" s="15" t="s">
        <v>6</v>
      </c>
    </row>
    <row r="245778" spans="1:1" x14ac:dyDescent="0.3">
      <c r="A245778" s="15" t="s">
        <v>7</v>
      </c>
    </row>
    <row r="245779" spans="1:1" x14ac:dyDescent="0.3">
      <c r="A245779" s="15" t="s">
        <v>8</v>
      </c>
    </row>
    <row r="245780" spans="1:1" x14ac:dyDescent="0.3">
      <c r="A245780" s="15" t="s">
        <v>9</v>
      </c>
    </row>
    <row r="245781" spans="1:1" x14ac:dyDescent="0.3">
      <c r="A245781" s="15" t="s">
        <v>10</v>
      </c>
    </row>
    <row r="245782" spans="1:1" x14ac:dyDescent="0.3">
      <c r="A245782" s="15" t="s">
        <v>11</v>
      </c>
    </row>
    <row r="245783" spans="1:1" x14ac:dyDescent="0.3">
      <c r="A245783" s="15" t="s">
        <v>12</v>
      </c>
    </row>
    <row r="245784" spans="1:1" x14ac:dyDescent="0.3">
      <c r="A245784" s="15" t="s">
        <v>13</v>
      </c>
    </row>
    <row r="245785" spans="1:1" x14ac:dyDescent="0.3">
      <c r="A245785" s="15" t="s">
        <v>14</v>
      </c>
    </row>
    <row r="245786" spans="1:1" x14ac:dyDescent="0.3">
      <c r="A245786" s="13" t="s">
        <v>31</v>
      </c>
    </row>
    <row r="245787" spans="1:1" x14ac:dyDescent="0.3">
      <c r="A245787" s="13" t="s">
        <v>86</v>
      </c>
    </row>
    <row r="245788" spans="1:1" x14ac:dyDescent="0.3">
      <c r="A245788" s="15" t="s">
        <v>30</v>
      </c>
    </row>
    <row r="245789" spans="1:1" x14ac:dyDescent="0.3">
      <c r="A245789" s="15" t="s">
        <v>26</v>
      </c>
    </row>
    <row r="245790" spans="1:1" x14ac:dyDescent="0.3">
      <c r="A245790" s="15" t="s">
        <v>27</v>
      </c>
    </row>
    <row r="245791" spans="1:1" x14ac:dyDescent="0.3">
      <c r="A245791" s="15" t="s">
        <v>28</v>
      </c>
    </row>
    <row r="245792" spans="1:1" x14ac:dyDescent="0.3">
      <c r="A245792" s="15" t="s">
        <v>88</v>
      </c>
    </row>
    <row r="245793" spans="1:1" x14ac:dyDescent="0.3">
      <c r="A245793" s="15" t="s">
        <v>89</v>
      </c>
    </row>
    <row r="245794" spans="1:1" x14ac:dyDescent="0.3">
      <c r="A245794" s="15" t="s">
        <v>184</v>
      </c>
    </row>
    <row r="245795" spans="1:1" x14ac:dyDescent="0.3">
      <c r="A245795" s="15" t="s">
        <v>185</v>
      </c>
    </row>
    <row r="245796" spans="1:1" x14ac:dyDescent="0.3">
      <c r="A245796" s="15" t="s">
        <v>186</v>
      </c>
    </row>
    <row r="245797" spans="1:1" x14ac:dyDescent="0.3">
      <c r="A245797" s="15" t="s">
        <v>187</v>
      </c>
    </row>
    <row r="245798" spans="1:1" x14ac:dyDescent="0.3">
      <c r="A245798" s="15" t="s">
        <v>188</v>
      </c>
    </row>
    <row r="245799" spans="1:1" x14ac:dyDescent="0.3">
      <c r="A245799" s="15" t="s">
        <v>189</v>
      </c>
    </row>
    <row r="245800" spans="1:1" x14ac:dyDescent="0.3">
      <c r="A245800" s="15" t="s">
        <v>190</v>
      </c>
    </row>
    <row r="245801" spans="1:1" x14ac:dyDescent="0.3">
      <c r="A245801" s="14" t="s">
        <v>47</v>
      </c>
    </row>
    <row r="245802" spans="1:1" x14ac:dyDescent="0.3">
      <c r="A245802" s="14" t="s">
        <v>118</v>
      </c>
    </row>
    <row r="245803" spans="1:1" x14ac:dyDescent="0.3">
      <c r="A245803" s="14" t="s">
        <v>85</v>
      </c>
    </row>
    <row r="245804" spans="1:1" x14ac:dyDescent="0.3">
      <c r="A245804" s="13" t="s">
        <v>21</v>
      </c>
    </row>
    <row r="245805" spans="1:1" x14ac:dyDescent="0.3">
      <c r="A245805" s="14" t="s">
        <v>91</v>
      </c>
    </row>
    <row r="245806" spans="1:1" x14ac:dyDescent="0.3">
      <c r="A245806" s="14" t="s">
        <v>92</v>
      </c>
    </row>
    <row r="245807" spans="1:1" x14ac:dyDescent="0.3">
      <c r="A245807" s="14" t="s">
        <v>98</v>
      </c>
    </row>
    <row r="245808" spans="1:1" x14ac:dyDescent="0.3">
      <c r="A245808" s="14" t="s">
        <v>99</v>
      </c>
    </row>
    <row r="245809" spans="1:1" x14ac:dyDescent="0.3">
      <c r="A245809" s="13" t="s">
        <v>24</v>
      </c>
    </row>
    <row r="245810" spans="1:1" x14ac:dyDescent="0.3">
      <c r="A245810" s="13" t="s">
        <v>82</v>
      </c>
    </row>
    <row r="245811" spans="1:1" x14ac:dyDescent="0.3">
      <c r="A245811" s="13" t="s">
        <v>105</v>
      </c>
    </row>
    <row r="245812" spans="1:1" x14ac:dyDescent="0.3">
      <c r="A245812" s="13" t="s">
        <v>100</v>
      </c>
    </row>
    <row r="245813" spans="1:1" x14ac:dyDescent="0.3">
      <c r="A245813" s="13" t="s">
        <v>101</v>
      </c>
    </row>
    <row r="245814" spans="1:1" x14ac:dyDescent="0.3">
      <c r="A245814" s="13" t="s">
        <v>102</v>
      </c>
    </row>
    <row r="245815" spans="1:1" x14ac:dyDescent="0.3">
      <c r="A245815" s="13" t="s">
        <v>103</v>
      </c>
    </row>
    <row r="245816" spans="1:1" x14ac:dyDescent="0.3">
      <c r="A245816" s="13" t="s">
        <v>104</v>
      </c>
    </row>
    <row r="262146" spans="1:1" x14ac:dyDescent="0.3">
      <c r="A262146" s="13" t="s">
        <v>0</v>
      </c>
    </row>
    <row r="262147" spans="1:1" x14ac:dyDescent="0.3">
      <c r="A262147" s="13" t="s">
        <v>124</v>
      </c>
    </row>
    <row r="262148" spans="1:1" x14ac:dyDescent="0.3">
      <c r="A262148" s="13" t="s">
        <v>1</v>
      </c>
    </row>
    <row r="262149" spans="1:1" x14ac:dyDescent="0.3">
      <c r="A262149" s="13" t="s">
        <v>2</v>
      </c>
    </row>
    <row r="262150" spans="1:1" x14ac:dyDescent="0.3">
      <c r="A262150" s="14" t="s">
        <v>25</v>
      </c>
    </row>
    <row r="262151" spans="1:1" x14ac:dyDescent="0.3">
      <c r="A262151" s="13" t="s">
        <v>125</v>
      </c>
    </row>
    <row r="262152" spans="1:1" x14ac:dyDescent="0.3">
      <c r="A262152" s="13" t="s">
        <v>126</v>
      </c>
    </row>
    <row r="262153" spans="1:1" x14ac:dyDescent="0.3">
      <c r="A262153" s="13" t="s">
        <v>87</v>
      </c>
    </row>
    <row r="262154" spans="1:1" x14ac:dyDescent="0.3">
      <c r="A262154" s="13" t="s">
        <v>22</v>
      </c>
    </row>
    <row r="262155" spans="1:1" x14ac:dyDescent="0.3">
      <c r="A262155" s="13" t="s">
        <v>3</v>
      </c>
    </row>
    <row r="262156" spans="1:1" x14ac:dyDescent="0.3">
      <c r="A262156" s="15" t="s">
        <v>94</v>
      </c>
    </row>
    <row r="262157" spans="1:1" x14ac:dyDescent="0.3">
      <c r="A262157" s="15" t="s">
        <v>93</v>
      </c>
    </row>
    <row r="262158" spans="1:1" x14ac:dyDescent="0.3">
      <c r="A262158" s="15" t="s">
        <v>4</v>
      </c>
    </row>
    <row r="262159" spans="1:1" x14ac:dyDescent="0.3">
      <c r="A262159" s="15" t="s">
        <v>117</v>
      </c>
    </row>
    <row r="262160" spans="1:1" x14ac:dyDescent="0.3">
      <c r="A262160" s="15" t="s">
        <v>5</v>
      </c>
    </row>
    <row r="262161" spans="1:1" x14ac:dyDescent="0.3">
      <c r="A262161" s="15" t="s">
        <v>6</v>
      </c>
    </row>
    <row r="262162" spans="1:1" x14ac:dyDescent="0.3">
      <c r="A262162" s="15" t="s">
        <v>7</v>
      </c>
    </row>
    <row r="262163" spans="1:1" x14ac:dyDescent="0.3">
      <c r="A262163" s="15" t="s">
        <v>8</v>
      </c>
    </row>
    <row r="262164" spans="1:1" x14ac:dyDescent="0.3">
      <c r="A262164" s="15" t="s">
        <v>9</v>
      </c>
    </row>
    <row r="262165" spans="1:1" x14ac:dyDescent="0.3">
      <c r="A262165" s="15" t="s">
        <v>10</v>
      </c>
    </row>
    <row r="262166" spans="1:1" x14ac:dyDescent="0.3">
      <c r="A262166" s="15" t="s">
        <v>11</v>
      </c>
    </row>
    <row r="262167" spans="1:1" x14ac:dyDescent="0.3">
      <c r="A262167" s="15" t="s">
        <v>12</v>
      </c>
    </row>
    <row r="262168" spans="1:1" x14ac:dyDescent="0.3">
      <c r="A262168" s="15" t="s">
        <v>13</v>
      </c>
    </row>
    <row r="262169" spans="1:1" x14ac:dyDescent="0.3">
      <c r="A262169" s="15" t="s">
        <v>14</v>
      </c>
    </row>
    <row r="262170" spans="1:1" x14ac:dyDescent="0.3">
      <c r="A262170" s="13" t="s">
        <v>31</v>
      </c>
    </row>
    <row r="262171" spans="1:1" x14ac:dyDescent="0.3">
      <c r="A262171" s="13" t="s">
        <v>86</v>
      </c>
    </row>
    <row r="262172" spans="1:1" x14ac:dyDescent="0.3">
      <c r="A262172" s="15" t="s">
        <v>30</v>
      </c>
    </row>
    <row r="262173" spans="1:1" x14ac:dyDescent="0.3">
      <c r="A262173" s="15" t="s">
        <v>26</v>
      </c>
    </row>
    <row r="262174" spans="1:1" x14ac:dyDescent="0.3">
      <c r="A262174" s="15" t="s">
        <v>27</v>
      </c>
    </row>
    <row r="262175" spans="1:1" x14ac:dyDescent="0.3">
      <c r="A262175" s="15" t="s">
        <v>28</v>
      </c>
    </row>
    <row r="262176" spans="1:1" x14ac:dyDescent="0.3">
      <c r="A262176" s="15" t="s">
        <v>88</v>
      </c>
    </row>
    <row r="262177" spans="1:1" x14ac:dyDescent="0.3">
      <c r="A262177" s="15" t="s">
        <v>89</v>
      </c>
    </row>
    <row r="262178" spans="1:1" x14ac:dyDescent="0.3">
      <c r="A262178" s="15" t="s">
        <v>184</v>
      </c>
    </row>
    <row r="262179" spans="1:1" x14ac:dyDescent="0.3">
      <c r="A262179" s="15" t="s">
        <v>185</v>
      </c>
    </row>
    <row r="262180" spans="1:1" x14ac:dyDescent="0.3">
      <c r="A262180" s="15" t="s">
        <v>186</v>
      </c>
    </row>
    <row r="262181" spans="1:1" x14ac:dyDescent="0.3">
      <c r="A262181" s="15" t="s">
        <v>187</v>
      </c>
    </row>
    <row r="262182" spans="1:1" x14ac:dyDescent="0.3">
      <c r="A262182" s="15" t="s">
        <v>188</v>
      </c>
    </row>
    <row r="262183" spans="1:1" x14ac:dyDescent="0.3">
      <c r="A262183" s="15" t="s">
        <v>189</v>
      </c>
    </row>
    <row r="262184" spans="1:1" x14ac:dyDescent="0.3">
      <c r="A262184" s="15" t="s">
        <v>190</v>
      </c>
    </row>
    <row r="262185" spans="1:1" x14ac:dyDescent="0.3">
      <c r="A262185" s="14" t="s">
        <v>47</v>
      </c>
    </row>
    <row r="262186" spans="1:1" x14ac:dyDescent="0.3">
      <c r="A262186" s="14" t="s">
        <v>118</v>
      </c>
    </row>
    <row r="262187" spans="1:1" x14ac:dyDescent="0.3">
      <c r="A262187" s="14" t="s">
        <v>85</v>
      </c>
    </row>
    <row r="262188" spans="1:1" x14ac:dyDescent="0.3">
      <c r="A262188" s="13" t="s">
        <v>21</v>
      </c>
    </row>
    <row r="262189" spans="1:1" x14ac:dyDescent="0.3">
      <c r="A262189" s="14" t="s">
        <v>91</v>
      </c>
    </row>
    <row r="262190" spans="1:1" x14ac:dyDescent="0.3">
      <c r="A262190" s="14" t="s">
        <v>92</v>
      </c>
    </row>
    <row r="262191" spans="1:1" x14ac:dyDescent="0.3">
      <c r="A262191" s="14" t="s">
        <v>98</v>
      </c>
    </row>
    <row r="262192" spans="1:1" x14ac:dyDescent="0.3">
      <c r="A262192" s="14" t="s">
        <v>99</v>
      </c>
    </row>
    <row r="262193" spans="1:1" x14ac:dyDescent="0.3">
      <c r="A262193" s="13" t="s">
        <v>24</v>
      </c>
    </row>
    <row r="262194" spans="1:1" x14ac:dyDescent="0.3">
      <c r="A262194" s="13" t="s">
        <v>82</v>
      </c>
    </row>
    <row r="262195" spans="1:1" x14ac:dyDescent="0.3">
      <c r="A262195" s="13" t="s">
        <v>105</v>
      </c>
    </row>
    <row r="262196" spans="1:1" x14ac:dyDescent="0.3">
      <c r="A262196" s="13" t="s">
        <v>100</v>
      </c>
    </row>
    <row r="262197" spans="1:1" x14ac:dyDescent="0.3">
      <c r="A262197" s="13" t="s">
        <v>101</v>
      </c>
    </row>
    <row r="262198" spans="1:1" x14ac:dyDescent="0.3">
      <c r="A262198" s="13" t="s">
        <v>102</v>
      </c>
    </row>
    <row r="262199" spans="1:1" x14ac:dyDescent="0.3">
      <c r="A262199" s="13" t="s">
        <v>103</v>
      </c>
    </row>
    <row r="262200" spans="1:1" x14ac:dyDescent="0.3">
      <c r="A262200" s="13" t="s">
        <v>104</v>
      </c>
    </row>
    <row r="278530" spans="1:1" x14ac:dyDescent="0.3">
      <c r="A278530" s="13" t="s">
        <v>0</v>
      </c>
    </row>
    <row r="278531" spans="1:1" x14ac:dyDescent="0.3">
      <c r="A278531" s="13" t="s">
        <v>124</v>
      </c>
    </row>
    <row r="278532" spans="1:1" x14ac:dyDescent="0.3">
      <c r="A278532" s="13" t="s">
        <v>1</v>
      </c>
    </row>
    <row r="278533" spans="1:1" x14ac:dyDescent="0.3">
      <c r="A278533" s="13" t="s">
        <v>2</v>
      </c>
    </row>
    <row r="278534" spans="1:1" x14ac:dyDescent="0.3">
      <c r="A278534" s="14" t="s">
        <v>25</v>
      </c>
    </row>
    <row r="278535" spans="1:1" x14ac:dyDescent="0.3">
      <c r="A278535" s="13" t="s">
        <v>125</v>
      </c>
    </row>
    <row r="278536" spans="1:1" x14ac:dyDescent="0.3">
      <c r="A278536" s="13" t="s">
        <v>126</v>
      </c>
    </row>
    <row r="278537" spans="1:1" x14ac:dyDescent="0.3">
      <c r="A278537" s="13" t="s">
        <v>87</v>
      </c>
    </row>
    <row r="278538" spans="1:1" x14ac:dyDescent="0.3">
      <c r="A278538" s="13" t="s">
        <v>22</v>
      </c>
    </row>
    <row r="278539" spans="1:1" x14ac:dyDescent="0.3">
      <c r="A278539" s="13" t="s">
        <v>3</v>
      </c>
    </row>
    <row r="278540" spans="1:1" x14ac:dyDescent="0.3">
      <c r="A278540" s="15" t="s">
        <v>94</v>
      </c>
    </row>
    <row r="278541" spans="1:1" x14ac:dyDescent="0.3">
      <c r="A278541" s="15" t="s">
        <v>93</v>
      </c>
    </row>
    <row r="278542" spans="1:1" x14ac:dyDescent="0.3">
      <c r="A278542" s="15" t="s">
        <v>4</v>
      </c>
    </row>
    <row r="278543" spans="1:1" x14ac:dyDescent="0.3">
      <c r="A278543" s="15" t="s">
        <v>117</v>
      </c>
    </row>
    <row r="278544" spans="1:1" x14ac:dyDescent="0.3">
      <c r="A278544" s="15" t="s">
        <v>5</v>
      </c>
    </row>
    <row r="278545" spans="1:1" x14ac:dyDescent="0.3">
      <c r="A278545" s="15" t="s">
        <v>6</v>
      </c>
    </row>
    <row r="278546" spans="1:1" x14ac:dyDescent="0.3">
      <c r="A278546" s="15" t="s">
        <v>7</v>
      </c>
    </row>
    <row r="278547" spans="1:1" x14ac:dyDescent="0.3">
      <c r="A278547" s="15" t="s">
        <v>8</v>
      </c>
    </row>
    <row r="278548" spans="1:1" x14ac:dyDescent="0.3">
      <c r="A278548" s="15" t="s">
        <v>9</v>
      </c>
    </row>
    <row r="278549" spans="1:1" x14ac:dyDescent="0.3">
      <c r="A278549" s="15" t="s">
        <v>10</v>
      </c>
    </row>
    <row r="278550" spans="1:1" x14ac:dyDescent="0.3">
      <c r="A278550" s="15" t="s">
        <v>11</v>
      </c>
    </row>
    <row r="278551" spans="1:1" x14ac:dyDescent="0.3">
      <c r="A278551" s="15" t="s">
        <v>12</v>
      </c>
    </row>
    <row r="278552" spans="1:1" x14ac:dyDescent="0.3">
      <c r="A278552" s="15" t="s">
        <v>13</v>
      </c>
    </row>
    <row r="278553" spans="1:1" x14ac:dyDescent="0.3">
      <c r="A278553" s="15" t="s">
        <v>14</v>
      </c>
    </row>
    <row r="278554" spans="1:1" x14ac:dyDescent="0.3">
      <c r="A278554" s="13" t="s">
        <v>31</v>
      </c>
    </row>
    <row r="278555" spans="1:1" x14ac:dyDescent="0.3">
      <c r="A278555" s="13" t="s">
        <v>86</v>
      </c>
    </row>
    <row r="278556" spans="1:1" x14ac:dyDescent="0.3">
      <c r="A278556" s="15" t="s">
        <v>30</v>
      </c>
    </row>
    <row r="278557" spans="1:1" x14ac:dyDescent="0.3">
      <c r="A278557" s="15" t="s">
        <v>26</v>
      </c>
    </row>
    <row r="278558" spans="1:1" x14ac:dyDescent="0.3">
      <c r="A278558" s="15" t="s">
        <v>27</v>
      </c>
    </row>
    <row r="278559" spans="1:1" x14ac:dyDescent="0.3">
      <c r="A278559" s="15" t="s">
        <v>28</v>
      </c>
    </row>
    <row r="278560" spans="1:1" x14ac:dyDescent="0.3">
      <c r="A278560" s="15" t="s">
        <v>88</v>
      </c>
    </row>
    <row r="278561" spans="1:1" x14ac:dyDescent="0.3">
      <c r="A278561" s="15" t="s">
        <v>89</v>
      </c>
    </row>
    <row r="278562" spans="1:1" x14ac:dyDescent="0.3">
      <c r="A278562" s="15" t="s">
        <v>184</v>
      </c>
    </row>
    <row r="278563" spans="1:1" x14ac:dyDescent="0.3">
      <c r="A278563" s="15" t="s">
        <v>185</v>
      </c>
    </row>
    <row r="278564" spans="1:1" x14ac:dyDescent="0.3">
      <c r="A278564" s="15" t="s">
        <v>186</v>
      </c>
    </row>
    <row r="278565" spans="1:1" x14ac:dyDescent="0.3">
      <c r="A278565" s="15" t="s">
        <v>187</v>
      </c>
    </row>
    <row r="278566" spans="1:1" x14ac:dyDescent="0.3">
      <c r="A278566" s="15" t="s">
        <v>188</v>
      </c>
    </row>
    <row r="278567" spans="1:1" x14ac:dyDescent="0.3">
      <c r="A278567" s="15" t="s">
        <v>189</v>
      </c>
    </row>
    <row r="278568" spans="1:1" x14ac:dyDescent="0.3">
      <c r="A278568" s="15" t="s">
        <v>190</v>
      </c>
    </row>
    <row r="278569" spans="1:1" x14ac:dyDescent="0.3">
      <c r="A278569" s="14" t="s">
        <v>47</v>
      </c>
    </row>
    <row r="278570" spans="1:1" x14ac:dyDescent="0.3">
      <c r="A278570" s="14" t="s">
        <v>118</v>
      </c>
    </row>
    <row r="278571" spans="1:1" x14ac:dyDescent="0.3">
      <c r="A278571" s="14" t="s">
        <v>85</v>
      </c>
    </row>
    <row r="278572" spans="1:1" x14ac:dyDescent="0.3">
      <c r="A278572" s="13" t="s">
        <v>21</v>
      </c>
    </row>
    <row r="278573" spans="1:1" x14ac:dyDescent="0.3">
      <c r="A278573" s="14" t="s">
        <v>91</v>
      </c>
    </row>
    <row r="278574" spans="1:1" x14ac:dyDescent="0.3">
      <c r="A278574" s="14" t="s">
        <v>92</v>
      </c>
    </row>
    <row r="278575" spans="1:1" x14ac:dyDescent="0.3">
      <c r="A278575" s="14" t="s">
        <v>98</v>
      </c>
    </row>
    <row r="278576" spans="1:1" x14ac:dyDescent="0.3">
      <c r="A278576" s="14" t="s">
        <v>99</v>
      </c>
    </row>
    <row r="278577" spans="1:1" x14ac:dyDescent="0.3">
      <c r="A278577" s="13" t="s">
        <v>24</v>
      </c>
    </row>
    <row r="278578" spans="1:1" x14ac:dyDescent="0.3">
      <c r="A278578" s="13" t="s">
        <v>82</v>
      </c>
    </row>
    <row r="278579" spans="1:1" x14ac:dyDescent="0.3">
      <c r="A278579" s="13" t="s">
        <v>105</v>
      </c>
    </row>
    <row r="278580" spans="1:1" x14ac:dyDescent="0.3">
      <c r="A278580" s="13" t="s">
        <v>100</v>
      </c>
    </row>
    <row r="278581" spans="1:1" x14ac:dyDescent="0.3">
      <c r="A278581" s="13" t="s">
        <v>101</v>
      </c>
    </row>
    <row r="278582" spans="1:1" x14ac:dyDescent="0.3">
      <c r="A278582" s="13" t="s">
        <v>102</v>
      </c>
    </row>
    <row r="278583" spans="1:1" x14ac:dyDescent="0.3">
      <c r="A278583" s="13" t="s">
        <v>103</v>
      </c>
    </row>
    <row r="278584" spans="1:1" x14ac:dyDescent="0.3">
      <c r="A278584" s="13" t="s">
        <v>104</v>
      </c>
    </row>
    <row r="294914" spans="1:1" x14ac:dyDescent="0.3">
      <c r="A294914" s="13" t="s">
        <v>0</v>
      </c>
    </row>
    <row r="294915" spans="1:1" x14ac:dyDescent="0.3">
      <c r="A294915" s="13" t="s">
        <v>124</v>
      </c>
    </row>
    <row r="294916" spans="1:1" x14ac:dyDescent="0.3">
      <c r="A294916" s="13" t="s">
        <v>1</v>
      </c>
    </row>
    <row r="294917" spans="1:1" x14ac:dyDescent="0.3">
      <c r="A294917" s="13" t="s">
        <v>2</v>
      </c>
    </row>
    <row r="294918" spans="1:1" x14ac:dyDescent="0.3">
      <c r="A294918" s="14" t="s">
        <v>25</v>
      </c>
    </row>
    <row r="294919" spans="1:1" x14ac:dyDescent="0.3">
      <c r="A294919" s="13" t="s">
        <v>125</v>
      </c>
    </row>
    <row r="294920" spans="1:1" x14ac:dyDescent="0.3">
      <c r="A294920" s="13" t="s">
        <v>126</v>
      </c>
    </row>
    <row r="294921" spans="1:1" x14ac:dyDescent="0.3">
      <c r="A294921" s="13" t="s">
        <v>87</v>
      </c>
    </row>
    <row r="294922" spans="1:1" x14ac:dyDescent="0.3">
      <c r="A294922" s="13" t="s">
        <v>22</v>
      </c>
    </row>
    <row r="294923" spans="1:1" x14ac:dyDescent="0.3">
      <c r="A294923" s="13" t="s">
        <v>3</v>
      </c>
    </row>
    <row r="294924" spans="1:1" x14ac:dyDescent="0.3">
      <c r="A294924" s="15" t="s">
        <v>94</v>
      </c>
    </row>
    <row r="294925" spans="1:1" x14ac:dyDescent="0.3">
      <c r="A294925" s="15" t="s">
        <v>93</v>
      </c>
    </row>
    <row r="294926" spans="1:1" x14ac:dyDescent="0.3">
      <c r="A294926" s="15" t="s">
        <v>4</v>
      </c>
    </row>
    <row r="294927" spans="1:1" x14ac:dyDescent="0.3">
      <c r="A294927" s="15" t="s">
        <v>117</v>
      </c>
    </row>
    <row r="294928" spans="1:1" x14ac:dyDescent="0.3">
      <c r="A294928" s="15" t="s">
        <v>5</v>
      </c>
    </row>
    <row r="294929" spans="1:1" x14ac:dyDescent="0.3">
      <c r="A294929" s="15" t="s">
        <v>6</v>
      </c>
    </row>
    <row r="294930" spans="1:1" x14ac:dyDescent="0.3">
      <c r="A294930" s="15" t="s">
        <v>7</v>
      </c>
    </row>
    <row r="294931" spans="1:1" x14ac:dyDescent="0.3">
      <c r="A294931" s="15" t="s">
        <v>8</v>
      </c>
    </row>
    <row r="294932" spans="1:1" x14ac:dyDescent="0.3">
      <c r="A294932" s="15" t="s">
        <v>9</v>
      </c>
    </row>
    <row r="294933" spans="1:1" x14ac:dyDescent="0.3">
      <c r="A294933" s="15" t="s">
        <v>10</v>
      </c>
    </row>
    <row r="294934" spans="1:1" x14ac:dyDescent="0.3">
      <c r="A294934" s="15" t="s">
        <v>11</v>
      </c>
    </row>
    <row r="294935" spans="1:1" x14ac:dyDescent="0.3">
      <c r="A294935" s="15" t="s">
        <v>12</v>
      </c>
    </row>
    <row r="294936" spans="1:1" x14ac:dyDescent="0.3">
      <c r="A294936" s="15" t="s">
        <v>13</v>
      </c>
    </row>
    <row r="294937" spans="1:1" x14ac:dyDescent="0.3">
      <c r="A294937" s="15" t="s">
        <v>14</v>
      </c>
    </row>
    <row r="294938" spans="1:1" x14ac:dyDescent="0.3">
      <c r="A294938" s="13" t="s">
        <v>31</v>
      </c>
    </row>
    <row r="294939" spans="1:1" x14ac:dyDescent="0.3">
      <c r="A294939" s="13" t="s">
        <v>86</v>
      </c>
    </row>
    <row r="294940" spans="1:1" x14ac:dyDescent="0.3">
      <c r="A294940" s="15" t="s">
        <v>30</v>
      </c>
    </row>
    <row r="294941" spans="1:1" x14ac:dyDescent="0.3">
      <c r="A294941" s="15" t="s">
        <v>26</v>
      </c>
    </row>
    <row r="294942" spans="1:1" x14ac:dyDescent="0.3">
      <c r="A294942" s="15" t="s">
        <v>27</v>
      </c>
    </row>
    <row r="294943" spans="1:1" x14ac:dyDescent="0.3">
      <c r="A294943" s="15" t="s">
        <v>28</v>
      </c>
    </row>
    <row r="294944" spans="1:1" x14ac:dyDescent="0.3">
      <c r="A294944" s="15" t="s">
        <v>88</v>
      </c>
    </row>
    <row r="294945" spans="1:1" x14ac:dyDescent="0.3">
      <c r="A294945" s="15" t="s">
        <v>89</v>
      </c>
    </row>
    <row r="294946" spans="1:1" x14ac:dyDescent="0.3">
      <c r="A294946" s="15" t="s">
        <v>184</v>
      </c>
    </row>
    <row r="294947" spans="1:1" x14ac:dyDescent="0.3">
      <c r="A294947" s="15" t="s">
        <v>185</v>
      </c>
    </row>
    <row r="294948" spans="1:1" x14ac:dyDescent="0.3">
      <c r="A294948" s="15" t="s">
        <v>186</v>
      </c>
    </row>
    <row r="294949" spans="1:1" x14ac:dyDescent="0.3">
      <c r="A294949" s="15" t="s">
        <v>187</v>
      </c>
    </row>
    <row r="294950" spans="1:1" x14ac:dyDescent="0.3">
      <c r="A294950" s="15" t="s">
        <v>188</v>
      </c>
    </row>
    <row r="294951" spans="1:1" x14ac:dyDescent="0.3">
      <c r="A294951" s="15" t="s">
        <v>189</v>
      </c>
    </row>
    <row r="294952" spans="1:1" x14ac:dyDescent="0.3">
      <c r="A294952" s="15" t="s">
        <v>190</v>
      </c>
    </row>
    <row r="294953" spans="1:1" x14ac:dyDescent="0.3">
      <c r="A294953" s="14" t="s">
        <v>47</v>
      </c>
    </row>
    <row r="294954" spans="1:1" x14ac:dyDescent="0.3">
      <c r="A294954" s="14" t="s">
        <v>118</v>
      </c>
    </row>
    <row r="294955" spans="1:1" x14ac:dyDescent="0.3">
      <c r="A294955" s="14" t="s">
        <v>85</v>
      </c>
    </row>
    <row r="294956" spans="1:1" x14ac:dyDescent="0.3">
      <c r="A294956" s="13" t="s">
        <v>21</v>
      </c>
    </row>
    <row r="294957" spans="1:1" x14ac:dyDescent="0.3">
      <c r="A294957" s="14" t="s">
        <v>91</v>
      </c>
    </row>
    <row r="294958" spans="1:1" x14ac:dyDescent="0.3">
      <c r="A294958" s="14" t="s">
        <v>92</v>
      </c>
    </row>
    <row r="294959" spans="1:1" x14ac:dyDescent="0.3">
      <c r="A294959" s="14" t="s">
        <v>98</v>
      </c>
    </row>
    <row r="294960" spans="1:1" x14ac:dyDescent="0.3">
      <c r="A294960" s="14" t="s">
        <v>99</v>
      </c>
    </row>
    <row r="294961" spans="1:1" x14ac:dyDescent="0.3">
      <c r="A294961" s="13" t="s">
        <v>24</v>
      </c>
    </row>
    <row r="294962" spans="1:1" x14ac:dyDescent="0.3">
      <c r="A294962" s="13" t="s">
        <v>82</v>
      </c>
    </row>
    <row r="294963" spans="1:1" x14ac:dyDescent="0.3">
      <c r="A294963" s="13" t="s">
        <v>105</v>
      </c>
    </row>
    <row r="294964" spans="1:1" x14ac:dyDescent="0.3">
      <c r="A294964" s="13" t="s">
        <v>100</v>
      </c>
    </row>
    <row r="294965" spans="1:1" x14ac:dyDescent="0.3">
      <c r="A294965" s="13" t="s">
        <v>101</v>
      </c>
    </row>
    <row r="294966" spans="1:1" x14ac:dyDescent="0.3">
      <c r="A294966" s="13" t="s">
        <v>102</v>
      </c>
    </row>
    <row r="294967" spans="1:1" x14ac:dyDescent="0.3">
      <c r="A294967" s="13" t="s">
        <v>103</v>
      </c>
    </row>
    <row r="294968" spans="1:1" x14ac:dyDescent="0.3">
      <c r="A294968" s="13" t="s">
        <v>104</v>
      </c>
    </row>
    <row r="311298" spans="1:1" x14ac:dyDescent="0.3">
      <c r="A311298" s="13" t="s">
        <v>0</v>
      </c>
    </row>
    <row r="311299" spans="1:1" x14ac:dyDescent="0.3">
      <c r="A311299" s="13" t="s">
        <v>124</v>
      </c>
    </row>
    <row r="311300" spans="1:1" x14ac:dyDescent="0.3">
      <c r="A311300" s="13" t="s">
        <v>1</v>
      </c>
    </row>
    <row r="311301" spans="1:1" x14ac:dyDescent="0.3">
      <c r="A311301" s="13" t="s">
        <v>2</v>
      </c>
    </row>
    <row r="311302" spans="1:1" x14ac:dyDescent="0.3">
      <c r="A311302" s="14" t="s">
        <v>25</v>
      </c>
    </row>
    <row r="311303" spans="1:1" x14ac:dyDescent="0.3">
      <c r="A311303" s="13" t="s">
        <v>125</v>
      </c>
    </row>
    <row r="311304" spans="1:1" x14ac:dyDescent="0.3">
      <c r="A311304" s="13" t="s">
        <v>126</v>
      </c>
    </row>
    <row r="311305" spans="1:1" x14ac:dyDescent="0.3">
      <c r="A311305" s="13" t="s">
        <v>87</v>
      </c>
    </row>
    <row r="311306" spans="1:1" x14ac:dyDescent="0.3">
      <c r="A311306" s="13" t="s">
        <v>22</v>
      </c>
    </row>
    <row r="311307" spans="1:1" x14ac:dyDescent="0.3">
      <c r="A311307" s="13" t="s">
        <v>3</v>
      </c>
    </row>
    <row r="311308" spans="1:1" x14ac:dyDescent="0.3">
      <c r="A311308" s="15" t="s">
        <v>94</v>
      </c>
    </row>
    <row r="311309" spans="1:1" x14ac:dyDescent="0.3">
      <c r="A311309" s="15" t="s">
        <v>93</v>
      </c>
    </row>
    <row r="311310" spans="1:1" x14ac:dyDescent="0.3">
      <c r="A311310" s="15" t="s">
        <v>4</v>
      </c>
    </row>
    <row r="311311" spans="1:1" x14ac:dyDescent="0.3">
      <c r="A311311" s="15" t="s">
        <v>117</v>
      </c>
    </row>
    <row r="311312" spans="1:1" x14ac:dyDescent="0.3">
      <c r="A311312" s="15" t="s">
        <v>5</v>
      </c>
    </row>
    <row r="311313" spans="1:1" x14ac:dyDescent="0.3">
      <c r="A311313" s="15" t="s">
        <v>6</v>
      </c>
    </row>
    <row r="311314" spans="1:1" x14ac:dyDescent="0.3">
      <c r="A311314" s="15" t="s">
        <v>7</v>
      </c>
    </row>
    <row r="311315" spans="1:1" x14ac:dyDescent="0.3">
      <c r="A311315" s="15" t="s">
        <v>8</v>
      </c>
    </row>
    <row r="311316" spans="1:1" x14ac:dyDescent="0.3">
      <c r="A311316" s="15" t="s">
        <v>9</v>
      </c>
    </row>
    <row r="311317" spans="1:1" x14ac:dyDescent="0.3">
      <c r="A311317" s="15" t="s">
        <v>10</v>
      </c>
    </row>
    <row r="311318" spans="1:1" x14ac:dyDescent="0.3">
      <c r="A311318" s="15" t="s">
        <v>11</v>
      </c>
    </row>
    <row r="311319" spans="1:1" x14ac:dyDescent="0.3">
      <c r="A311319" s="15" t="s">
        <v>12</v>
      </c>
    </row>
    <row r="311320" spans="1:1" x14ac:dyDescent="0.3">
      <c r="A311320" s="15" t="s">
        <v>13</v>
      </c>
    </row>
    <row r="311321" spans="1:1" x14ac:dyDescent="0.3">
      <c r="A311321" s="15" t="s">
        <v>14</v>
      </c>
    </row>
    <row r="311322" spans="1:1" x14ac:dyDescent="0.3">
      <c r="A311322" s="13" t="s">
        <v>31</v>
      </c>
    </row>
    <row r="311323" spans="1:1" x14ac:dyDescent="0.3">
      <c r="A311323" s="13" t="s">
        <v>86</v>
      </c>
    </row>
    <row r="311324" spans="1:1" x14ac:dyDescent="0.3">
      <c r="A311324" s="15" t="s">
        <v>30</v>
      </c>
    </row>
    <row r="311325" spans="1:1" x14ac:dyDescent="0.3">
      <c r="A311325" s="15" t="s">
        <v>26</v>
      </c>
    </row>
    <row r="311326" spans="1:1" x14ac:dyDescent="0.3">
      <c r="A311326" s="15" t="s">
        <v>27</v>
      </c>
    </row>
    <row r="311327" spans="1:1" x14ac:dyDescent="0.3">
      <c r="A311327" s="15" t="s">
        <v>28</v>
      </c>
    </row>
    <row r="311328" spans="1:1" x14ac:dyDescent="0.3">
      <c r="A311328" s="15" t="s">
        <v>88</v>
      </c>
    </row>
    <row r="311329" spans="1:1" x14ac:dyDescent="0.3">
      <c r="A311329" s="15" t="s">
        <v>89</v>
      </c>
    </row>
    <row r="311330" spans="1:1" x14ac:dyDescent="0.3">
      <c r="A311330" s="15" t="s">
        <v>184</v>
      </c>
    </row>
    <row r="311331" spans="1:1" x14ac:dyDescent="0.3">
      <c r="A311331" s="15" t="s">
        <v>185</v>
      </c>
    </row>
    <row r="311332" spans="1:1" x14ac:dyDescent="0.3">
      <c r="A311332" s="15" t="s">
        <v>186</v>
      </c>
    </row>
    <row r="311333" spans="1:1" x14ac:dyDescent="0.3">
      <c r="A311333" s="15" t="s">
        <v>187</v>
      </c>
    </row>
    <row r="311334" spans="1:1" x14ac:dyDescent="0.3">
      <c r="A311334" s="15" t="s">
        <v>188</v>
      </c>
    </row>
    <row r="311335" spans="1:1" x14ac:dyDescent="0.3">
      <c r="A311335" s="15" t="s">
        <v>189</v>
      </c>
    </row>
    <row r="311336" spans="1:1" x14ac:dyDescent="0.3">
      <c r="A311336" s="15" t="s">
        <v>190</v>
      </c>
    </row>
    <row r="311337" spans="1:1" x14ac:dyDescent="0.3">
      <c r="A311337" s="14" t="s">
        <v>47</v>
      </c>
    </row>
    <row r="311338" spans="1:1" x14ac:dyDescent="0.3">
      <c r="A311338" s="14" t="s">
        <v>118</v>
      </c>
    </row>
    <row r="311339" spans="1:1" x14ac:dyDescent="0.3">
      <c r="A311339" s="14" t="s">
        <v>85</v>
      </c>
    </row>
    <row r="311340" spans="1:1" x14ac:dyDescent="0.3">
      <c r="A311340" s="13" t="s">
        <v>21</v>
      </c>
    </row>
    <row r="311341" spans="1:1" x14ac:dyDescent="0.3">
      <c r="A311341" s="14" t="s">
        <v>91</v>
      </c>
    </row>
    <row r="311342" spans="1:1" x14ac:dyDescent="0.3">
      <c r="A311342" s="14" t="s">
        <v>92</v>
      </c>
    </row>
    <row r="311343" spans="1:1" x14ac:dyDescent="0.3">
      <c r="A311343" s="14" t="s">
        <v>98</v>
      </c>
    </row>
    <row r="311344" spans="1:1" x14ac:dyDescent="0.3">
      <c r="A311344" s="14" t="s">
        <v>99</v>
      </c>
    </row>
    <row r="311345" spans="1:1" x14ac:dyDescent="0.3">
      <c r="A311345" s="13" t="s">
        <v>24</v>
      </c>
    </row>
    <row r="311346" spans="1:1" x14ac:dyDescent="0.3">
      <c r="A311346" s="13" t="s">
        <v>82</v>
      </c>
    </row>
    <row r="311347" spans="1:1" x14ac:dyDescent="0.3">
      <c r="A311347" s="13" t="s">
        <v>105</v>
      </c>
    </row>
    <row r="311348" spans="1:1" x14ac:dyDescent="0.3">
      <c r="A311348" s="13" t="s">
        <v>100</v>
      </c>
    </row>
    <row r="311349" spans="1:1" x14ac:dyDescent="0.3">
      <c r="A311349" s="13" t="s">
        <v>101</v>
      </c>
    </row>
    <row r="311350" spans="1:1" x14ac:dyDescent="0.3">
      <c r="A311350" s="13" t="s">
        <v>102</v>
      </c>
    </row>
    <row r="311351" spans="1:1" x14ac:dyDescent="0.3">
      <c r="A311351" s="13" t="s">
        <v>103</v>
      </c>
    </row>
    <row r="311352" spans="1:1" x14ac:dyDescent="0.3">
      <c r="A311352" s="13" t="s">
        <v>104</v>
      </c>
    </row>
    <row r="327682" spans="1:1" x14ac:dyDescent="0.3">
      <c r="A327682" s="13" t="s">
        <v>0</v>
      </c>
    </row>
    <row r="327683" spans="1:1" x14ac:dyDescent="0.3">
      <c r="A327683" s="13" t="s">
        <v>124</v>
      </c>
    </row>
    <row r="327684" spans="1:1" x14ac:dyDescent="0.3">
      <c r="A327684" s="13" t="s">
        <v>1</v>
      </c>
    </row>
    <row r="327685" spans="1:1" x14ac:dyDescent="0.3">
      <c r="A327685" s="13" t="s">
        <v>2</v>
      </c>
    </row>
    <row r="327686" spans="1:1" x14ac:dyDescent="0.3">
      <c r="A327686" s="14" t="s">
        <v>25</v>
      </c>
    </row>
    <row r="327687" spans="1:1" x14ac:dyDescent="0.3">
      <c r="A327687" s="13" t="s">
        <v>125</v>
      </c>
    </row>
    <row r="327688" spans="1:1" x14ac:dyDescent="0.3">
      <c r="A327688" s="13" t="s">
        <v>126</v>
      </c>
    </row>
    <row r="327689" spans="1:1" x14ac:dyDescent="0.3">
      <c r="A327689" s="13" t="s">
        <v>87</v>
      </c>
    </row>
    <row r="327690" spans="1:1" x14ac:dyDescent="0.3">
      <c r="A327690" s="13" t="s">
        <v>22</v>
      </c>
    </row>
    <row r="327691" spans="1:1" x14ac:dyDescent="0.3">
      <c r="A327691" s="13" t="s">
        <v>3</v>
      </c>
    </row>
    <row r="327692" spans="1:1" x14ac:dyDescent="0.3">
      <c r="A327692" s="15" t="s">
        <v>94</v>
      </c>
    </row>
    <row r="327693" spans="1:1" x14ac:dyDescent="0.3">
      <c r="A327693" s="15" t="s">
        <v>93</v>
      </c>
    </row>
    <row r="327694" spans="1:1" x14ac:dyDescent="0.3">
      <c r="A327694" s="15" t="s">
        <v>4</v>
      </c>
    </row>
    <row r="327695" spans="1:1" x14ac:dyDescent="0.3">
      <c r="A327695" s="15" t="s">
        <v>117</v>
      </c>
    </row>
    <row r="327696" spans="1:1" x14ac:dyDescent="0.3">
      <c r="A327696" s="15" t="s">
        <v>5</v>
      </c>
    </row>
    <row r="327697" spans="1:1" x14ac:dyDescent="0.3">
      <c r="A327697" s="15" t="s">
        <v>6</v>
      </c>
    </row>
    <row r="327698" spans="1:1" x14ac:dyDescent="0.3">
      <c r="A327698" s="15" t="s">
        <v>7</v>
      </c>
    </row>
    <row r="327699" spans="1:1" x14ac:dyDescent="0.3">
      <c r="A327699" s="15" t="s">
        <v>8</v>
      </c>
    </row>
    <row r="327700" spans="1:1" x14ac:dyDescent="0.3">
      <c r="A327700" s="15" t="s">
        <v>9</v>
      </c>
    </row>
    <row r="327701" spans="1:1" x14ac:dyDescent="0.3">
      <c r="A327701" s="15" t="s">
        <v>10</v>
      </c>
    </row>
    <row r="327702" spans="1:1" x14ac:dyDescent="0.3">
      <c r="A327702" s="15" t="s">
        <v>11</v>
      </c>
    </row>
    <row r="327703" spans="1:1" x14ac:dyDescent="0.3">
      <c r="A327703" s="15" t="s">
        <v>12</v>
      </c>
    </row>
    <row r="327704" spans="1:1" x14ac:dyDescent="0.3">
      <c r="A327704" s="15" t="s">
        <v>13</v>
      </c>
    </row>
    <row r="327705" spans="1:1" x14ac:dyDescent="0.3">
      <c r="A327705" s="15" t="s">
        <v>14</v>
      </c>
    </row>
    <row r="327706" spans="1:1" x14ac:dyDescent="0.3">
      <c r="A327706" s="13" t="s">
        <v>31</v>
      </c>
    </row>
    <row r="327707" spans="1:1" x14ac:dyDescent="0.3">
      <c r="A327707" s="13" t="s">
        <v>86</v>
      </c>
    </row>
    <row r="327708" spans="1:1" x14ac:dyDescent="0.3">
      <c r="A327708" s="15" t="s">
        <v>30</v>
      </c>
    </row>
    <row r="327709" spans="1:1" x14ac:dyDescent="0.3">
      <c r="A327709" s="15" t="s">
        <v>26</v>
      </c>
    </row>
    <row r="327710" spans="1:1" x14ac:dyDescent="0.3">
      <c r="A327710" s="15" t="s">
        <v>27</v>
      </c>
    </row>
    <row r="327711" spans="1:1" x14ac:dyDescent="0.3">
      <c r="A327711" s="15" t="s">
        <v>28</v>
      </c>
    </row>
    <row r="327712" spans="1:1" x14ac:dyDescent="0.3">
      <c r="A327712" s="15" t="s">
        <v>88</v>
      </c>
    </row>
    <row r="327713" spans="1:1" x14ac:dyDescent="0.3">
      <c r="A327713" s="15" t="s">
        <v>89</v>
      </c>
    </row>
    <row r="327714" spans="1:1" x14ac:dyDescent="0.3">
      <c r="A327714" s="15" t="s">
        <v>184</v>
      </c>
    </row>
    <row r="327715" spans="1:1" x14ac:dyDescent="0.3">
      <c r="A327715" s="15" t="s">
        <v>185</v>
      </c>
    </row>
    <row r="327716" spans="1:1" x14ac:dyDescent="0.3">
      <c r="A327716" s="15" t="s">
        <v>186</v>
      </c>
    </row>
    <row r="327717" spans="1:1" x14ac:dyDescent="0.3">
      <c r="A327717" s="15" t="s">
        <v>187</v>
      </c>
    </row>
    <row r="327718" spans="1:1" x14ac:dyDescent="0.3">
      <c r="A327718" s="15" t="s">
        <v>188</v>
      </c>
    </row>
    <row r="327719" spans="1:1" x14ac:dyDescent="0.3">
      <c r="A327719" s="15" t="s">
        <v>189</v>
      </c>
    </row>
    <row r="327720" spans="1:1" x14ac:dyDescent="0.3">
      <c r="A327720" s="15" t="s">
        <v>190</v>
      </c>
    </row>
    <row r="327721" spans="1:1" x14ac:dyDescent="0.3">
      <c r="A327721" s="14" t="s">
        <v>47</v>
      </c>
    </row>
    <row r="327722" spans="1:1" x14ac:dyDescent="0.3">
      <c r="A327722" s="14" t="s">
        <v>118</v>
      </c>
    </row>
    <row r="327723" spans="1:1" x14ac:dyDescent="0.3">
      <c r="A327723" s="14" t="s">
        <v>85</v>
      </c>
    </row>
    <row r="327724" spans="1:1" x14ac:dyDescent="0.3">
      <c r="A327724" s="13" t="s">
        <v>21</v>
      </c>
    </row>
    <row r="327725" spans="1:1" x14ac:dyDescent="0.3">
      <c r="A327725" s="14" t="s">
        <v>91</v>
      </c>
    </row>
    <row r="327726" spans="1:1" x14ac:dyDescent="0.3">
      <c r="A327726" s="14" t="s">
        <v>92</v>
      </c>
    </row>
    <row r="327727" spans="1:1" x14ac:dyDescent="0.3">
      <c r="A327727" s="14" t="s">
        <v>98</v>
      </c>
    </row>
    <row r="327728" spans="1:1" x14ac:dyDescent="0.3">
      <c r="A327728" s="14" t="s">
        <v>99</v>
      </c>
    </row>
    <row r="327729" spans="1:1" x14ac:dyDescent="0.3">
      <c r="A327729" s="13" t="s">
        <v>24</v>
      </c>
    </row>
    <row r="327730" spans="1:1" x14ac:dyDescent="0.3">
      <c r="A327730" s="13" t="s">
        <v>82</v>
      </c>
    </row>
    <row r="327731" spans="1:1" x14ac:dyDescent="0.3">
      <c r="A327731" s="13" t="s">
        <v>105</v>
      </c>
    </row>
    <row r="327732" spans="1:1" x14ac:dyDescent="0.3">
      <c r="A327732" s="13" t="s">
        <v>100</v>
      </c>
    </row>
    <row r="327733" spans="1:1" x14ac:dyDescent="0.3">
      <c r="A327733" s="13" t="s">
        <v>101</v>
      </c>
    </row>
    <row r="327734" spans="1:1" x14ac:dyDescent="0.3">
      <c r="A327734" s="13" t="s">
        <v>102</v>
      </c>
    </row>
    <row r="327735" spans="1:1" x14ac:dyDescent="0.3">
      <c r="A327735" s="13" t="s">
        <v>103</v>
      </c>
    </row>
    <row r="327736" spans="1:1" x14ac:dyDescent="0.3">
      <c r="A327736" s="13" t="s">
        <v>104</v>
      </c>
    </row>
    <row r="344066" spans="1:1" x14ac:dyDescent="0.3">
      <c r="A344066" s="13" t="s">
        <v>0</v>
      </c>
    </row>
    <row r="344067" spans="1:1" x14ac:dyDescent="0.3">
      <c r="A344067" s="13" t="s">
        <v>124</v>
      </c>
    </row>
    <row r="344068" spans="1:1" x14ac:dyDescent="0.3">
      <c r="A344068" s="13" t="s">
        <v>1</v>
      </c>
    </row>
    <row r="344069" spans="1:1" x14ac:dyDescent="0.3">
      <c r="A344069" s="13" t="s">
        <v>2</v>
      </c>
    </row>
    <row r="344070" spans="1:1" x14ac:dyDescent="0.3">
      <c r="A344070" s="14" t="s">
        <v>25</v>
      </c>
    </row>
    <row r="344071" spans="1:1" x14ac:dyDescent="0.3">
      <c r="A344071" s="13" t="s">
        <v>125</v>
      </c>
    </row>
    <row r="344072" spans="1:1" x14ac:dyDescent="0.3">
      <c r="A344072" s="13" t="s">
        <v>126</v>
      </c>
    </row>
    <row r="344073" spans="1:1" x14ac:dyDescent="0.3">
      <c r="A344073" s="13" t="s">
        <v>87</v>
      </c>
    </row>
    <row r="344074" spans="1:1" x14ac:dyDescent="0.3">
      <c r="A344074" s="13" t="s">
        <v>22</v>
      </c>
    </row>
    <row r="344075" spans="1:1" x14ac:dyDescent="0.3">
      <c r="A344075" s="13" t="s">
        <v>3</v>
      </c>
    </row>
    <row r="344076" spans="1:1" x14ac:dyDescent="0.3">
      <c r="A344076" s="15" t="s">
        <v>94</v>
      </c>
    </row>
    <row r="344077" spans="1:1" x14ac:dyDescent="0.3">
      <c r="A344077" s="15" t="s">
        <v>93</v>
      </c>
    </row>
    <row r="344078" spans="1:1" x14ac:dyDescent="0.3">
      <c r="A344078" s="15" t="s">
        <v>4</v>
      </c>
    </row>
    <row r="344079" spans="1:1" x14ac:dyDescent="0.3">
      <c r="A344079" s="15" t="s">
        <v>117</v>
      </c>
    </row>
    <row r="344080" spans="1:1" x14ac:dyDescent="0.3">
      <c r="A344080" s="15" t="s">
        <v>5</v>
      </c>
    </row>
    <row r="344081" spans="1:1" x14ac:dyDescent="0.3">
      <c r="A344081" s="15" t="s">
        <v>6</v>
      </c>
    </row>
    <row r="344082" spans="1:1" x14ac:dyDescent="0.3">
      <c r="A344082" s="15" t="s">
        <v>7</v>
      </c>
    </row>
    <row r="344083" spans="1:1" x14ac:dyDescent="0.3">
      <c r="A344083" s="15" t="s">
        <v>8</v>
      </c>
    </row>
    <row r="344084" spans="1:1" x14ac:dyDescent="0.3">
      <c r="A344084" s="15" t="s">
        <v>9</v>
      </c>
    </row>
    <row r="344085" spans="1:1" x14ac:dyDescent="0.3">
      <c r="A344085" s="15" t="s">
        <v>10</v>
      </c>
    </row>
    <row r="344086" spans="1:1" x14ac:dyDescent="0.3">
      <c r="A344086" s="15" t="s">
        <v>11</v>
      </c>
    </row>
    <row r="344087" spans="1:1" x14ac:dyDescent="0.3">
      <c r="A344087" s="15" t="s">
        <v>12</v>
      </c>
    </row>
    <row r="344088" spans="1:1" x14ac:dyDescent="0.3">
      <c r="A344088" s="15" t="s">
        <v>13</v>
      </c>
    </row>
    <row r="344089" spans="1:1" x14ac:dyDescent="0.3">
      <c r="A344089" s="15" t="s">
        <v>14</v>
      </c>
    </row>
    <row r="344090" spans="1:1" x14ac:dyDescent="0.3">
      <c r="A344090" s="13" t="s">
        <v>31</v>
      </c>
    </row>
    <row r="344091" spans="1:1" x14ac:dyDescent="0.3">
      <c r="A344091" s="13" t="s">
        <v>86</v>
      </c>
    </row>
    <row r="344092" spans="1:1" x14ac:dyDescent="0.3">
      <c r="A344092" s="15" t="s">
        <v>30</v>
      </c>
    </row>
    <row r="344093" spans="1:1" x14ac:dyDescent="0.3">
      <c r="A344093" s="15" t="s">
        <v>26</v>
      </c>
    </row>
    <row r="344094" spans="1:1" x14ac:dyDescent="0.3">
      <c r="A344094" s="15" t="s">
        <v>27</v>
      </c>
    </row>
    <row r="344095" spans="1:1" x14ac:dyDescent="0.3">
      <c r="A344095" s="15" t="s">
        <v>28</v>
      </c>
    </row>
    <row r="344096" spans="1:1" x14ac:dyDescent="0.3">
      <c r="A344096" s="15" t="s">
        <v>88</v>
      </c>
    </row>
    <row r="344097" spans="1:1" x14ac:dyDescent="0.3">
      <c r="A344097" s="15" t="s">
        <v>89</v>
      </c>
    </row>
    <row r="344098" spans="1:1" x14ac:dyDescent="0.3">
      <c r="A344098" s="15" t="s">
        <v>184</v>
      </c>
    </row>
    <row r="344099" spans="1:1" x14ac:dyDescent="0.3">
      <c r="A344099" s="15" t="s">
        <v>185</v>
      </c>
    </row>
    <row r="344100" spans="1:1" x14ac:dyDescent="0.3">
      <c r="A344100" s="15" t="s">
        <v>186</v>
      </c>
    </row>
    <row r="344101" spans="1:1" x14ac:dyDescent="0.3">
      <c r="A344101" s="15" t="s">
        <v>187</v>
      </c>
    </row>
    <row r="344102" spans="1:1" x14ac:dyDescent="0.3">
      <c r="A344102" s="15" t="s">
        <v>188</v>
      </c>
    </row>
    <row r="344103" spans="1:1" x14ac:dyDescent="0.3">
      <c r="A344103" s="15" t="s">
        <v>189</v>
      </c>
    </row>
    <row r="344104" spans="1:1" x14ac:dyDescent="0.3">
      <c r="A344104" s="15" t="s">
        <v>190</v>
      </c>
    </row>
    <row r="344105" spans="1:1" x14ac:dyDescent="0.3">
      <c r="A344105" s="14" t="s">
        <v>47</v>
      </c>
    </row>
    <row r="344106" spans="1:1" x14ac:dyDescent="0.3">
      <c r="A344106" s="14" t="s">
        <v>118</v>
      </c>
    </row>
    <row r="344107" spans="1:1" x14ac:dyDescent="0.3">
      <c r="A344107" s="14" t="s">
        <v>85</v>
      </c>
    </row>
    <row r="344108" spans="1:1" x14ac:dyDescent="0.3">
      <c r="A344108" s="13" t="s">
        <v>21</v>
      </c>
    </row>
    <row r="344109" spans="1:1" x14ac:dyDescent="0.3">
      <c r="A344109" s="14" t="s">
        <v>91</v>
      </c>
    </row>
    <row r="344110" spans="1:1" x14ac:dyDescent="0.3">
      <c r="A344110" s="14" t="s">
        <v>92</v>
      </c>
    </row>
    <row r="344111" spans="1:1" x14ac:dyDescent="0.3">
      <c r="A344111" s="14" t="s">
        <v>98</v>
      </c>
    </row>
    <row r="344112" spans="1:1" x14ac:dyDescent="0.3">
      <c r="A344112" s="14" t="s">
        <v>99</v>
      </c>
    </row>
    <row r="344113" spans="1:1" x14ac:dyDescent="0.3">
      <c r="A344113" s="13" t="s">
        <v>24</v>
      </c>
    </row>
    <row r="344114" spans="1:1" x14ac:dyDescent="0.3">
      <c r="A344114" s="13" t="s">
        <v>82</v>
      </c>
    </row>
    <row r="344115" spans="1:1" x14ac:dyDescent="0.3">
      <c r="A344115" s="13" t="s">
        <v>105</v>
      </c>
    </row>
    <row r="344116" spans="1:1" x14ac:dyDescent="0.3">
      <c r="A344116" s="13" t="s">
        <v>100</v>
      </c>
    </row>
    <row r="344117" spans="1:1" x14ac:dyDescent="0.3">
      <c r="A344117" s="13" t="s">
        <v>101</v>
      </c>
    </row>
    <row r="344118" spans="1:1" x14ac:dyDescent="0.3">
      <c r="A344118" s="13" t="s">
        <v>102</v>
      </c>
    </row>
    <row r="344119" spans="1:1" x14ac:dyDescent="0.3">
      <c r="A344119" s="13" t="s">
        <v>103</v>
      </c>
    </row>
    <row r="344120" spans="1:1" x14ac:dyDescent="0.3">
      <c r="A344120" s="13" t="s">
        <v>104</v>
      </c>
    </row>
    <row r="360450" spans="1:1" x14ac:dyDescent="0.3">
      <c r="A360450" s="13" t="s">
        <v>0</v>
      </c>
    </row>
    <row r="360451" spans="1:1" x14ac:dyDescent="0.3">
      <c r="A360451" s="13" t="s">
        <v>124</v>
      </c>
    </row>
    <row r="360452" spans="1:1" x14ac:dyDescent="0.3">
      <c r="A360452" s="13" t="s">
        <v>1</v>
      </c>
    </row>
    <row r="360453" spans="1:1" x14ac:dyDescent="0.3">
      <c r="A360453" s="13" t="s">
        <v>2</v>
      </c>
    </row>
    <row r="360454" spans="1:1" x14ac:dyDescent="0.3">
      <c r="A360454" s="14" t="s">
        <v>25</v>
      </c>
    </row>
    <row r="360455" spans="1:1" x14ac:dyDescent="0.3">
      <c r="A360455" s="13" t="s">
        <v>125</v>
      </c>
    </row>
    <row r="360456" spans="1:1" x14ac:dyDescent="0.3">
      <c r="A360456" s="13" t="s">
        <v>126</v>
      </c>
    </row>
    <row r="360457" spans="1:1" x14ac:dyDescent="0.3">
      <c r="A360457" s="13" t="s">
        <v>87</v>
      </c>
    </row>
    <row r="360458" spans="1:1" x14ac:dyDescent="0.3">
      <c r="A360458" s="13" t="s">
        <v>22</v>
      </c>
    </row>
    <row r="360459" spans="1:1" x14ac:dyDescent="0.3">
      <c r="A360459" s="13" t="s">
        <v>3</v>
      </c>
    </row>
    <row r="360460" spans="1:1" x14ac:dyDescent="0.3">
      <c r="A360460" s="15" t="s">
        <v>94</v>
      </c>
    </row>
    <row r="360461" spans="1:1" x14ac:dyDescent="0.3">
      <c r="A360461" s="15" t="s">
        <v>93</v>
      </c>
    </row>
    <row r="360462" spans="1:1" x14ac:dyDescent="0.3">
      <c r="A360462" s="15" t="s">
        <v>4</v>
      </c>
    </row>
    <row r="360463" spans="1:1" x14ac:dyDescent="0.3">
      <c r="A360463" s="15" t="s">
        <v>117</v>
      </c>
    </row>
    <row r="360464" spans="1:1" x14ac:dyDescent="0.3">
      <c r="A360464" s="15" t="s">
        <v>5</v>
      </c>
    </row>
    <row r="360465" spans="1:1" x14ac:dyDescent="0.3">
      <c r="A360465" s="15" t="s">
        <v>6</v>
      </c>
    </row>
    <row r="360466" spans="1:1" x14ac:dyDescent="0.3">
      <c r="A360466" s="15" t="s">
        <v>7</v>
      </c>
    </row>
    <row r="360467" spans="1:1" x14ac:dyDescent="0.3">
      <c r="A360467" s="15" t="s">
        <v>8</v>
      </c>
    </row>
    <row r="360468" spans="1:1" x14ac:dyDescent="0.3">
      <c r="A360468" s="15" t="s">
        <v>9</v>
      </c>
    </row>
    <row r="360469" spans="1:1" x14ac:dyDescent="0.3">
      <c r="A360469" s="15" t="s">
        <v>10</v>
      </c>
    </row>
    <row r="360470" spans="1:1" x14ac:dyDescent="0.3">
      <c r="A360470" s="15" t="s">
        <v>11</v>
      </c>
    </row>
    <row r="360471" spans="1:1" x14ac:dyDescent="0.3">
      <c r="A360471" s="15" t="s">
        <v>12</v>
      </c>
    </row>
    <row r="360472" spans="1:1" x14ac:dyDescent="0.3">
      <c r="A360472" s="15" t="s">
        <v>13</v>
      </c>
    </row>
    <row r="360473" spans="1:1" x14ac:dyDescent="0.3">
      <c r="A360473" s="15" t="s">
        <v>14</v>
      </c>
    </row>
    <row r="360474" spans="1:1" x14ac:dyDescent="0.3">
      <c r="A360474" s="13" t="s">
        <v>31</v>
      </c>
    </row>
    <row r="360475" spans="1:1" x14ac:dyDescent="0.3">
      <c r="A360475" s="13" t="s">
        <v>86</v>
      </c>
    </row>
    <row r="360476" spans="1:1" x14ac:dyDescent="0.3">
      <c r="A360476" s="15" t="s">
        <v>30</v>
      </c>
    </row>
    <row r="360477" spans="1:1" x14ac:dyDescent="0.3">
      <c r="A360477" s="15" t="s">
        <v>26</v>
      </c>
    </row>
    <row r="360478" spans="1:1" x14ac:dyDescent="0.3">
      <c r="A360478" s="15" t="s">
        <v>27</v>
      </c>
    </row>
    <row r="360479" spans="1:1" x14ac:dyDescent="0.3">
      <c r="A360479" s="15" t="s">
        <v>28</v>
      </c>
    </row>
    <row r="360480" spans="1:1" x14ac:dyDescent="0.3">
      <c r="A360480" s="15" t="s">
        <v>88</v>
      </c>
    </row>
    <row r="360481" spans="1:1" x14ac:dyDescent="0.3">
      <c r="A360481" s="15" t="s">
        <v>89</v>
      </c>
    </row>
    <row r="360482" spans="1:1" x14ac:dyDescent="0.3">
      <c r="A360482" s="15" t="s">
        <v>184</v>
      </c>
    </row>
    <row r="360483" spans="1:1" x14ac:dyDescent="0.3">
      <c r="A360483" s="15" t="s">
        <v>185</v>
      </c>
    </row>
    <row r="360484" spans="1:1" x14ac:dyDescent="0.3">
      <c r="A360484" s="15" t="s">
        <v>186</v>
      </c>
    </row>
    <row r="360485" spans="1:1" x14ac:dyDescent="0.3">
      <c r="A360485" s="15" t="s">
        <v>187</v>
      </c>
    </row>
    <row r="360486" spans="1:1" x14ac:dyDescent="0.3">
      <c r="A360486" s="15" t="s">
        <v>188</v>
      </c>
    </row>
    <row r="360487" spans="1:1" x14ac:dyDescent="0.3">
      <c r="A360487" s="15" t="s">
        <v>189</v>
      </c>
    </row>
    <row r="360488" spans="1:1" x14ac:dyDescent="0.3">
      <c r="A360488" s="15" t="s">
        <v>190</v>
      </c>
    </row>
    <row r="360489" spans="1:1" x14ac:dyDescent="0.3">
      <c r="A360489" s="14" t="s">
        <v>47</v>
      </c>
    </row>
    <row r="360490" spans="1:1" x14ac:dyDescent="0.3">
      <c r="A360490" s="14" t="s">
        <v>118</v>
      </c>
    </row>
    <row r="360491" spans="1:1" x14ac:dyDescent="0.3">
      <c r="A360491" s="14" t="s">
        <v>85</v>
      </c>
    </row>
    <row r="360492" spans="1:1" x14ac:dyDescent="0.3">
      <c r="A360492" s="13" t="s">
        <v>21</v>
      </c>
    </row>
    <row r="360493" spans="1:1" x14ac:dyDescent="0.3">
      <c r="A360493" s="14" t="s">
        <v>91</v>
      </c>
    </row>
    <row r="360494" spans="1:1" x14ac:dyDescent="0.3">
      <c r="A360494" s="14" t="s">
        <v>92</v>
      </c>
    </row>
    <row r="360495" spans="1:1" x14ac:dyDescent="0.3">
      <c r="A360495" s="14" t="s">
        <v>98</v>
      </c>
    </row>
    <row r="360496" spans="1:1" x14ac:dyDescent="0.3">
      <c r="A360496" s="14" t="s">
        <v>99</v>
      </c>
    </row>
    <row r="360497" spans="1:1" x14ac:dyDescent="0.3">
      <c r="A360497" s="13" t="s">
        <v>24</v>
      </c>
    </row>
    <row r="360498" spans="1:1" x14ac:dyDescent="0.3">
      <c r="A360498" s="13" t="s">
        <v>82</v>
      </c>
    </row>
    <row r="360499" spans="1:1" x14ac:dyDescent="0.3">
      <c r="A360499" s="13" t="s">
        <v>105</v>
      </c>
    </row>
    <row r="360500" spans="1:1" x14ac:dyDescent="0.3">
      <c r="A360500" s="13" t="s">
        <v>100</v>
      </c>
    </row>
    <row r="360501" spans="1:1" x14ac:dyDescent="0.3">
      <c r="A360501" s="13" t="s">
        <v>101</v>
      </c>
    </row>
    <row r="360502" spans="1:1" x14ac:dyDescent="0.3">
      <c r="A360502" s="13" t="s">
        <v>102</v>
      </c>
    </row>
    <row r="360503" spans="1:1" x14ac:dyDescent="0.3">
      <c r="A360503" s="13" t="s">
        <v>103</v>
      </c>
    </row>
    <row r="360504" spans="1:1" x14ac:dyDescent="0.3">
      <c r="A360504" s="13" t="s">
        <v>104</v>
      </c>
    </row>
    <row r="376834" spans="1:1" x14ac:dyDescent="0.3">
      <c r="A376834" s="13" t="s">
        <v>0</v>
      </c>
    </row>
    <row r="376835" spans="1:1" x14ac:dyDescent="0.3">
      <c r="A376835" s="13" t="s">
        <v>124</v>
      </c>
    </row>
    <row r="376836" spans="1:1" x14ac:dyDescent="0.3">
      <c r="A376836" s="13" t="s">
        <v>1</v>
      </c>
    </row>
    <row r="376837" spans="1:1" x14ac:dyDescent="0.3">
      <c r="A376837" s="13" t="s">
        <v>2</v>
      </c>
    </row>
    <row r="376838" spans="1:1" x14ac:dyDescent="0.3">
      <c r="A376838" s="14" t="s">
        <v>25</v>
      </c>
    </row>
    <row r="376839" spans="1:1" x14ac:dyDescent="0.3">
      <c r="A376839" s="13" t="s">
        <v>125</v>
      </c>
    </row>
    <row r="376840" spans="1:1" x14ac:dyDescent="0.3">
      <c r="A376840" s="13" t="s">
        <v>126</v>
      </c>
    </row>
    <row r="376841" spans="1:1" x14ac:dyDescent="0.3">
      <c r="A376841" s="13" t="s">
        <v>87</v>
      </c>
    </row>
    <row r="376842" spans="1:1" x14ac:dyDescent="0.3">
      <c r="A376842" s="13" t="s">
        <v>22</v>
      </c>
    </row>
    <row r="376843" spans="1:1" x14ac:dyDescent="0.3">
      <c r="A376843" s="13" t="s">
        <v>3</v>
      </c>
    </row>
    <row r="376844" spans="1:1" x14ac:dyDescent="0.3">
      <c r="A376844" s="15" t="s">
        <v>94</v>
      </c>
    </row>
    <row r="376845" spans="1:1" x14ac:dyDescent="0.3">
      <c r="A376845" s="15" t="s">
        <v>93</v>
      </c>
    </row>
    <row r="376846" spans="1:1" x14ac:dyDescent="0.3">
      <c r="A376846" s="15" t="s">
        <v>4</v>
      </c>
    </row>
    <row r="376847" spans="1:1" x14ac:dyDescent="0.3">
      <c r="A376847" s="15" t="s">
        <v>117</v>
      </c>
    </row>
    <row r="376848" spans="1:1" x14ac:dyDescent="0.3">
      <c r="A376848" s="15" t="s">
        <v>5</v>
      </c>
    </row>
    <row r="376849" spans="1:1" x14ac:dyDescent="0.3">
      <c r="A376849" s="15" t="s">
        <v>6</v>
      </c>
    </row>
    <row r="376850" spans="1:1" x14ac:dyDescent="0.3">
      <c r="A376850" s="15" t="s">
        <v>7</v>
      </c>
    </row>
    <row r="376851" spans="1:1" x14ac:dyDescent="0.3">
      <c r="A376851" s="15" t="s">
        <v>8</v>
      </c>
    </row>
    <row r="376852" spans="1:1" x14ac:dyDescent="0.3">
      <c r="A376852" s="15" t="s">
        <v>9</v>
      </c>
    </row>
    <row r="376853" spans="1:1" x14ac:dyDescent="0.3">
      <c r="A376853" s="15" t="s">
        <v>10</v>
      </c>
    </row>
    <row r="376854" spans="1:1" x14ac:dyDescent="0.3">
      <c r="A376854" s="15" t="s">
        <v>11</v>
      </c>
    </row>
    <row r="376855" spans="1:1" x14ac:dyDescent="0.3">
      <c r="A376855" s="15" t="s">
        <v>12</v>
      </c>
    </row>
    <row r="376856" spans="1:1" x14ac:dyDescent="0.3">
      <c r="A376856" s="15" t="s">
        <v>13</v>
      </c>
    </row>
    <row r="376857" spans="1:1" x14ac:dyDescent="0.3">
      <c r="A376857" s="15" t="s">
        <v>14</v>
      </c>
    </row>
    <row r="376858" spans="1:1" x14ac:dyDescent="0.3">
      <c r="A376858" s="13" t="s">
        <v>31</v>
      </c>
    </row>
    <row r="376859" spans="1:1" x14ac:dyDescent="0.3">
      <c r="A376859" s="13" t="s">
        <v>86</v>
      </c>
    </row>
    <row r="376860" spans="1:1" x14ac:dyDescent="0.3">
      <c r="A376860" s="15" t="s">
        <v>30</v>
      </c>
    </row>
    <row r="376861" spans="1:1" x14ac:dyDescent="0.3">
      <c r="A376861" s="15" t="s">
        <v>26</v>
      </c>
    </row>
    <row r="376862" spans="1:1" x14ac:dyDescent="0.3">
      <c r="A376862" s="15" t="s">
        <v>27</v>
      </c>
    </row>
    <row r="376863" spans="1:1" x14ac:dyDescent="0.3">
      <c r="A376863" s="15" t="s">
        <v>28</v>
      </c>
    </row>
    <row r="376864" spans="1:1" x14ac:dyDescent="0.3">
      <c r="A376864" s="15" t="s">
        <v>88</v>
      </c>
    </row>
    <row r="376865" spans="1:1" x14ac:dyDescent="0.3">
      <c r="A376865" s="15" t="s">
        <v>89</v>
      </c>
    </row>
    <row r="376866" spans="1:1" x14ac:dyDescent="0.3">
      <c r="A376866" s="15" t="s">
        <v>184</v>
      </c>
    </row>
    <row r="376867" spans="1:1" x14ac:dyDescent="0.3">
      <c r="A376867" s="15" t="s">
        <v>185</v>
      </c>
    </row>
    <row r="376868" spans="1:1" x14ac:dyDescent="0.3">
      <c r="A376868" s="15" t="s">
        <v>186</v>
      </c>
    </row>
    <row r="376869" spans="1:1" x14ac:dyDescent="0.3">
      <c r="A376869" s="15" t="s">
        <v>187</v>
      </c>
    </row>
    <row r="376870" spans="1:1" x14ac:dyDescent="0.3">
      <c r="A376870" s="15" t="s">
        <v>188</v>
      </c>
    </row>
    <row r="376871" spans="1:1" x14ac:dyDescent="0.3">
      <c r="A376871" s="15" t="s">
        <v>189</v>
      </c>
    </row>
    <row r="376872" spans="1:1" x14ac:dyDescent="0.3">
      <c r="A376872" s="15" t="s">
        <v>190</v>
      </c>
    </row>
    <row r="376873" spans="1:1" x14ac:dyDescent="0.3">
      <c r="A376873" s="14" t="s">
        <v>47</v>
      </c>
    </row>
    <row r="376874" spans="1:1" x14ac:dyDescent="0.3">
      <c r="A376874" s="14" t="s">
        <v>118</v>
      </c>
    </row>
    <row r="376875" spans="1:1" x14ac:dyDescent="0.3">
      <c r="A376875" s="14" t="s">
        <v>85</v>
      </c>
    </row>
    <row r="376876" spans="1:1" x14ac:dyDescent="0.3">
      <c r="A376876" s="13" t="s">
        <v>21</v>
      </c>
    </row>
    <row r="376877" spans="1:1" x14ac:dyDescent="0.3">
      <c r="A376877" s="14" t="s">
        <v>91</v>
      </c>
    </row>
    <row r="376878" spans="1:1" x14ac:dyDescent="0.3">
      <c r="A376878" s="14" t="s">
        <v>92</v>
      </c>
    </row>
    <row r="376879" spans="1:1" x14ac:dyDescent="0.3">
      <c r="A376879" s="14" t="s">
        <v>98</v>
      </c>
    </row>
    <row r="376880" spans="1:1" x14ac:dyDescent="0.3">
      <c r="A376880" s="14" t="s">
        <v>99</v>
      </c>
    </row>
    <row r="376881" spans="1:1" x14ac:dyDescent="0.3">
      <c r="A376881" s="13" t="s">
        <v>24</v>
      </c>
    </row>
    <row r="376882" spans="1:1" x14ac:dyDescent="0.3">
      <c r="A376882" s="13" t="s">
        <v>82</v>
      </c>
    </row>
    <row r="376883" spans="1:1" x14ac:dyDescent="0.3">
      <c r="A376883" s="13" t="s">
        <v>105</v>
      </c>
    </row>
    <row r="376884" spans="1:1" x14ac:dyDescent="0.3">
      <c r="A376884" s="13" t="s">
        <v>100</v>
      </c>
    </row>
    <row r="376885" spans="1:1" x14ac:dyDescent="0.3">
      <c r="A376885" s="13" t="s">
        <v>101</v>
      </c>
    </row>
    <row r="376886" spans="1:1" x14ac:dyDescent="0.3">
      <c r="A376886" s="13" t="s">
        <v>102</v>
      </c>
    </row>
    <row r="376887" spans="1:1" x14ac:dyDescent="0.3">
      <c r="A376887" s="13" t="s">
        <v>103</v>
      </c>
    </row>
    <row r="376888" spans="1:1" x14ac:dyDescent="0.3">
      <c r="A376888" s="13" t="s">
        <v>104</v>
      </c>
    </row>
    <row r="393218" spans="1:1" x14ac:dyDescent="0.3">
      <c r="A393218" s="13" t="s">
        <v>0</v>
      </c>
    </row>
    <row r="393219" spans="1:1" x14ac:dyDescent="0.3">
      <c r="A393219" s="13" t="s">
        <v>124</v>
      </c>
    </row>
    <row r="393220" spans="1:1" x14ac:dyDescent="0.3">
      <c r="A393220" s="13" t="s">
        <v>1</v>
      </c>
    </row>
    <row r="393221" spans="1:1" x14ac:dyDescent="0.3">
      <c r="A393221" s="13" t="s">
        <v>2</v>
      </c>
    </row>
    <row r="393222" spans="1:1" x14ac:dyDescent="0.3">
      <c r="A393222" s="14" t="s">
        <v>25</v>
      </c>
    </row>
    <row r="393223" spans="1:1" x14ac:dyDescent="0.3">
      <c r="A393223" s="13" t="s">
        <v>125</v>
      </c>
    </row>
    <row r="393224" spans="1:1" x14ac:dyDescent="0.3">
      <c r="A393224" s="13" t="s">
        <v>126</v>
      </c>
    </row>
    <row r="393225" spans="1:1" x14ac:dyDescent="0.3">
      <c r="A393225" s="13" t="s">
        <v>87</v>
      </c>
    </row>
    <row r="393226" spans="1:1" x14ac:dyDescent="0.3">
      <c r="A393226" s="13" t="s">
        <v>22</v>
      </c>
    </row>
    <row r="393227" spans="1:1" x14ac:dyDescent="0.3">
      <c r="A393227" s="13" t="s">
        <v>3</v>
      </c>
    </row>
    <row r="393228" spans="1:1" x14ac:dyDescent="0.3">
      <c r="A393228" s="15" t="s">
        <v>94</v>
      </c>
    </row>
    <row r="393229" spans="1:1" x14ac:dyDescent="0.3">
      <c r="A393229" s="15" t="s">
        <v>93</v>
      </c>
    </row>
    <row r="393230" spans="1:1" x14ac:dyDescent="0.3">
      <c r="A393230" s="15" t="s">
        <v>4</v>
      </c>
    </row>
    <row r="393231" spans="1:1" x14ac:dyDescent="0.3">
      <c r="A393231" s="15" t="s">
        <v>117</v>
      </c>
    </row>
    <row r="393232" spans="1:1" x14ac:dyDescent="0.3">
      <c r="A393232" s="15" t="s">
        <v>5</v>
      </c>
    </row>
    <row r="393233" spans="1:1" x14ac:dyDescent="0.3">
      <c r="A393233" s="15" t="s">
        <v>6</v>
      </c>
    </row>
    <row r="393234" spans="1:1" x14ac:dyDescent="0.3">
      <c r="A393234" s="15" t="s">
        <v>7</v>
      </c>
    </row>
    <row r="393235" spans="1:1" x14ac:dyDescent="0.3">
      <c r="A393235" s="15" t="s">
        <v>8</v>
      </c>
    </row>
    <row r="393236" spans="1:1" x14ac:dyDescent="0.3">
      <c r="A393236" s="15" t="s">
        <v>9</v>
      </c>
    </row>
    <row r="393237" spans="1:1" x14ac:dyDescent="0.3">
      <c r="A393237" s="15" t="s">
        <v>10</v>
      </c>
    </row>
    <row r="393238" spans="1:1" x14ac:dyDescent="0.3">
      <c r="A393238" s="15" t="s">
        <v>11</v>
      </c>
    </row>
    <row r="393239" spans="1:1" x14ac:dyDescent="0.3">
      <c r="A393239" s="15" t="s">
        <v>12</v>
      </c>
    </row>
    <row r="393240" spans="1:1" x14ac:dyDescent="0.3">
      <c r="A393240" s="15" t="s">
        <v>13</v>
      </c>
    </row>
    <row r="393241" spans="1:1" x14ac:dyDescent="0.3">
      <c r="A393241" s="15" t="s">
        <v>14</v>
      </c>
    </row>
    <row r="393242" spans="1:1" x14ac:dyDescent="0.3">
      <c r="A393242" s="13" t="s">
        <v>31</v>
      </c>
    </row>
    <row r="393243" spans="1:1" x14ac:dyDescent="0.3">
      <c r="A393243" s="13" t="s">
        <v>86</v>
      </c>
    </row>
    <row r="393244" spans="1:1" x14ac:dyDescent="0.3">
      <c r="A393244" s="15" t="s">
        <v>30</v>
      </c>
    </row>
    <row r="393245" spans="1:1" x14ac:dyDescent="0.3">
      <c r="A393245" s="15" t="s">
        <v>26</v>
      </c>
    </row>
    <row r="393246" spans="1:1" x14ac:dyDescent="0.3">
      <c r="A393246" s="15" t="s">
        <v>27</v>
      </c>
    </row>
    <row r="393247" spans="1:1" x14ac:dyDescent="0.3">
      <c r="A393247" s="15" t="s">
        <v>28</v>
      </c>
    </row>
    <row r="393248" spans="1:1" x14ac:dyDescent="0.3">
      <c r="A393248" s="15" t="s">
        <v>88</v>
      </c>
    </row>
    <row r="393249" spans="1:1" x14ac:dyDescent="0.3">
      <c r="A393249" s="15" t="s">
        <v>89</v>
      </c>
    </row>
    <row r="393250" spans="1:1" x14ac:dyDescent="0.3">
      <c r="A393250" s="15" t="s">
        <v>184</v>
      </c>
    </row>
    <row r="393251" spans="1:1" x14ac:dyDescent="0.3">
      <c r="A393251" s="15" t="s">
        <v>185</v>
      </c>
    </row>
    <row r="393252" spans="1:1" x14ac:dyDescent="0.3">
      <c r="A393252" s="15" t="s">
        <v>186</v>
      </c>
    </row>
    <row r="393253" spans="1:1" x14ac:dyDescent="0.3">
      <c r="A393253" s="15" t="s">
        <v>187</v>
      </c>
    </row>
    <row r="393254" spans="1:1" x14ac:dyDescent="0.3">
      <c r="A393254" s="15" t="s">
        <v>188</v>
      </c>
    </row>
    <row r="393255" spans="1:1" x14ac:dyDescent="0.3">
      <c r="A393255" s="15" t="s">
        <v>189</v>
      </c>
    </row>
    <row r="393256" spans="1:1" x14ac:dyDescent="0.3">
      <c r="A393256" s="15" t="s">
        <v>190</v>
      </c>
    </row>
    <row r="393257" spans="1:1" x14ac:dyDescent="0.3">
      <c r="A393257" s="14" t="s">
        <v>47</v>
      </c>
    </row>
    <row r="393258" spans="1:1" x14ac:dyDescent="0.3">
      <c r="A393258" s="14" t="s">
        <v>118</v>
      </c>
    </row>
    <row r="393259" spans="1:1" x14ac:dyDescent="0.3">
      <c r="A393259" s="14" t="s">
        <v>85</v>
      </c>
    </row>
    <row r="393260" spans="1:1" x14ac:dyDescent="0.3">
      <c r="A393260" s="13" t="s">
        <v>21</v>
      </c>
    </row>
    <row r="393261" spans="1:1" x14ac:dyDescent="0.3">
      <c r="A393261" s="14" t="s">
        <v>91</v>
      </c>
    </row>
    <row r="393262" spans="1:1" x14ac:dyDescent="0.3">
      <c r="A393262" s="14" t="s">
        <v>92</v>
      </c>
    </row>
    <row r="393263" spans="1:1" x14ac:dyDescent="0.3">
      <c r="A393263" s="14" t="s">
        <v>98</v>
      </c>
    </row>
    <row r="393264" spans="1:1" x14ac:dyDescent="0.3">
      <c r="A393264" s="14" t="s">
        <v>99</v>
      </c>
    </row>
    <row r="393265" spans="1:1" x14ac:dyDescent="0.3">
      <c r="A393265" s="13" t="s">
        <v>24</v>
      </c>
    </row>
    <row r="393266" spans="1:1" x14ac:dyDescent="0.3">
      <c r="A393266" s="13" t="s">
        <v>82</v>
      </c>
    </row>
    <row r="393267" spans="1:1" x14ac:dyDescent="0.3">
      <c r="A393267" s="13" t="s">
        <v>105</v>
      </c>
    </row>
    <row r="393268" spans="1:1" x14ac:dyDescent="0.3">
      <c r="A393268" s="13" t="s">
        <v>100</v>
      </c>
    </row>
    <row r="393269" spans="1:1" x14ac:dyDescent="0.3">
      <c r="A393269" s="13" t="s">
        <v>101</v>
      </c>
    </row>
    <row r="393270" spans="1:1" x14ac:dyDescent="0.3">
      <c r="A393270" s="13" t="s">
        <v>102</v>
      </c>
    </row>
    <row r="393271" spans="1:1" x14ac:dyDescent="0.3">
      <c r="A393271" s="13" t="s">
        <v>103</v>
      </c>
    </row>
    <row r="393272" spans="1:1" x14ac:dyDescent="0.3">
      <c r="A393272" s="13" t="s">
        <v>104</v>
      </c>
    </row>
    <row r="409602" spans="1:1" x14ac:dyDescent="0.3">
      <c r="A409602" s="13" t="s">
        <v>0</v>
      </c>
    </row>
    <row r="409603" spans="1:1" x14ac:dyDescent="0.3">
      <c r="A409603" s="13" t="s">
        <v>124</v>
      </c>
    </row>
    <row r="409604" spans="1:1" x14ac:dyDescent="0.3">
      <c r="A409604" s="13" t="s">
        <v>1</v>
      </c>
    </row>
    <row r="409605" spans="1:1" x14ac:dyDescent="0.3">
      <c r="A409605" s="13" t="s">
        <v>2</v>
      </c>
    </row>
    <row r="409606" spans="1:1" x14ac:dyDescent="0.3">
      <c r="A409606" s="14" t="s">
        <v>25</v>
      </c>
    </row>
    <row r="409607" spans="1:1" x14ac:dyDescent="0.3">
      <c r="A409607" s="13" t="s">
        <v>125</v>
      </c>
    </row>
    <row r="409608" spans="1:1" x14ac:dyDescent="0.3">
      <c r="A409608" s="13" t="s">
        <v>126</v>
      </c>
    </row>
    <row r="409609" spans="1:1" x14ac:dyDescent="0.3">
      <c r="A409609" s="13" t="s">
        <v>87</v>
      </c>
    </row>
    <row r="409610" spans="1:1" x14ac:dyDescent="0.3">
      <c r="A409610" s="13" t="s">
        <v>22</v>
      </c>
    </row>
    <row r="409611" spans="1:1" x14ac:dyDescent="0.3">
      <c r="A409611" s="13" t="s">
        <v>3</v>
      </c>
    </row>
    <row r="409612" spans="1:1" x14ac:dyDescent="0.3">
      <c r="A409612" s="15" t="s">
        <v>94</v>
      </c>
    </row>
    <row r="409613" spans="1:1" x14ac:dyDescent="0.3">
      <c r="A409613" s="15" t="s">
        <v>93</v>
      </c>
    </row>
    <row r="409614" spans="1:1" x14ac:dyDescent="0.3">
      <c r="A409614" s="15" t="s">
        <v>4</v>
      </c>
    </row>
    <row r="409615" spans="1:1" x14ac:dyDescent="0.3">
      <c r="A409615" s="15" t="s">
        <v>117</v>
      </c>
    </row>
    <row r="409616" spans="1:1" x14ac:dyDescent="0.3">
      <c r="A409616" s="15" t="s">
        <v>5</v>
      </c>
    </row>
    <row r="409617" spans="1:1" x14ac:dyDescent="0.3">
      <c r="A409617" s="15" t="s">
        <v>6</v>
      </c>
    </row>
    <row r="409618" spans="1:1" x14ac:dyDescent="0.3">
      <c r="A409618" s="15" t="s">
        <v>7</v>
      </c>
    </row>
    <row r="409619" spans="1:1" x14ac:dyDescent="0.3">
      <c r="A409619" s="15" t="s">
        <v>8</v>
      </c>
    </row>
    <row r="409620" spans="1:1" x14ac:dyDescent="0.3">
      <c r="A409620" s="15" t="s">
        <v>9</v>
      </c>
    </row>
    <row r="409621" spans="1:1" x14ac:dyDescent="0.3">
      <c r="A409621" s="15" t="s">
        <v>10</v>
      </c>
    </row>
    <row r="409622" spans="1:1" x14ac:dyDescent="0.3">
      <c r="A409622" s="15" t="s">
        <v>11</v>
      </c>
    </row>
    <row r="409623" spans="1:1" x14ac:dyDescent="0.3">
      <c r="A409623" s="15" t="s">
        <v>12</v>
      </c>
    </row>
    <row r="409624" spans="1:1" x14ac:dyDescent="0.3">
      <c r="A409624" s="15" t="s">
        <v>13</v>
      </c>
    </row>
    <row r="409625" spans="1:1" x14ac:dyDescent="0.3">
      <c r="A409625" s="15" t="s">
        <v>14</v>
      </c>
    </row>
    <row r="409626" spans="1:1" x14ac:dyDescent="0.3">
      <c r="A409626" s="13" t="s">
        <v>31</v>
      </c>
    </row>
    <row r="409627" spans="1:1" x14ac:dyDescent="0.3">
      <c r="A409627" s="13" t="s">
        <v>86</v>
      </c>
    </row>
    <row r="409628" spans="1:1" x14ac:dyDescent="0.3">
      <c r="A409628" s="15" t="s">
        <v>30</v>
      </c>
    </row>
    <row r="409629" spans="1:1" x14ac:dyDescent="0.3">
      <c r="A409629" s="15" t="s">
        <v>26</v>
      </c>
    </row>
    <row r="409630" spans="1:1" x14ac:dyDescent="0.3">
      <c r="A409630" s="15" t="s">
        <v>27</v>
      </c>
    </row>
    <row r="409631" spans="1:1" x14ac:dyDescent="0.3">
      <c r="A409631" s="15" t="s">
        <v>28</v>
      </c>
    </row>
    <row r="409632" spans="1:1" x14ac:dyDescent="0.3">
      <c r="A409632" s="15" t="s">
        <v>88</v>
      </c>
    </row>
    <row r="409633" spans="1:1" x14ac:dyDescent="0.3">
      <c r="A409633" s="15" t="s">
        <v>89</v>
      </c>
    </row>
    <row r="409634" spans="1:1" x14ac:dyDescent="0.3">
      <c r="A409634" s="15" t="s">
        <v>184</v>
      </c>
    </row>
    <row r="409635" spans="1:1" x14ac:dyDescent="0.3">
      <c r="A409635" s="15" t="s">
        <v>185</v>
      </c>
    </row>
    <row r="409636" spans="1:1" x14ac:dyDescent="0.3">
      <c r="A409636" s="15" t="s">
        <v>186</v>
      </c>
    </row>
    <row r="409637" spans="1:1" x14ac:dyDescent="0.3">
      <c r="A409637" s="15" t="s">
        <v>187</v>
      </c>
    </row>
    <row r="409638" spans="1:1" x14ac:dyDescent="0.3">
      <c r="A409638" s="15" t="s">
        <v>188</v>
      </c>
    </row>
    <row r="409639" spans="1:1" x14ac:dyDescent="0.3">
      <c r="A409639" s="15" t="s">
        <v>189</v>
      </c>
    </row>
    <row r="409640" spans="1:1" x14ac:dyDescent="0.3">
      <c r="A409640" s="15" t="s">
        <v>190</v>
      </c>
    </row>
    <row r="409641" spans="1:1" x14ac:dyDescent="0.3">
      <c r="A409641" s="14" t="s">
        <v>47</v>
      </c>
    </row>
    <row r="409642" spans="1:1" x14ac:dyDescent="0.3">
      <c r="A409642" s="14" t="s">
        <v>118</v>
      </c>
    </row>
    <row r="409643" spans="1:1" x14ac:dyDescent="0.3">
      <c r="A409643" s="14" t="s">
        <v>85</v>
      </c>
    </row>
    <row r="409644" spans="1:1" x14ac:dyDescent="0.3">
      <c r="A409644" s="13" t="s">
        <v>21</v>
      </c>
    </row>
    <row r="409645" spans="1:1" x14ac:dyDescent="0.3">
      <c r="A409645" s="14" t="s">
        <v>91</v>
      </c>
    </row>
    <row r="409646" spans="1:1" x14ac:dyDescent="0.3">
      <c r="A409646" s="14" t="s">
        <v>92</v>
      </c>
    </row>
    <row r="409647" spans="1:1" x14ac:dyDescent="0.3">
      <c r="A409647" s="14" t="s">
        <v>98</v>
      </c>
    </row>
    <row r="409648" spans="1:1" x14ac:dyDescent="0.3">
      <c r="A409648" s="14" t="s">
        <v>99</v>
      </c>
    </row>
    <row r="409649" spans="1:1" x14ac:dyDescent="0.3">
      <c r="A409649" s="13" t="s">
        <v>24</v>
      </c>
    </row>
    <row r="409650" spans="1:1" x14ac:dyDescent="0.3">
      <c r="A409650" s="13" t="s">
        <v>82</v>
      </c>
    </row>
    <row r="409651" spans="1:1" x14ac:dyDescent="0.3">
      <c r="A409651" s="13" t="s">
        <v>105</v>
      </c>
    </row>
    <row r="409652" spans="1:1" x14ac:dyDescent="0.3">
      <c r="A409652" s="13" t="s">
        <v>100</v>
      </c>
    </row>
    <row r="409653" spans="1:1" x14ac:dyDescent="0.3">
      <c r="A409653" s="13" t="s">
        <v>101</v>
      </c>
    </row>
    <row r="409654" spans="1:1" x14ac:dyDescent="0.3">
      <c r="A409654" s="13" t="s">
        <v>102</v>
      </c>
    </row>
    <row r="409655" spans="1:1" x14ac:dyDescent="0.3">
      <c r="A409655" s="13" t="s">
        <v>103</v>
      </c>
    </row>
    <row r="409656" spans="1:1" x14ac:dyDescent="0.3">
      <c r="A409656" s="13" t="s">
        <v>104</v>
      </c>
    </row>
    <row r="425986" spans="1:1" x14ac:dyDescent="0.3">
      <c r="A425986" s="13" t="s">
        <v>0</v>
      </c>
    </row>
    <row r="425987" spans="1:1" x14ac:dyDescent="0.3">
      <c r="A425987" s="13" t="s">
        <v>124</v>
      </c>
    </row>
    <row r="425988" spans="1:1" x14ac:dyDescent="0.3">
      <c r="A425988" s="13" t="s">
        <v>1</v>
      </c>
    </row>
    <row r="425989" spans="1:1" x14ac:dyDescent="0.3">
      <c r="A425989" s="13" t="s">
        <v>2</v>
      </c>
    </row>
    <row r="425990" spans="1:1" x14ac:dyDescent="0.3">
      <c r="A425990" s="14" t="s">
        <v>25</v>
      </c>
    </row>
    <row r="425991" spans="1:1" x14ac:dyDescent="0.3">
      <c r="A425991" s="13" t="s">
        <v>125</v>
      </c>
    </row>
    <row r="425992" spans="1:1" x14ac:dyDescent="0.3">
      <c r="A425992" s="13" t="s">
        <v>126</v>
      </c>
    </row>
    <row r="425993" spans="1:1" x14ac:dyDescent="0.3">
      <c r="A425993" s="13" t="s">
        <v>87</v>
      </c>
    </row>
    <row r="425994" spans="1:1" x14ac:dyDescent="0.3">
      <c r="A425994" s="13" t="s">
        <v>22</v>
      </c>
    </row>
    <row r="425995" spans="1:1" x14ac:dyDescent="0.3">
      <c r="A425995" s="13" t="s">
        <v>3</v>
      </c>
    </row>
    <row r="425996" spans="1:1" x14ac:dyDescent="0.3">
      <c r="A425996" s="15" t="s">
        <v>94</v>
      </c>
    </row>
    <row r="425997" spans="1:1" x14ac:dyDescent="0.3">
      <c r="A425997" s="15" t="s">
        <v>93</v>
      </c>
    </row>
    <row r="425998" spans="1:1" x14ac:dyDescent="0.3">
      <c r="A425998" s="15" t="s">
        <v>4</v>
      </c>
    </row>
    <row r="425999" spans="1:1" x14ac:dyDescent="0.3">
      <c r="A425999" s="15" t="s">
        <v>117</v>
      </c>
    </row>
    <row r="426000" spans="1:1" x14ac:dyDescent="0.3">
      <c r="A426000" s="15" t="s">
        <v>5</v>
      </c>
    </row>
    <row r="426001" spans="1:1" x14ac:dyDescent="0.3">
      <c r="A426001" s="15" t="s">
        <v>6</v>
      </c>
    </row>
    <row r="426002" spans="1:1" x14ac:dyDescent="0.3">
      <c r="A426002" s="15" t="s">
        <v>7</v>
      </c>
    </row>
    <row r="426003" spans="1:1" x14ac:dyDescent="0.3">
      <c r="A426003" s="15" t="s">
        <v>8</v>
      </c>
    </row>
    <row r="426004" spans="1:1" x14ac:dyDescent="0.3">
      <c r="A426004" s="15" t="s">
        <v>9</v>
      </c>
    </row>
    <row r="426005" spans="1:1" x14ac:dyDescent="0.3">
      <c r="A426005" s="15" t="s">
        <v>10</v>
      </c>
    </row>
    <row r="426006" spans="1:1" x14ac:dyDescent="0.3">
      <c r="A426006" s="15" t="s">
        <v>11</v>
      </c>
    </row>
    <row r="426007" spans="1:1" x14ac:dyDescent="0.3">
      <c r="A426007" s="15" t="s">
        <v>12</v>
      </c>
    </row>
    <row r="426008" spans="1:1" x14ac:dyDescent="0.3">
      <c r="A426008" s="15" t="s">
        <v>13</v>
      </c>
    </row>
    <row r="426009" spans="1:1" x14ac:dyDescent="0.3">
      <c r="A426009" s="15" t="s">
        <v>14</v>
      </c>
    </row>
    <row r="426010" spans="1:1" x14ac:dyDescent="0.3">
      <c r="A426010" s="13" t="s">
        <v>31</v>
      </c>
    </row>
    <row r="426011" spans="1:1" x14ac:dyDescent="0.3">
      <c r="A426011" s="13" t="s">
        <v>86</v>
      </c>
    </row>
    <row r="426012" spans="1:1" x14ac:dyDescent="0.3">
      <c r="A426012" s="15" t="s">
        <v>30</v>
      </c>
    </row>
    <row r="426013" spans="1:1" x14ac:dyDescent="0.3">
      <c r="A426013" s="15" t="s">
        <v>26</v>
      </c>
    </row>
    <row r="426014" spans="1:1" x14ac:dyDescent="0.3">
      <c r="A426014" s="15" t="s">
        <v>27</v>
      </c>
    </row>
    <row r="426015" spans="1:1" x14ac:dyDescent="0.3">
      <c r="A426015" s="15" t="s">
        <v>28</v>
      </c>
    </row>
    <row r="426016" spans="1:1" x14ac:dyDescent="0.3">
      <c r="A426016" s="15" t="s">
        <v>88</v>
      </c>
    </row>
    <row r="426017" spans="1:1" x14ac:dyDescent="0.3">
      <c r="A426017" s="15" t="s">
        <v>89</v>
      </c>
    </row>
    <row r="426018" spans="1:1" x14ac:dyDescent="0.3">
      <c r="A426018" s="15" t="s">
        <v>184</v>
      </c>
    </row>
    <row r="426019" spans="1:1" x14ac:dyDescent="0.3">
      <c r="A426019" s="15" t="s">
        <v>185</v>
      </c>
    </row>
    <row r="426020" spans="1:1" x14ac:dyDescent="0.3">
      <c r="A426020" s="15" t="s">
        <v>186</v>
      </c>
    </row>
    <row r="426021" spans="1:1" x14ac:dyDescent="0.3">
      <c r="A426021" s="15" t="s">
        <v>187</v>
      </c>
    </row>
    <row r="426022" spans="1:1" x14ac:dyDescent="0.3">
      <c r="A426022" s="15" t="s">
        <v>188</v>
      </c>
    </row>
    <row r="426023" spans="1:1" x14ac:dyDescent="0.3">
      <c r="A426023" s="15" t="s">
        <v>189</v>
      </c>
    </row>
    <row r="426024" spans="1:1" x14ac:dyDescent="0.3">
      <c r="A426024" s="15" t="s">
        <v>190</v>
      </c>
    </row>
    <row r="426025" spans="1:1" x14ac:dyDescent="0.3">
      <c r="A426025" s="14" t="s">
        <v>47</v>
      </c>
    </row>
    <row r="426026" spans="1:1" x14ac:dyDescent="0.3">
      <c r="A426026" s="14" t="s">
        <v>118</v>
      </c>
    </row>
    <row r="426027" spans="1:1" x14ac:dyDescent="0.3">
      <c r="A426027" s="14" t="s">
        <v>85</v>
      </c>
    </row>
    <row r="426028" spans="1:1" x14ac:dyDescent="0.3">
      <c r="A426028" s="13" t="s">
        <v>21</v>
      </c>
    </row>
    <row r="426029" spans="1:1" x14ac:dyDescent="0.3">
      <c r="A426029" s="14" t="s">
        <v>91</v>
      </c>
    </row>
    <row r="426030" spans="1:1" x14ac:dyDescent="0.3">
      <c r="A426030" s="14" t="s">
        <v>92</v>
      </c>
    </row>
    <row r="426031" spans="1:1" x14ac:dyDescent="0.3">
      <c r="A426031" s="14" t="s">
        <v>98</v>
      </c>
    </row>
    <row r="426032" spans="1:1" x14ac:dyDescent="0.3">
      <c r="A426032" s="14" t="s">
        <v>99</v>
      </c>
    </row>
    <row r="426033" spans="1:1" x14ac:dyDescent="0.3">
      <c r="A426033" s="13" t="s">
        <v>24</v>
      </c>
    </row>
    <row r="426034" spans="1:1" x14ac:dyDescent="0.3">
      <c r="A426034" s="13" t="s">
        <v>82</v>
      </c>
    </row>
    <row r="426035" spans="1:1" x14ac:dyDescent="0.3">
      <c r="A426035" s="13" t="s">
        <v>105</v>
      </c>
    </row>
    <row r="426036" spans="1:1" x14ac:dyDescent="0.3">
      <c r="A426036" s="13" t="s">
        <v>100</v>
      </c>
    </row>
    <row r="426037" spans="1:1" x14ac:dyDescent="0.3">
      <c r="A426037" s="13" t="s">
        <v>101</v>
      </c>
    </row>
    <row r="426038" spans="1:1" x14ac:dyDescent="0.3">
      <c r="A426038" s="13" t="s">
        <v>102</v>
      </c>
    </row>
    <row r="426039" spans="1:1" x14ac:dyDescent="0.3">
      <c r="A426039" s="13" t="s">
        <v>103</v>
      </c>
    </row>
    <row r="426040" spans="1:1" x14ac:dyDescent="0.3">
      <c r="A426040" s="13" t="s">
        <v>104</v>
      </c>
    </row>
    <row r="442370" spans="1:1" x14ac:dyDescent="0.3">
      <c r="A442370" s="13" t="s">
        <v>0</v>
      </c>
    </row>
    <row r="442371" spans="1:1" x14ac:dyDescent="0.3">
      <c r="A442371" s="13" t="s">
        <v>124</v>
      </c>
    </row>
    <row r="442372" spans="1:1" x14ac:dyDescent="0.3">
      <c r="A442372" s="13" t="s">
        <v>1</v>
      </c>
    </row>
    <row r="442373" spans="1:1" x14ac:dyDescent="0.3">
      <c r="A442373" s="13" t="s">
        <v>2</v>
      </c>
    </row>
    <row r="442374" spans="1:1" x14ac:dyDescent="0.3">
      <c r="A442374" s="14" t="s">
        <v>25</v>
      </c>
    </row>
    <row r="442375" spans="1:1" x14ac:dyDescent="0.3">
      <c r="A442375" s="13" t="s">
        <v>125</v>
      </c>
    </row>
    <row r="442376" spans="1:1" x14ac:dyDescent="0.3">
      <c r="A442376" s="13" t="s">
        <v>126</v>
      </c>
    </row>
    <row r="442377" spans="1:1" x14ac:dyDescent="0.3">
      <c r="A442377" s="13" t="s">
        <v>87</v>
      </c>
    </row>
    <row r="442378" spans="1:1" x14ac:dyDescent="0.3">
      <c r="A442378" s="13" t="s">
        <v>22</v>
      </c>
    </row>
    <row r="442379" spans="1:1" x14ac:dyDescent="0.3">
      <c r="A442379" s="13" t="s">
        <v>3</v>
      </c>
    </row>
    <row r="442380" spans="1:1" x14ac:dyDescent="0.3">
      <c r="A442380" s="15" t="s">
        <v>94</v>
      </c>
    </row>
    <row r="442381" spans="1:1" x14ac:dyDescent="0.3">
      <c r="A442381" s="15" t="s">
        <v>93</v>
      </c>
    </row>
    <row r="442382" spans="1:1" x14ac:dyDescent="0.3">
      <c r="A442382" s="15" t="s">
        <v>4</v>
      </c>
    </row>
    <row r="442383" spans="1:1" x14ac:dyDescent="0.3">
      <c r="A442383" s="15" t="s">
        <v>117</v>
      </c>
    </row>
    <row r="442384" spans="1:1" x14ac:dyDescent="0.3">
      <c r="A442384" s="15" t="s">
        <v>5</v>
      </c>
    </row>
    <row r="442385" spans="1:1" x14ac:dyDescent="0.3">
      <c r="A442385" s="15" t="s">
        <v>6</v>
      </c>
    </row>
    <row r="442386" spans="1:1" x14ac:dyDescent="0.3">
      <c r="A442386" s="15" t="s">
        <v>7</v>
      </c>
    </row>
    <row r="442387" spans="1:1" x14ac:dyDescent="0.3">
      <c r="A442387" s="15" t="s">
        <v>8</v>
      </c>
    </row>
    <row r="442388" spans="1:1" x14ac:dyDescent="0.3">
      <c r="A442388" s="15" t="s">
        <v>9</v>
      </c>
    </row>
    <row r="442389" spans="1:1" x14ac:dyDescent="0.3">
      <c r="A442389" s="15" t="s">
        <v>10</v>
      </c>
    </row>
    <row r="442390" spans="1:1" x14ac:dyDescent="0.3">
      <c r="A442390" s="15" t="s">
        <v>11</v>
      </c>
    </row>
    <row r="442391" spans="1:1" x14ac:dyDescent="0.3">
      <c r="A442391" s="15" t="s">
        <v>12</v>
      </c>
    </row>
    <row r="442392" spans="1:1" x14ac:dyDescent="0.3">
      <c r="A442392" s="15" t="s">
        <v>13</v>
      </c>
    </row>
    <row r="442393" spans="1:1" x14ac:dyDescent="0.3">
      <c r="A442393" s="15" t="s">
        <v>14</v>
      </c>
    </row>
    <row r="442394" spans="1:1" x14ac:dyDescent="0.3">
      <c r="A442394" s="13" t="s">
        <v>31</v>
      </c>
    </row>
    <row r="442395" spans="1:1" x14ac:dyDescent="0.3">
      <c r="A442395" s="13" t="s">
        <v>86</v>
      </c>
    </row>
    <row r="442396" spans="1:1" x14ac:dyDescent="0.3">
      <c r="A442396" s="15" t="s">
        <v>30</v>
      </c>
    </row>
    <row r="442397" spans="1:1" x14ac:dyDescent="0.3">
      <c r="A442397" s="15" t="s">
        <v>26</v>
      </c>
    </row>
    <row r="442398" spans="1:1" x14ac:dyDescent="0.3">
      <c r="A442398" s="15" t="s">
        <v>27</v>
      </c>
    </row>
    <row r="442399" spans="1:1" x14ac:dyDescent="0.3">
      <c r="A442399" s="15" t="s">
        <v>28</v>
      </c>
    </row>
    <row r="442400" spans="1:1" x14ac:dyDescent="0.3">
      <c r="A442400" s="15" t="s">
        <v>88</v>
      </c>
    </row>
    <row r="442401" spans="1:1" x14ac:dyDescent="0.3">
      <c r="A442401" s="15" t="s">
        <v>89</v>
      </c>
    </row>
    <row r="442402" spans="1:1" x14ac:dyDescent="0.3">
      <c r="A442402" s="15" t="s">
        <v>184</v>
      </c>
    </row>
    <row r="442403" spans="1:1" x14ac:dyDescent="0.3">
      <c r="A442403" s="15" t="s">
        <v>185</v>
      </c>
    </row>
    <row r="442404" spans="1:1" x14ac:dyDescent="0.3">
      <c r="A442404" s="15" t="s">
        <v>186</v>
      </c>
    </row>
    <row r="442405" spans="1:1" x14ac:dyDescent="0.3">
      <c r="A442405" s="15" t="s">
        <v>187</v>
      </c>
    </row>
    <row r="442406" spans="1:1" x14ac:dyDescent="0.3">
      <c r="A442406" s="15" t="s">
        <v>188</v>
      </c>
    </row>
    <row r="442407" spans="1:1" x14ac:dyDescent="0.3">
      <c r="A442407" s="15" t="s">
        <v>189</v>
      </c>
    </row>
    <row r="442408" spans="1:1" x14ac:dyDescent="0.3">
      <c r="A442408" s="15" t="s">
        <v>190</v>
      </c>
    </row>
    <row r="442409" spans="1:1" x14ac:dyDescent="0.3">
      <c r="A442409" s="14" t="s">
        <v>47</v>
      </c>
    </row>
    <row r="442410" spans="1:1" x14ac:dyDescent="0.3">
      <c r="A442410" s="14" t="s">
        <v>118</v>
      </c>
    </row>
    <row r="442411" spans="1:1" x14ac:dyDescent="0.3">
      <c r="A442411" s="14" t="s">
        <v>85</v>
      </c>
    </row>
    <row r="442412" spans="1:1" x14ac:dyDescent="0.3">
      <c r="A442412" s="13" t="s">
        <v>21</v>
      </c>
    </row>
    <row r="442413" spans="1:1" x14ac:dyDescent="0.3">
      <c r="A442413" s="14" t="s">
        <v>91</v>
      </c>
    </row>
    <row r="442414" spans="1:1" x14ac:dyDescent="0.3">
      <c r="A442414" s="14" t="s">
        <v>92</v>
      </c>
    </row>
    <row r="442415" spans="1:1" x14ac:dyDescent="0.3">
      <c r="A442415" s="14" t="s">
        <v>98</v>
      </c>
    </row>
    <row r="442416" spans="1:1" x14ac:dyDescent="0.3">
      <c r="A442416" s="14" t="s">
        <v>99</v>
      </c>
    </row>
    <row r="442417" spans="1:1" x14ac:dyDescent="0.3">
      <c r="A442417" s="13" t="s">
        <v>24</v>
      </c>
    </row>
    <row r="442418" spans="1:1" x14ac:dyDescent="0.3">
      <c r="A442418" s="13" t="s">
        <v>82</v>
      </c>
    </row>
    <row r="442419" spans="1:1" x14ac:dyDescent="0.3">
      <c r="A442419" s="13" t="s">
        <v>105</v>
      </c>
    </row>
    <row r="442420" spans="1:1" x14ac:dyDescent="0.3">
      <c r="A442420" s="13" t="s">
        <v>100</v>
      </c>
    </row>
    <row r="442421" spans="1:1" x14ac:dyDescent="0.3">
      <c r="A442421" s="13" t="s">
        <v>101</v>
      </c>
    </row>
    <row r="442422" spans="1:1" x14ac:dyDescent="0.3">
      <c r="A442422" s="13" t="s">
        <v>102</v>
      </c>
    </row>
    <row r="442423" spans="1:1" x14ac:dyDescent="0.3">
      <c r="A442423" s="13" t="s">
        <v>103</v>
      </c>
    </row>
    <row r="442424" spans="1:1" x14ac:dyDescent="0.3">
      <c r="A442424" s="13" t="s">
        <v>104</v>
      </c>
    </row>
    <row r="458754" spans="1:1" x14ac:dyDescent="0.3">
      <c r="A458754" s="13" t="s">
        <v>0</v>
      </c>
    </row>
    <row r="458755" spans="1:1" x14ac:dyDescent="0.3">
      <c r="A458755" s="13" t="s">
        <v>124</v>
      </c>
    </row>
    <row r="458756" spans="1:1" x14ac:dyDescent="0.3">
      <c r="A458756" s="13" t="s">
        <v>1</v>
      </c>
    </row>
    <row r="458757" spans="1:1" x14ac:dyDescent="0.3">
      <c r="A458757" s="13" t="s">
        <v>2</v>
      </c>
    </row>
    <row r="458758" spans="1:1" x14ac:dyDescent="0.3">
      <c r="A458758" s="14" t="s">
        <v>25</v>
      </c>
    </row>
    <row r="458759" spans="1:1" x14ac:dyDescent="0.3">
      <c r="A458759" s="13" t="s">
        <v>125</v>
      </c>
    </row>
    <row r="458760" spans="1:1" x14ac:dyDescent="0.3">
      <c r="A458760" s="13" t="s">
        <v>126</v>
      </c>
    </row>
    <row r="458761" spans="1:1" x14ac:dyDescent="0.3">
      <c r="A458761" s="13" t="s">
        <v>87</v>
      </c>
    </row>
    <row r="458762" spans="1:1" x14ac:dyDescent="0.3">
      <c r="A458762" s="13" t="s">
        <v>22</v>
      </c>
    </row>
    <row r="458763" spans="1:1" x14ac:dyDescent="0.3">
      <c r="A458763" s="13" t="s">
        <v>3</v>
      </c>
    </row>
    <row r="458764" spans="1:1" x14ac:dyDescent="0.3">
      <c r="A458764" s="15" t="s">
        <v>94</v>
      </c>
    </row>
    <row r="458765" spans="1:1" x14ac:dyDescent="0.3">
      <c r="A458765" s="15" t="s">
        <v>93</v>
      </c>
    </row>
    <row r="458766" spans="1:1" x14ac:dyDescent="0.3">
      <c r="A458766" s="15" t="s">
        <v>4</v>
      </c>
    </row>
    <row r="458767" spans="1:1" x14ac:dyDescent="0.3">
      <c r="A458767" s="15" t="s">
        <v>117</v>
      </c>
    </row>
    <row r="458768" spans="1:1" x14ac:dyDescent="0.3">
      <c r="A458768" s="15" t="s">
        <v>5</v>
      </c>
    </row>
    <row r="458769" spans="1:1" x14ac:dyDescent="0.3">
      <c r="A458769" s="15" t="s">
        <v>6</v>
      </c>
    </row>
    <row r="458770" spans="1:1" x14ac:dyDescent="0.3">
      <c r="A458770" s="15" t="s">
        <v>7</v>
      </c>
    </row>
    <row r="458771" spans="1:1" x14ac:dyDescent="0.3">
      <c r="A458771" s="15" t="s">
        <v>8</v>
      </c>
    </row>
    <row r="458772" spans="1:1" x14ac:dyDescent="0.3">
      <c r="A458772" s="15" t="s">
        <v>9</v>
      </c>
    </row>
    <row r="458773" spans="1:1" x14ac:dyDescent="0.3">
      <c r="A458773" s="15" t="s">
        <v>10</v>
      </c>
    </row>
    <row r="458774" spans="1:1" x14ac:dyDescent="0.3">
      <c r="A458774" s="15" t="s">
        <v>11</v>
      </c>
    </row>
    <row r="458775" spans="1:1" x14ac:dyDescent="0.3">
      <c r="A458775" s="15" t="s">
        <v>12</v>
      </c>
    </row>
    <row r="458776" spans="1:1" x14ac:dyDescent="0.3">
      <c r="A458776" s="15" t="s">
        <v>13</v>
      </c>
    </row>
    <row r="458777" spans="1:1" x14ac:dyDescent="0.3">
      <c r="A458777" s="15" t="s">
        <v>14</v>
      </c>
    </row>
    <row r="458778" spans="1:1" x14ac:dyDescent="0.3">
      <c r="A458778" s="13" t="s">
        <v>31</v>
      </c>
    </row>
    <row r="458779" spans="1:1" x14ac:dyDescent="0.3">
      <c r="A458779" s="13" t="s">
        <v>86</v>
      </c>
    </row>
    <row r="458780" spans="1:1" x14ac:dyDescent="0.3">
      <c r="A458780" s="15" t="s">
        <v>30</v>
      </c>
    </row>
    <row r="458781" spans="1:1" x14ac:dyDescent="0.3">
      <c r="A458781" s="15" t="s">
        <v>26</v>
      </c>
    </row>
    <row r="458782" spans="1:1" x14ac:dyDescent="0.3">
      <c r="A458782" s="15" t="s">
        <v>27</v>
      </c>
    </row>
    <row r="458783" spans="1:1" x14ac:dyDescent="0.3">
      <c r="A458783" s="15" t="s">
        <v>28</v>
      </c>
    </row>
    <row r="458784" spans="1:1" x14ac:dyDescent="0.3">
      <c r="A458784" s="15" t="s">
        <v>88</v>
      </c>
    </row>
    <row r="458785" spans="1:1" x14ac:dyDescent="0.3">
      <c r="A458785" s="15" t="s">
        <v>89</v>
      </c>
    </row>
    <row r="458786" spans="1:1" x14ac:dyDescent="0.3">
      <c r="A458786" s="15" t="s">
        <v>184</v>
      </c>
    </row>
    <row r="458787" spans="1:1" x14ac:dyDescent="0.3">
      <c r="A458787" s="15" t="s">
        <v>185</v>
      </c>
    </row>
    <row r="458788" spans="1:1" x14ac:dyDescent="0.3">
      <c r="A458788" s="15" t="s">
        <v>186</v>
      </c>
    </row>
    <row r="458789" spans="1:1" x14ac:dyDescent="0.3">
      <c r="A458789" s="15" t="s">
        <v>187</v>
      </c>
    </row>
    <row r="458790" spans="1:1" x14ac:dyDescent="0.3">
      <c r="A458790" s="15" t="s">
        <v>188</v>
      </c>
    </row>
    <row r="458791" spans="1:1" x14ac:dyDescent="0.3">
      <c r="A458791" s="15" t="s">
        <v>189</v>
      </c>
    </row>
    <row r="458792" spans="1:1" x14ac:dyDescent="0.3">
      <c r="A458792" s="15" t="s">
        <v>190</v>
      </c>
    </row>
    <row r="458793" spans="1:1" x14ac:dyDescent="0.3">
      <c r="A458793" s="14" t="s">
        <v>47</v>
      </c>
    </row>
    <row r="458794" spans="1:1" x14ac:dyDescent="0.3">
      <c r="A458794" s="14" t="s">
        <v>118</v>
      </c>
    </row>
    <row r="458795" spans="1:1" x14ac:dyDescent="0.3">
      <c r="A458795" s="14" t="s">
        <v>85</v>
      </c>
    </row>
    <row r="458796" spans="1:1" x14ac:dyDescent="0.3">
      <c r="A458796" s="13" t="s">
        <v>21</v>
      </c>
    </row>
    <row r="458797" spans="1:1" x14ac:dyDescent="0.3">
      <c r="A458797" s="14" t="s">
        <v>91</v>
      </c>
    </row>
    <row r="458798" spans="1:1" x14ac:dyDescent="0.3">
      <c r="A458798" s="14" t="s">
        <v>92</v>
      </c>
    </row>
    <row r="458799" spans="1:1" x14ac:dyDescent="0.3">
      <c r="A458799" s="14" t="s">
        <v>98</v>
      </c>
    </row>
    <row r="458800" spans="1:1" x14ac:dyDescent="0.3">
      <c r="A458800" s="14" t="s">
        <v>99</v>
      </c>
    </row>
    <row r="458801" spans="1:1" x14ac:dyDescent="0.3">
      <c r="A458801" s="13" t="s">
        <v>24</v>
      </c>
    </row>
    <row r="458802" spans="1:1" x14ac:dyDescent="0.3">
      <c r="A458802" s="13" t="s">
        <v>82</v>
      </c>
    </row>
    <row r="458803" spans="1:1" x14ac:dyDescent="0.3">
      <c r="A458803" s="13" t="s">
        <v>105</v>
      </c>
    </row>
    <row r="458804" spans="1:1" x14ac:dyDescent="0.3">
      <c r="A458804" s="13" t="s">
        <v>100</v>
      </c>
    </row>
    <row r="458805" spans="1:1" x14ac:dyDescent="0.3">
      <c r="A458805" s="13" t="s">
        <v>101</v>
      </c>
    </row>
    <row r="458806" spans="1:1" x14ac:dyDescent="0.3">
      <c r="A458806" s="13" t="s">
        <v>102</v>
      </c>
    </row>
    <row r="458807" spans="1:1" x14ac:dyDescent="0.3">
      <c r="A458807" s="13" t="s">
        <v>103</v>
      </c>
    </row>
    <row r="458808" spans="1:1" x14ac:dyDescent="0.3">
      <c r="A458808" s="13" t="s">
        <v>104</v>
      </c>
    </row>
    <row r="475138" spans="1:1" x14ac:dyDescent="0.3">
      <c r="A475138" s="13" t="s">
        <v>0</v>
      </c>
    </row>
    <row r="475139" spans="1:1" x14ac:dyDescent="0.3">
      <c r="A475139" s="13" t="s">
        <v>124</v>
      </c>
    </row>
    <row r="475140" spans="1:1" x14ac:dyDescent="0.3">
      <c r="A475140" s="13" t="s">
        <v>1</v>
      </c>
    </row>
    <row r="475141" spans="1:1" x14ac:dyDescent="0.3">
      <c r="A475141" s="13" t="s">
        <v>2</v>
      </c>
    </row>
    <row r="475142" spans="1:1" x14ac:dyDescent="0.3">
      <c r="A475142" s="14" t="s">
        <v>25</v>
      </c>
    </row>
    <row r="475143" spans="1:1" x14ac:dyDescent="0.3">
      <c r="A475143" s="13" t="s">
        <v>125</v>
      </c>
    </row>
    <row r="475144" spans="1:1" x14ac:dyDescent="0.3">
      <c r="A475144" s="13" t="s">
        <v>126</v>
      </c>
    </row>
    <row r="475145" spans="1:1" x14ac:dyDescent="0.3">
      <c r="A475145" s="13" t="s">
        <v>87</v>
      </c>
    </row>
    <row r="475146" spans="1:1" x14ac:dyDescent="0.3">
      <c r="A475146" s="13" t="s">
        <v>22</v>
      </c>
    </row>
    <row r="475147" spans="1:1" x14ac:dyDescent="0.3">
      <c r="A475147" s="13" t="s">
        <v>3</v>
      </c>
    </row>
    <row r="475148" spans="1:1" x14ac:dyDescent="0.3">
      <c r="A475148" s="15" t="s">
        <v>94</v>
      </c>
    </row>
    <row r="475149" spans="1:1" x14ac:dyDescent="0.3">
      <c r="A475149" s="15" t="s">
        <v>93</v>
      </c>
    </row>
    <row r="475150" spans="1:1" x14ac:dyDescent="0.3">
      <c r="A475150" s="15" t="s">
        <v>4</v>
      </c>
    </row>
    <row r="475151" spans="1:1" x14ac:dyDescent="0.3">
      <c r="A475151" s="15" t="s">
        <v>117</v>
      </c>
    </row>
    <row r="475152" spans="1:1" x14ac:dyDescent="0.3">
      <c r="A475152" s="15" t="s">
        <v>5</v>
      </c>
    </row>
    <row r="475153" spans="1:1" x14ac:dyDescent="0.3">
      <c r="A475153" s="15" t="s">
        <v>6</v>
      </c>
    </row>
    <row r="475154" spans="1:1" x14ac:dyDescent="0.3">
      <c r="A475154" s="15" t="s">
        <v>7</v>
      </c>
    </row>
    <row r="475155" spans="1:1" x14ac:dyDescent="0.3">
      <c r="A475155" s="15" t="s">
        <v>8</v>
      </c>
    </row>
    <row r="475156" spans="1:1" x14ac:dyDescent="0.3">
      <c r="A475156" s="15" t="s">
        <v>9</v>
      </c>
    </row>
    <row r="475157" spans="1:1" x14ac:dyDescent="0.3">
      <c r="A475157" s="15" t="s">
        <v>10</v>
      </c>
    </row>
    <row r="475158" spans="1:1" x14ac:dyDescent="0.3">
      <c r="A475158" s="15" t="s">
        <v>11</v>
      </c>
    </row>
    <row r="475159" spans="1:1" x14ac:dyDescent="0.3">
      <c r="A475159" s="15" t="s">
        <v>12</v>
      </c>
    </row>
    <row r="475160" spans="1:1" x14ac:dyDescent="0.3">
      <c r="A475160" s="15" t="s">
        <v>13</v>
      </c>
    </row>
    <row r="475161" spans="1:1" x14ac:dyDescent="0.3">
      <c r="A475161" s="15" t="s">
        <v>14</v>
      </c>
    </row>
    <row r="475162" spans="1:1" x14ac:dyDescent="0.3">
      <c r="A475162" s="13" t="s">
        <v>31</v>
      </c>
    </row>
    <row r="475163" spans="1:1" x14ac:dyDescent="0.3">
      <c r="A475163" s="13" t="s">
        <v>86</v>
      </c>
    </row>
    <row r="475164" spans="1:1" x14ac:dyDescent="0.3">
      <c r="A475164" s="15" t="s">
        <v>30</v>
      </c>
    </row>
    <row r="475165" spans="1:1" x14ac:dyDescent="0.3">
      <c r="A475165" s="15" t="s">
        <v>26</v>
      </c>
    </row>
    <row r="475166" spans="1:1" x14ac:dyDescent="0.3">
      <c r="A475166" s="15" t="s">
        <v>27</v>
      </c>
    </row>
    <row r="475167" spans="1:1" x14ac:dyDescent="0.3">
      <c r="A475167" s="15" t="s">
        <v>28</v>
      </c>
    </row>
    <row r="475168" spans="1:1" x14ac:dyDescent="0.3">
      <c r="A475168" s="15" t="s">
        <v>88</v>
      </c>
    </row>
    <row r="475169" spans="1:1" x14ac:dyDescent="0.3">
      <c r="A475169" s="15" t="s">
        <v>89</v>
      </c>
    </row>
    <row r="475170" spans="1:1" x14ac:dyDescent="0.3">
      <c r="A475170" s="15" t="s">
        <v>184</v>
      </c>
    </row>
    <row r="475171" spans="1:1" x14ac:dyDescent="0.3">
      <c r="A475171" s="15" t="s">
        <v>185</v>
      </c>
    </row>
    <row r="475172" spans="1:1" x14ac:dyDescent="0.3">
      <c r="A475172" s="15" t="s">
        <v>186</v>
      </c>
    </row>
    <row r="475173" spans="1:1" x14ac:dyDescent="0.3">
      <c r="A475173" s="15" t="s">
        <v>187</v>
      </c>
    </row>
    <row r="475174" spans="1:1" x14ac:dyDescent="0.3">
      <c r="A475174" s="15" t="s">
        <v>188</v>
      </c>
    </row>
    <row r="475175" spans="1:1" x14ac:dyDescent="0.3">
      <c r="A475175" s="15" t="s">
        <v>189</v>
      </c>
    </row>
    <row r="475176" spans="1:1" x14ac:dyDescent="0.3">
      <c r="A475176" s="15" t="s">
        <v>190</v>
      </c>
    </row>
    <row r="475177" spans="1:1" x14ac:dyDescent="0.3">
      <c r="A475177" s="14" t="s">
        <v>47</v>
      </c>
    </row>
    <row r="475178" spans="1:1" x14ac:dyDescent="0.3">
      <c r="A475178" s="14" t="s">
        <v>118</v>
      </c>
    </row>
    <row r="475179" spans="1:1" x14ac:dyDescent="0.3">
      <c r="A475179" s="14" t="s">
        <v>85</v>
      </c>
    </row>
    <row r="475180" spans="1:1" x14ac:dyDescent="0.3">
      <c r="A475180" s="13" t="s">
        <v>21</v>
      </c>
    </row>
    <row r="475181" spans="1:1" x14ac:dyDescent="0.3">
      <c r="A475181" s="14" t="s">
        <v>91</v>
      </c>
    </row>
    <row r="475182" spans="1:1" x14ac:dyDescent="0.3">
      <c r="A475182" s="14" t="s">
        <v>92</v>
      </c>
    </row>
    <row r="475183" spans="1:1" x14ac:dyDescent="0.3">
      <c r="A475183" s="14" t="s">
        <v>98</v>
      </c>
    </row>
    <row r="475184" spans="1:1" x14ac:dyDescent="0.3">
      <c r="A475184" s="14" t="s">
        <v>99</v>
      </c>
    </row>
    <row r="475185" spans="1:1" x14ac:dyDescent="0.3">
      <c r="A475185" s="13" t="s">
        <v>24</v>
      </c>
    </row>
    <row r="475186" spans="1:1" x14ac:dyDescent="0.3">
      <c r="A475186" s="13" t="s">
        <v>82</v>
      </c>
    </row>
    <row r="475187" spans="1:1" x14ac:dyDescent="0.3">
      <c r="A475187" s="13" t="s">
        <v>105</v>
      </c>
    </row>
    <row r="475188" spans="1:1" x14ac:dyDescent="0.3">
      <c r="A475188" s="13" t="s">
        <v>100</v>
      </c>
    </row>
    <row r="475189" spans="1:1" x14ac:dyDescent="0.3">
      <c r="A475189" s="13" t="s">
        <v>101</v>
      </c>
    </row>
    <row r="475190" spans="1:1" x14ac:dyDescent="0.3">
      <c r="A475190" s="13" t="s">
        <v>102</v>
      </c>
    </row>
    <row r="475191" spans="1:1" x14ac:dyDescent="0.3">
      <c r="A475191" s="13" t="s">
        <v>103</v>
      </c>
    </row>
    <row r="475192" spans="1:1" x14ac:dyDescent="0.3">
      <c r="A475192" s="13" t="s">
        <v>104</v>
      </c>
    </row>
    <row r="491522" spans="1:1" x14ac:dyDescent="0.3">
      <c r="A491522" s="13" t="s">
        <v>0</v>
      </c>
    </row>
    <row r="491523" spans="1:1" x14ac:dyDescent="0.3">
      <c r="A491523" s="13" t="s">
        <v>124</v>
      </c>
    </row>
    <row r="491524" spans="1:1" x14ac:dyDescent="0.3">
      <c r="A491524" s="13" t="s">
        <v>1</v>
      </c>
    </row>
    <row r="491525" spans="1:1" x14ac:dyDescent="0.3">
      <c r="A491525" s="13" t="s">
        <v>2</v>
      </c>
    </row>
    <row r="491526" spans="1:1" x14ac:dyDescent="0.3">
      <c r="A491526" s="14" t="s">
        <v>25</v>
      </c>
    </row>
    <row r="491527" spans="1:1" x14ac:dyDescent="0.3">
      <c r="A491527" s="13" t="s">
        <v>125</v>
      </c>
    </row>
    <row r="491528" spans="1:1" x14ac:dyDescent="0.3">
      <c r="A491528" s="13" t="s">
        <v>126</v>
      </c>
    </row>
    <row r="491529" spans="1:1" x14ac:dyDescent="0.3">
      <c r="A491529" s="13" t="s">
        <v>87</v>
      </c>
    </row>
    <row r="491530" spans="1:1" x14ac:dyDescent="0.3">
      <c r="A491530" s="13" t="s">
        <v>22</v>
      </c>
    </row>
    <row r="491531" spans="1:1" x14ac:dyDescent="0.3">
      <c r="A491531" s="13" t="s">
        <v>3</v>
      </c>
    </row>
    <row r="491532" spans="1:1" x14ac:dyDescent="0.3">
      <c r="A491532" s="15" t="s">
        <v>94</v>
      </c>
    </row>
    <row r="491533" spans="1:1" x14ac:dyDescent="0.3">
      <c r="A491533" s="15" t="s">
        <v>93</v>
      </c>
    </row>
    <row r="491534" spans="1:1" x14ac:dyDescent="0.3">
      <c r="A491534" s="15" t="s">
        <v>4</v>
      </c>
    </row>
    <row r="491535" spans="1:1" x14ac:dyDescent="0.3">
      <c r="A491535" s="15" t="s">
        <v>117</v>
      </c>
    </row>
    <row r="491536" spans="1:1" x14ac:dyDescent="0.3">
      <c r="A491536" s="15" t="s">
        <v>5</v>
      </c>
    </row>
    <row r="491537" spans="1:1" x14ac:dyDescent="0.3">
      <c r="A491537" s="15" t="s">
        <v>6</v>
      </c>
    </row>
    <row r="491538" spans="1:1" x14ac:dyDescent="0.3">
      <c r="A491538" s="15" t="s">
        <v>7</v>
      </c>
    </row>
    <row r="491539" spans="1:1" x14ac:dyDescent="0.3">
      <c r="A491539" s="15" t="s">
        <v>8</v>
      </c>
    </row>
    <row r="491540" spans="1:1" x14ac:dyDescent="0.3">
      <c r="A491540" s="15" t="s">
        <v>9</v>
      </c>
    </row>
    <row r="491541" spans="1:1" x14ac:dyDescent="0.3">
      <c r="A491541" s="15" t="s">
        <v>10</v>
      </c>
    </row>
    <row r="491542" spans="1:1" x14ac:dyDescent="0.3">
      <c r="A491542" s="15" t="s">
        <v>11</v>
      </c>
    </row>
    <row r="491543" spans="1:1" x14ac:dyDescent="0.3">
      <c r="A491543" s="15" t="s">
        <v>12</v>
      </c>
    </row>
    <row r="491544" spans="1:1" x14ac:dyDescent="0.3">
      <c r="A491544" s="15" t="s">
        <v>13</v>
      </c>
    </row>
    <row r="491545" spans="1:1" x14ac:dyDescent="0.3">
      <c r="A491545" s="15" t="s">
        <v>14</v>
      </c>
    </row>
    <row r="491546" spans="1:1" x14ac:dyDescent="0.3">
      <c r="A491546" s="13" t="s">
        <v>31</v>
      </c>
    </row>
    <row r="491547" spans="1:1" x14ac:dyDescent="0.3">
      <c r="A491547" s="13" t="s">
        <v>86</v>
      </c>
    </row>
    <row r="491548" spans="1:1" x14ac:dyDescent="0.3">
      <c r="A491548" s="15" t="s">
        <v>30</v>
      </c>
    </row>
    <row r="491549" spans="1:1" x14ac:dyDescent="0.3">
      <c r="A491549" s="15" t="s">
        <v>26</v>
      </c>
    </row>
    <row r="491550" spans="1:1" x14ac:dyDescent="0.3">
      <c r="A491550" s="15" t="s">
        <v>27</v>
      </c>
    </row>
    <row r="491551" spans="1:1" x14ac:dyDescent="0.3">
      <c r="A491551" s="15" t="s">
        <v>28</v>
      </c>
    </row>
    <row r="491552" spans="1:1" x14ac:dyDescent="0.3">
      <c r="A491552" s="15" t="s">
        <v>88</v>
      </c>
    </row>
    <row r="491553" spans="1:1" x14ac:dyDescent="0.3">
      <c r="A491553" s="15" t="s">
        <v>89</v>
      </c>
    </row>
    <row r="491554" spans="1:1" x14ac:dyDescent="0.3">
      <c r="A491554" s="15" t="s">
        <v>184</v>
      </c>
    </row>
    <row r="491555" spans="1:1" x14ac:dyDescent="0.3">
      <c r="A491555" s="15" t="s">
        <v>185</v>
      </c>
    </row>
    <row r="491556" spans="1:1" x14ac:dyDescent="0.3">
      <c r="A491556" s="15" t="s">
        <v>186</v>
      </c>
    </row>
    <row r="491557" spans="1:1" x14ac:dyDescent="0.3">
      <c r="A491557" s="15" t="s">
        <v>187</v>
      </c>
    </row>
    <row r="491558" spans="1:1" x14ac:dyDescent="0.3">
      <c r="A491558" s="15" t="s">
        <v>188</v>
      </c>
    </row>
    <row r="491559" spans="1:1" x14ac:dyDescent="0.3">
      <c r="A491559" s="15" t="s">
        <v>189</v>
      </c>
    </row>
    <row r="491560" spans="1:1" x14ac:dyDescent="0.3">
      <c r="A491560" s="15" t="s">
        <v>190</v>
      </c>
    </row>
    <row r="491561" spans="1:1" x14ac:dyDescent="0.3">
      <c r="A491561" s="14" t="s">
        <v>47</v>
      </c>
    </row>
    <row r="491562" spans="1:1" x14ac:dyDescent="0.3">
      <c r="A491562" s="14" t="s">
        <v>118</v>
      </c>
    </row>
    <row r="491563" spans="1:1" x14ac:dyDescent="0.3">
      <c r="A491563" s="14" t="s">
        <v>85</v>
      </c>
    </row>
    <row r="491564" spans="1:1" x14ac:dyDescent="0.3">
      <c r="A491564" s="13" t="s">
        <v>21</v>
      </c>
    </row>
    <row r="491565" spans="1:1" x14ac:dyDescent="0.3">
      <c r="A491565" s="14" t="s">
        <v>91</v>
      </c>
    </row>
    <row r="491566" spans="1:1" x14ac:dyDescent="0.3">
      <c r="A491566" s="14" t="s">
        <v>92</v>
      </c>
    </row>
    <row r="491567" spans="1:1" x14ac:dyDescent="0.3">
      <c r="A491567" s="14" t="s">
        <v>98</v>
      </c>
    </row>
    <row r="491568" spans="1:1" x14ac:dyDescent="0.3">
      <c r="A491568" s="14" t="s">
        <v>99</v>
      </c>
    </row>
    <row r="491569" spans="1:1" x14ac:dyDescent="0.3">
      <c r="A491569" s="13" t="s">
        <v>24</v>
      </c>
    </row>
    <row r="491570" spans="1:1" x14ac:dyDescent="0.3">
      <c r="A491570" s="13" t="s">
        <v>82</v>
      </c>
    </row>
    <row r="491571" spans="1:1" x14ac:dyDescent="0.3">
      <c r="A491571" s="13" t="s">
        <v>105</v>
      </c>
    </row>
    <row r="491572" spans="1:1" x14ac:dyDescent="0.3">
      <c r="A491572" s="13" t="s">
        <v>100</v>
      </c>
    </row>
    <row r="491573" spans="1:1" x14ac:dyDescent="0.3">
      <c r="A491573" s="13" t="s">
        <v>101</v>
      </c>
    </row>
    <row r="491574" spans="1:1" x14ac:dyDescent="0.3">
      <c r="A491574" s="13" t="s">
        <v>102</v>
      </c>
    </row>
    <row r="491575" spans="1:1" x14ac:dyDescent="0.3">
      <c r="A491575" s="13" t="s">
        <v>103</v>
      </c>
    </row>
    <row r="491576" spans="1:1" x14ac:dyDescent="0.3">
      <c r="A491576" s="13" t="s">
        <v>104</v>
      </c>
    </row>
    <row r="507906" spans="1:1" x14ac:dyDescent="0.3">
      <c r="A507906" s="13" t="s">
        <v>0</v>
      </c>
    </row>
    <row r="507907" spans="1:1" x14ac:dyDescent="0.3">
      <c r="A507907" s="13" t="s">
        <v>124</v>
      </c>
    </row>
    <row r="507908" spans="1:1" x14ac:dyDescent="0.3">
      <c r="A507908" s="13" t="s">
        <v>1</v>
      </c>
    </row>
    <row r="507909" spans="1:1" x14ac:dyDescent="0.3">
      <c r="A507909" s="13" t="s">
        <v>2</v>
      </c>
    </row>
    <row r="507910" spans="1:1" x14ac:dyDescent="0.3">
      <c r="A507910" s="14" t="s">
        <v>25</v>
      </c>
    </row>
    <row r="507911" spans="1:1" x14ac:dyDescent="0.3">
      <c r="A507911" s="13" t="s">
        <v>125</v>
      </c>
    </row>
    <row r="507912" spans="1:1" x14ac:dyDescent="0.3">
      <c r="A507912" s="13" t="s">
        <v>126</v>
      </c>
    </row>
    <row r="507913" spans="1:1" x14ac:dyDescent="0.3">
      <c r="A507913" s="13" t="s">
        <v>87</v>
      </c>
    </row>
    <row r="507914" spans="1:1" x14ac:dyDescent="0.3">
      <c r="A507914" s="13" t="s">
        <v>22</v>
      </c>
    </row>
    <row r="507915" spans="1:1" x14ac:dyDescent="0.3">
      <c r="A507915" s="13" t="s">
        <v>3</v>
      </c>
    </row>
    <row r="507916" spans="1:1" x14ac:dyDescent="0.3">
      <c r="A507916" s="15" t="s">
        <v>94</v>
      </c>
    </row>
    <row r="507917" spans="1:1" x14ac:dyDescent="0.3">
      <c r="A507917" s="15" t="s">
        <v>93</v>
      </c>
    </row>
    <row r="507918" spans="1:1" x14ac:dyDescent="0.3">
      <c r="A507918" s="15" t="s">
        <v>4</v>
      </c>
    </row>
    <row r="507919" spans="1:1" x14ac:dyDescent="0.3">
      <c r="A507919" s="15" t="s">
        <v>117</v>
      </c>
    </row>
    <row r="507920" spans="1:1" x14ac:dyDescent="0.3">
      <c r="A507920" s="15" t="s">
        <v>5</v>
      </c>
    </row>
    <row r="507921" spans="1:1" x14ac:dyDescent="0.3">
      <c r="A507921" s="15" t="s">
        <v>6</v>
      </c>
    </row>
    <row r="507922" spans="1:1" x14ac:dyDescent="0.3">
      <c r="A507922" s="15" t="s">
        <v>7</v>
      </c>
    </row>
    <row r="507923" spans="1:1" x14ac:dyDescent="0.3">
      <c r="A507923" s="15" t="s">
        <v>8</v>
      </c>
    </row>
    <row r="507924" spans="1:1" x14ac:dyDescent="0.3">
      <c r="A507924" s="15" t="s">
        <v>9</v>
      </c>
    </row>
    <row r="507925" spans="1:1" x14ac:dyDescent="0.3">
      <c r="A507925" s="15" t="s">
        <v>10</v>
      </c>
    </row>
    <row r="507926" spans="1:1" x14ac:dyDescent="0.3">
      <c r="A507926" s="15" t="s">
        <v>11</v>
      </c>
    </row>
    <row r="507927" spans="1:1" x14ac:dyDescent="0.3">
      <c r="A507927" s="15" t="s">
        <v>12</v>
      </c>
    </row>
    <row r="507928" spans="1:1" x14ac:dyDescent="0.3">
      <c r="A507928" s="15" t="s">
        <v>13</v>
      </c>
    </row>
    <row r="507929" spans="1:1" x14ac:dyDescent="0.3">
      <c r="A507929" s="15" t="s">
        <v>14</v>
      </c>
    </row>
    <row r="507930" spans="1:1" x14ac:dyDescent="0.3">
      <c r="A507930" s="13" t="s">
        <v>31</v>
      </c>
    </row>
    <row r="507931" spans="1:1" x14ac:dyDescent="0.3">
      <c r="A507931" s="13" t="s">
        <v>86</v>
      </c>
    </row>
    <row r="507932" spans="1:1" x14ac:dyDescent="0.3">
      <c r="A507932" s="15" t="s">
        <v>30</v>
      </c>
    </row>
    <row r="507933" spans="1:1" x14ac:dyDescent="0.3">
      <c r="A507933" s="15" t="s">
        <v>26</v>
      </c>
    </row>
    <row r="507934" spans="1:1" x14ac:dyDescent="0.3">
      <c r="A507934" s="15" t="s">
        <v>27</v>
      </c>
    </row>
    <row r="507935" spans="1:1" x14ac:dyDescent="0.3">
      <c r="A507935" s="15" t="s">
        <v>28</v>
      </c>
    </row>
    <row r="507936" spans="1:1" x14ac:dyDescent="0.3">
      <c r="A507936" s="15" t="s">
        <v>88</v>
      </c>
    </row>
    <row r="507937" spans="1:1" x14ac:dyDescent="0.3">
      <c r="A507937" s="15" t="s">
        <v>89</v>
      </c>
    </row>
    <row r="507938" spans="1:1" x14ac:dyDescent="0.3">
      <c r="A507938" s="15" t="s">
        <v>184</v>
      </c>
    </row>
    <row r="507939" spans="1:1" x14ac:dyDescent="0.3">
      <c r="A507939" s="15" t="s">
        <v>185</v>
      </c>
    </row>
    <row r="507940" spans="1:1" x14ac:dyDescent="0.3">
      <c r="A507940" s="15" t="s">
        <v>186</v>
      </c>
    </row>
    <row r="507941" spans="1:1" x14ac:dyDescent="0.3">
      <c r="A507941" s="15" t="s">
        <v>187</v>
      </c>
    </row>
    <row r="507942" spans="1:1" x14ac:dyDescent="0.3">
      <c r="A507942" s="15" t="s">
        <v>188</v>
      </c>
    </row>
    <row r="507943" spans="1:1" x14ac:dyDescent="0.3">
      <c r="A507943" s="15" t="s">
        <v>189</v>
      </c>
    </row>
    <row r="507944" spans="1:1" x14ac:dyDescent="0.3">
      <c r="A507944" s="15" t="s">
        <v>190</v>
      </c>
    </row>
    <row r="507945" spans="1:1" x14ac:dyDescent="0.3">
      <c r="A507945" s="14" t="s">
        <v>47</v>
      </c>
    </row>
    <row r="507946" spans="1:1" x14ac:dyDescent="0.3">
      <c r="A507946" s="14" t="s">
        <v>118</v>
      </c>
    </row>
    <row r="507947" spans="1:1" x14ac:dyDescent="0.3">
      <c r="A507947" s="14" t="s">
        <v>85</v>
      </c>
    </row>
    <row r="507948" spans="1:1" x14ac:dyDescent="0.3">
      <c r="A507948" s="13" t="s">
        <v>21</v>
      </c>
    </row>
    <row r="507949" spans="1:1" x14ac:dyDescent="0.3">
      <c r="A507949" s="14" t="s">
        <v>91</v>
      </c>
    </row>
    <row r="507950" spans="1:1" x14ac:dyDescent="0.3">
      <c r="A507950" s="14" t="s">
        <v>92</v>
      </c>
    </row>
    <row r="507951" spans="1:1" x14ac:dyDescent="0.3">
      <c r="A507951" s="14" t="s">
        <v>98</v>
      </c>
    </row>
    <row r="507952" spans="1:1" x14ac:dyDescent="0.3">
      <c r="A507952" s="14" t="s">
        <v>99</v>
      </c>
    </row>
    <row r="507953" spans="1:1" x14ac:dyDescent="0.3">
      <c r="A507953" s="13" t="s">
        <v>24</v>
      </c>
    </row>
    <row r="507954" spans="1:1" x14ac:dyDescent="0.3">
      <c r="A507954" s="13" t="s">
        <v>82</v>
      </c>
    </row>
    <row r="507955" spans="1:1" x14ac:dyDescent="0.3">
      <c r="A507955" s="13" t="s">
        <v>105</v>
      </c>
    </row>
    <row r="507956" spans="1:1" x14ac:dyDescent="0.3">
      <c r="A507956" s="13" t="s">
        <v>100</v>
      </c>
    </row>
    <row r="507957" spans="1:1" x14ac:dyDescent="0.3">
      <c r="A507957" s="13" t="s">
        <v>101</v>
      </c>
    </row>
    <row r="507958" spans="1:1" x14ac:dyDescent="0.3">
      <c r="A507958" s="13" t="s">
        <v>102</v>
      </c>
    </row>
    <row r="507959" spans="1:1" x14ac:dyDescent="0.3">
      <c r="A507959" s="13" t="s">
        <v>103</v>
      </c>
    </row>
    <row r="507960" spans="1:1" x14ac:dyDescent="0.3">
      <c r="A507960" s="13" t="s">
        <v>104</v>
      </c>
    </row>
    <row r="524290" spans="1:1" x14ac:dyDescent="0.3">
      <c r="A524290" s="13" t="s">
        <v>0</v>
      </c>
    </row>
    <row r="524291" spans="1:1" x14ac:dyDescent="0.3">
      <c r="A524291" s="13" t="s">
        <v>124</v>
      </c>
    </row>
    <row r="524292" spans="1:1" x14ac:dyDescent="0.3">
      <c r="A524292" s="13" t="s">
        <v>1</v>
      </c>
    </row>
    <row r="524293" spans="1:1" x14ac:dyDescent="0.3">
      <c r="A524293" s="13" t="s">
        <v>2</v>
      </c>
    </row>
    <row r="524294" spans="1:1" x14ac:dyDescent="0.3">
      <c r="A524294" s="14" t="s">
        <v>25</v>
      </c>
    </row>
    <row r="524295" spans="1:1" x14ac:dyDescent="0.3">
      <c r="A524295" s="13" t="s">
        <v>125</v>
      </c>
    </row>
    <row r="524296" spans="1:1" x14ac:dyDescent="0.3">
      <c r="A524296" s="13" t="s">
        <v>126</v>
      </c>
    </row>
    <row r="524297" spans="1:1" x14ac:dyDescent="0.3">
      <c r="A524297" s="13" t="s">
        <v>87</v>
      </c>
    </row>
    <row r="524298" spans="1:1" x14ac:dyDescent="0.3">
      <c r="A524298" s="13" t="s">
        <v>22</v>
      </c>
    </row>
    <row r="524299" spans="1:1" x14ac:dyDescent="0.3">
      <c r="A524299" s="13" t="s">
        <v>3</v>
      </c>
    </row>
    <row r="524300" spans="1:1" x14ac:dyDescent="0.3">
      <c r="A524300" s="15" t="s">
        <v>94</v>
      </c>
    </row>
    <row r="524301" spans="1:1" x14ac:dyDescent="0.3">
      <c r="A524301" s="15" t="s">
        <v>93</v>
      </c>
    </row>
    <row r="524302" spans="1:1" x14ac:dyDescent="0.3">
      <c r="A524302" s="15" t="s">
        <v>4</v>
      </c>
    </row>
    <row r="524303" spans="1:1" x14ac:dyDescent="0.3">
      <c r="A524303" s="15" t="s">
        <v>117</v>
      </c>
    </row>
    <row r="524304" spans="1:1" x14ac:dyDescent="0.3">
      <c r="A524304" s="15" t="s">
        <v>5</v>
      </c>
    </row>
    <row r="524305" spans="1:1" x14ac:dyDescent="0.3">
      <c r="A524305" s="15" t="s">
        <v>6</v>
      </c>
    </row>
    <row r="524306" spans="1:1" x14ac:dyDescent="0.3">
      <c r="A524306" s="15" t="s">
        <v>7</v>
      </c>
    </row>
    <row r="524307" spans="1:1" x14ac:dyDescent="0.3">
      <c r="A524307" s="15" t="s">
        <v>8</v>
      </c>
    </row>
    <row r="524308" spans="1:1" x14ac:dyDescent="0.3">
      <c r="A524308" s="15" t="s">
        <v>9</v>
      </c>
    </row>
    <row r="524309" spans="1:1" x14ac:dyDescent="0.3">
      <c r="A524309" s="15" t="s">
        <v>10</v>
      </c>
    </row>
    <row r="524310" spans="1:1" x14ac:dyDescent="0.3">
      <c r="A524310" s="15" t="s">
        <v>11</v>
      </c>
    </row>
    <row r="524311" spans="1:1" x14ac:dyDescent="0.3">
      <c r="A524311" s="15" t="s">
        <v>12</v>
      </c>
    </row>
    <row r="524312" spans="1:1" x14ac:dyDescent="0.3">
      <c r="A524312" s="15" t="s">
        <v>13</v>
      </c>
    </row>
    <row r="524313" spans="1:1" x14ac:dyDescent="0.3">
      <c r="A524313" s="15" t="s">
        <v>14</v>
      </c>
    </row>
    <row r="524314" spans="1:1" x14ac:dyDescent="0.3">
      <c r="A524314" s="13" t="s">
        <v>31</v>
      </c>
    </row>
    <row r="524315" spans="1:1" x14ac:dyDescent="0.3">
      <c r="A524315" s="13" t="s">
        <v>86</v>
      </c>
    </row>
    <row r="524316" spans="1:1" x14ac:dyDescent="0.3">
      <c r="A524316" s="15" t="s">
        <v>30</v>
      </c>
    </row>
    <row r="524317" spans="1:1" x14ac:dyDescent="0.3">
      <c r="A524317" s="15" t="s">
        <v>26</v>
      </c>
    </row>
    <row r="524318" spans="1:1" x14ac:dyDescent="0.3">
      <c r="A524318" s="15" t="s">
        <v>27</v>
      </c>
    </row>
    <row r="524319" spans="1:1" x14ac:dyDescent="0.3">
      <c r="A524319" s="15" t="s">
        <v>28</v>
      </c>
    </row>
    <row r="524320" spans="1:1" x14ac:dyDescent="0.3">
      <c r="A524320" s="15" t="s">
        <v>88</v>
      </c>
    </row>
    <row r="524321" spans="1:1" x14ac:dyDescent="0.3">
      <c r="A524321" s="15" t="s">
        <v>89</v>
      </c>
    </row>
    <row r="524322" spans="1:1" x14ac:dyDescent="0.3">
      <c r="A524322" s="15" t="s">
        <v>184</v>
      </c>
    </row>
    <row r="524323" spans="1:1" x14ac:dyDescent="0.3">
      <c r="A524323" s="15" t="s">
        <v>185</v>
      </c>
    </row>
    <row r="524324" spans="1:1" x14ac:dyDescent="0.3">
      <c r="A524324" s="15" t="s">
        <v>186</v>
      </c>
    </row>
    <row r="524325" spans="1:1" x14ac:dyDescent="0.3">
      <c r="A524325" s="15" t="s">
        <v>187</v>
      </c>
    </row>
    <row r="524326" spans="1:1" x14ac:dyDescent="0.3">
      <c r="A524326" s="15" t="s">
        <v>188</v>
      </c>
    </row>
    <row r="524327" spans="1:1" x14ac:dyDescent="0.3">
      <c r="A524327" s="15" t="s">
        <v>189</v>
      </c>
    </row>
    <row r="524328" spans="1:1" x14ac:dyDescent="0.3">
      <c r="A524328" s="15" t="s">
        <v>190</v>
      </c>
    </row>
    <row r="524329" spans="1:1" x14ac:dyDescent="0.3">
      <c r="A524329" s="14" t="s">
        <v>47</v>
      </c>
    </row>
    <row r="524330" spans="1:1" x14ac:dyDescent="0.3">
      <c r="A524330" s="14" t="s">
        <v>118</v>
      </c>
    </row>
    <row r="524331" spans="1:1" x14ac:dyDescent="0.3">
      <c r="A524331" s="14" t="s">
        <v>85</v>
      </c>
    </row>
    <row r="524332" spans="1:1" x14ac:dyDescent="0.3">
      <c r="A524332" s="13" t="s">
        <v>21</v>
      </c>
    </row>
    <row r="524333" spans="1:1" x14ac:dyDescent="0.3">
      <c r="A524333" s="14" t="s">
        <v>91</v>
      </c>
    </row>
    <row r="524334" spans="1:1" x14ac:dyDescent="0.3">
      <c r="A524334" s="14" t="s">
        <v>92</v>
      </c>
    </row>
    <row r="524335" spans="1:1" x14ac:dyDescent="0.3">
      <c r="A524335" s="14" t="s">
        <v>98</v>
      </c>
    </row>
    <row r="524336" spans="1:1" x14ac:dyDescent="0.3">
      <c r="A524336" s="14" t="s">
        <v>99</v>
      </c>
    </row>
    <row r="524337" spans="1:1" x14ac:dyDescent="0.3">
      <c r="A524337" s="13" t="s">
        <v>24</v>
      </c>
    </row>
    <row r="524338" spans="1:1" x14ac:dyDescent="0.3">
      <c r="A524338" s="13" t="s">
        <v>82</v>
      </c>
    </row>
    <row r="524339" spans="1:1" x14ac:dyDescent="0.3">
      <c r="A524339" s="13" t="s">
        <v>105</v>
      </c>
    </row>
    <row r="524340" spans="1:1" x14ac:dyDescent="0.3">
      <c r="A524340" s="13" t="s">
        <v>100</v>
      </c>
    </row>
    <row r="524341" spans="1:1" x14ac:dyDescent="0.3">
      <c r="A524341" s="13" t="s">
        <v>101</v>
      </c>
    </row>
    <row r="524342" spans="1:1" x14ac:dyDescent="0.3">
      <c r="A524342" s="13" t="s">
        <v>102</v>
      </c>
    </row>
    <row r="524343" spans="1:1" x14ac:dyDescent="0.3">
      <c r="A524343" s="13" t="s">
        <v>103</v>
      </c>
    </row>
    <row r="524344" spans="1:1" x14ac:dyDescent="0.3">
      <c r="A524344" s="13" t="s">
        <v>104</v>
      </c>
    </row>
    <row r="540674" spans="1:1" x14ac:dyDescent="0.3">
      <c r="A540674" s="13" t="s">
        <v>0</v>
      </c>
    </row>
    <row r="540675" spans="1:1" x14ac:dyDescent="0.3">
      <c r="A540675" s="13" t="s">
        <v>124</v>
      </c>
    </row>
    <row r="540676" spans="1:1" x14ac:dyDescent="0.3">
      <c r="A540676" s="13" t="s">
        <v>1</v>
      </c>
    </row>
    <row r="540677" spans="1:1" x14ac:dyDescent="0.3">
      <c r="A540677" s="13" t="s">
        <v>2</v>
      </c>
    </row>
    <row r="540678" spans="1:1" x14ac:dyDescent="0.3">
      <c r="A540678" s="14" t="s">
        <v>25</v>
      </c>
    </row>
    <row r="540679" spans="1:1" x14ac:dyDescent="0.3">
      <c r="A540679" s="13" t="s">
        <v>125</v>
      </c>
    </row>
    <row r="540680" spans="1:1" x14ac:dyDescent="0.3">
      <c r="A540680" s="13" t="s">
        <v>126</v>
      </c>
    </row>
    <row r="540681" spans="1:1" x14ac:dyDescent="0.3">
      <c r="A540681" s="13" t="s">
        <v>87</v>
      </c>
    </row>
    <row r="540682" spans="1:1" x14ac:dyDescent="0.3">
      <c r="A540682" s="13" t="s">
        <v>22</v>
      </c>
    </row>
    <row r="540683" spans="1:1" x14ac:dyDescent="0.3">
      <c r="A540683" s="13" t="s">
        <v>3</v>
      </c>
    </row>
    <row r="540684" spans="1:1" x14ac:dyDescent="0.3">
      <c r="A540684" s="15" t="s">
        <v>94</v>
      </c>
    </row>
    <row r="540685" spans="1:1" x14ac:dyDescent="0.3">
      <c r="A540685" s="15" t="s">
        <v>93</v>
      </c>
    </row>
    <row r="540686" spans="1:1" x14ac:dyDescent="0.3">
      <c r="A540686" s="15" t="s">
        <v>4</v>
      </c>
    </row>
    <row r="540687" spans="1:1" x14ac:dyDescent="0.3">
      <c r="A540687" s="15" t="s">
        <v>117</v>
      </c>
    </row>
    <row r="540688" spans="1:1" x14ac:dyDescent="0.3">
      <c r="A540688" s="15" t="s">
        <v>5</v>
      </c>
    </row>
    <row r="540689" spans="1:1" x14ac:dyDescent="0.3">
      <c r="A540689" s="15" t="s">
        <v>6</v>
      </c>
    </row>
    <row r="540690" spans="1:1" x14ac:dyDescent="0.3">
      <c r="A540690" s="15" t="s">
        <v>7</v>
      </c>
    </row>
    <row r="540691" spans="1:1" x14ac:dyDescent="0.3">
      <c r="A540691" s="15" t="s">
        <v>8</v>
      </c>
    </row>
    <row r="540692" spans="1:1" x14ac:dyDescent="0.3">
      <c r="A540692" s="15" t="s">
        <v>9</v>
      </c>
    </row>
    <row r="540693" spans="1:1" x14ac:dyDescent="0.3">
      <c r="A540693" s="15" t="s">
        <v>10</v>
      </c>
    </row>
    <row r="540694" spans="1:1" x14ac:dyDescent="0.3">
      <c r="A540694" s="15" t="s">
        <v>11</v>
      </c>
    </row>
    <row r="540695" spans="1:1" x14ac:dyDescent="0.3">
      <c r="A540695" s="15" t="s">
        <v>12</v>
      </c>
    </row>
    <row r="540696" spans="1:1" x14ac:dyDescent="0.3">
      <c r="A540696" s="15" t="s">
        <v>13</v>
      </c>
    </row>
    <row r="540697" spans="1:1" x14ac:dyDescent="0.3">
      <c r="A540697" s="15" t="s">
        <v>14</v>
      </c>
    </row>
    <row r="540698" spans="1:1" x14ac:dyDescent="0.3">
      <c r="A540698" s="13" t="s">
        <v>31</v>
      </c>
    </row>
    <row r="540699" spans="1:1" x14ac:dyDescent="0.3">
      <c r="A540699" s="13" t="s">
        <v>86</v>
      </c>
    </row>
    <row r="540700" spans="1:1" x14ac:dyDescent="0.3">
      <c r="A540700" s="15" t="s">
        <v>30</v>
      </c>
    </row>
    <row r="540701" spans="1:1" x14ac:dyDescent="0.3">
      <c r="A540701" s="15" t="s">
        <v>26</v>
      </c>
    </row>
    <row r="540702" spans="1:1" x14ac:dyDescent="0.3">
      <c r="A540702" s="15" t="s">
        <v>27</v>
      </c>
    </row>
    <row r="540703" spans="1:1" x14ac:dyDescent="0.3">
      <c r="A540703" s="15" t="s">
        <v>28</v>
      </c>
    </row>
    <row r="540704" spans="1:1" x14ac:dyDescent="0.3">
      <c r="A540704" s="15" t="s">
        <v>88</v>
      </c>
    </row>
    <row r="540705" spans="1:1" x14ac:dyDescent="0.3">
      <c r="A540705" s="15" t="s">
        <v>89</v>
      </c>
    </row>
    <row r="540706" spans="1:1" x14ac:dyDescent="0.3">
      <c r="A540706" s="15" t="s">
        <v>184</v>
      </c>
    </row>
    <row r="540707" spans="1:1" x14ac:dyDescent="0.3">
      <c r="A540707" s="15" t="s">
        <v>185</v>
      </c>
    </row>
    <row r="540708" spans="1:1" x14ac:dyDescent="0.3">
      <c r="A540708" s="15" t="s">
        <v>186</v>
      </c>
    </row>
    <row r="540709" spans="1:1" x14ac:dyDescent="0.3">
      <c r="A540709" s="15" t="s">
        <v>187</v>
      </c>
    </row>
    <row r="540710" spans="1:1" x14ac:dyDescent="0.3">
      <c r="A540710" s="15" t="s">
        <v>188</v>
      </c>
    </row>
    <row r="540711" spans="1:1" x14ac:dyDescent="0.3">
      <c r="A540711" s="15" t="s">
        <v>189</v>
      </c>
    </row>
    <row r="540712" spans="1:1" x14ac:dyDescent="0.3">
      <c r="A540712" s="15" t="s">
        <v>190</v>
      </c>
    </row>
    <row r="540713" spans="1:1" x14ac:dyDescent="0.3">
      <c r="A540713" s="14" t="s">
        <v>47</v>
      </c>
    </row>
    <row r="540714" spans="1:1" x14ac:dyDescent="0.3">
      <c r="A540714" s="14" t="s">
        <v>118</v>
      </c>
    </row>
    <row r="540715" spans="1:1" x14ac:dyDescent="0.3">
      <c r="A540715" s="14" t="s">
        <v>85</v>
      </c>
    </row>
    <row r="540716" spans="1:1" x14ac:dyDescent="0.3">
      <c r="A540716" s="13" t="s">
        <v>21</v>
      </c>
    </row>
    <row r="540717" spans="1:1" x14ac:dyDescent="0.3">
      <c r="A540717" s="14" t="s">
        <v>91</v>
      </c>
    </row>
    <row r="540718" spans="1:1" x14ac:dyDescent="0.3">
      <c r="A540718" s="14" t="s">
        <v>92</v>
      </c>
    </row>
    <row r="540719" spans="1:1" x14ac:dyDescent="0.3">
      <c r="A540719" s="14" t="s">
        <v>98</v>
      </c>
    </row>
    <row r="540720" spans="1:1" x14ac:dyDescent="0.3">
      <c r="A540720" s="14" t="s">
        <v>99</v>
      </c>
    </row>
    <row r="540721" spans="1:1" x14ac:dyDescent="0.3">
      <c r="A540721" s="13" t="s">
        <v>24</v>
      </c>
    </row>
    <row r="540722" spans="1:1" x14ac:dyDescent="0.3">
      <c r="A540722" s="13" t="s">
        <v>82</v>
      </c>
    </row>
    <row r="540723" spans="1:1" x14ac:dyDescent="0.3">
      <c r="A540723" s="13" t="s">
        <v>105</v>
      </c>
    </row>
    <row r="540724" spans="1:1" x14ac:dyDescent="0.3">
      <c r="A540724" s="13" t="s">
        <v>100</v>
      </c>
    </row>
    <row r="540725" spans="1:1" x14ac:dyDescent="0.3">
      <c r="A540725" s="13" t="s">
        <v>101</v>
      </c>
    </row>
    <row r="540726" spans="1:1" x14ac:dyDescent="0.3">
      <c r="A540726" s="13" t="s">
        <v>102</v>
      </c>
    </row>
    <row r="540727" spans="1:1" x14ac:dyDescent="0.3">
      <c r="A540727" s="13" t="s">
        <v>103</v>
      </c>
    </row>
    <row r="540728" spans="1:1" x14ac:dyDescent="0.3">
      <c r="A540728" s="13" t="s">
        <v>104</v>
      </c>
    </row>
    <row r="557058" spans="1:1" x14ac:dyDescent="0.3">
      <c r="A557058" s="13" t="s">
        <v>0</v>
      </c>
    </row>
    <row r="557059" spans="1:1" x14ac:dyDescent="0.3">
      <c r="A557059" s="13" t="s">
        <v>124</v>
      </c>
    </row>
    <row r="557060" spans="1:1" x14ac:dyDescent="0.3">
      <c r="A557060" s="13" t="s">
        <v>1</v>
      </c>
    </row>
    <row r="557061" spans="1:1" x14ac:dyDescent="0.3">
      <c r="A557061" s="13" t="s">
        <v>2</v>
      </c>
    </row>
    <row r="557062" spans="1:1" x14ac:dyDescent="0.3">
      <c r="A557062" s="14" t="s">
        <v>25</v>
      </c>
    </row>
    <row r="557063" spans="1:1" x14ac:dyDescent="0.3">
      <c r="A557063" s="13" t="s">
        <v>125</v>
      </c>
    </row>
    <row r="557064" spans="1:1" x14ac:dyDescent="0.3">
      <c r="A557064" s="13" t="s">
        <v>126</v>
      </c>
    </row>
    <row r="557065" spans="1:1" x14ac:dyDescent="0.3">
      <c r="A557065" s="13" t="s">
        <v>87</v>
      </c>
    </row>
    <row r="557066" spans="1:1" x14ac:dyDescent="0.3">
      <c r="A557066" s="13" t="s">
        <v>22</v>
      </c>
    </row>
    <row r="557067" spans="1:1" x14ac:dyDescent="0.3">
      <c r="A557067" s="13" t="s">
        <v>3</v>
      </c>
    </row>
    <row r="557068" spans="1:1" x14ac:dyDescent="0.3">
      <c r="A557068" s="15" t="s">
        <v>94</v>
      </c>
    </row>
    <row r="557069" spans="1:1" x14ac:dyDescent="0.3">
      <c r="A557069" s="15" t="s">
        <v>93</v>
      </c>
    </row>
    <row r="557070" spans="1:1" x14ac:dyDescent="0.3">
      <c r="A557070" s="15" t="s">
        <v>4</v>
      </c>
    </row>
    <row r="557071" spans="1:1" x14ac:dyDescent="0.3">
      <c r="A557071" s="15" t="s">
        <v>117</v>
      </c>
    </row>
    <row r="557072" spans="1:1" x14ac:dyDescent="0.3">
      <c r="A557072" s="15" t="s">
        <v>5</v>
      </c>
    </row>
    <row r="557073" spans="1:1" x14ac:dyDescent="0.3">
      <c r="A557073" s="15" t="s">
        <v>6</v>
      </c>
    </row>
    <row r="557074" spans="1:1" x14ac:dyDescent="0.3">
      <c r="A557074" s="15" t="s">
        <v>7</v>
      </c>
    </row>
    <row r="557075" spans="1:1" x14ac:dyDescent="0.3">
      <c r="A557075" s="15" t="s">
        <v>8</v>
      </c>
    </row>
    <row r="557076" spans="1:1" x14ac:dyDescent="0.3">
      <c r="A557076" s="15" t="s">
        <v>9</v>
      </c>
    </row>
    <row r="557077" spans="1:1" x14ac:dyDescent="0.3">
      <c r="A557077" s="15" t="s">
        <v>10</v>
      </c>
    </row>
    <row r="557078" spans="1:1" x14ac:dyDescent="0.3">
      <c r="A557078" s="15" t="s">
        <v>11</v>
      </c>
    </row>
    <row r="557079" spans="1:1" x14ac:dyDescent="0.3">
      <c r="A557079" s="15" t="s">
        <v>12</v>
      </c>
    </row>
    <row r="557080" spans="1:1" x14ac:dyDescent="0.3">
      <c r="A557080" s="15" t="s">
        <v>13</v>
      </c>
    </row>
    <row r="557081" spans="1:1" x14ac:dyDescent="0.3">
      <c r="A557081" s="15" t="s">
        <v>14</v>
      </c>
    </row>
    <row r="557082" spans="1:1" x14ac:dyDescent="0.3">
      <c r="A557082" s="13" t="s">
        <v>31</v>
      </c>
    </row>
    <row r="557083" spans="1:1" x14ac:dyDescent="0.3">
      <c r="A557083" s="13" t="s">
        <v>86</v>
      </c>
    </row>
    <row r="557084" spans="1:1" x14ac:dyDescent="0.3">
      <c r="A557084" s="15" t="s">
        <v>30</v>
      </c>
    </row>
    <row r="557085" spans="1:1" x14ac:dyDescent="0.3">
      <c r="A557085" s="15" t="s">
        <v>26</v>
      </c>
    </row>
    <row r="557086" spans="1:1" x14ac:dyDescent="0.3">
      <c r="A557086" s="15" t="s">
        <v>27</v>
      </c>
    </row>
    <row r="557087" spans="1:1" x14ac:dyDescent="0.3">
      <c r="A557087" s="15" t="s">
        <v>28</v>
      </c>
    </row>
    <row r="557088" spans="1:1" x14ac:dyDescent="0.3">
      <c r="A557088" s="15" t="s">
        <v>88</v>
      </c>
    </row>
    <row r="557089" spans="1:1" x14ac:dyDescent="0.3">
      <c r="A557089" s="15" t="s">
        <v>89</v>
      </c>
    </row>
    <row r="557090" spans="1:1" x14ac:dyDescent="0.3">
      <c r="A557090" s="15" t="s">
        <v>184</v>
      </c>
    </row>
    <row r="557091" spans="1:1" x14ac:dyDescent="0.3">
      <c r="A557091" s="15" t="s">
        <v>185</v>
      </c>
    </row>
    <row r="557092" spans="1:1" x14ac:dyDescent="0.3">
      <c r="A557092" s="15" t="s">
        <v>186</v>
      </c>
    </row>
    <row r="557093" spans="1:1" x14ac:dyDescent="0.3">
      <c r="A557093" s="15" t="s">
        <v>187</v>
      </c>
    </row>
    <row r="557094" spans="1:1" x14ac:dyDescent="0.3">
      <c r="A557094" s="15" t="s">
        <v>188</v>
      </c>
    </row>
    <row r="557095" spans="1:1" x14ac:dyDescent="0.3">
      <c r="A557095" s="15" t="s">
        <v>189</v>
      </c>
    </row>
    <row r="557096" spans="1:1" x14ac:dyDescent="0.3">
      <c r="A557096" s="15" t="s">
        <v>190</v>
      </c>
    </row>
    <row r="557097" spans="1:1" x14ac:dyDescent="0.3">
      <c r="A557097" s="14" t="s">
        <v>47</v>
      </c>
    </row>
    <row r="557098" spans="1:1" x14ac:dyDescent="0.3">
      <c r="A557098" s="14" t="s">
        <v>118</v>
      </c>
    </row>
    <row r="557099" spans="1:1" x14ac:dyDescent="0.3">
      <c r="A557099" s="14" t="s">
        <v>85</v>
      </c>
    </row>
    <row r="557100" spans="1:1" x14ac:dyDescent="0.3">
      <c r="A557100" s="13" t="s">
        <v>21</v>
      </c>
    </row>
    <row r="557101" spans="1:1" x14ac:dyDescent="0.3">
      <c r="A557101" s="14" t="s">
        <v>91</v>
      </c>
    </row>
    <row r="557102" spans="1:1" x14ac:dyDescent="0.3">
      <c r="A557102" s="14" t="s">
        <v>92</v>
      </c>
    </row>
    <row r="557103" spans="1:1" x14ac:dyDescent="0.3">
      <c r="A557103" s="14" t="s">
        <v>98</v>
      </c>
    </row>
    <row r="557104" spans="1:1" x14ac:dyDescent="0.3">
      <c r="A557104" s="14" t="s">
        <v>99</v>
      </c>
    </row>
    <row r="557105" spans="1:1" x14ac:dyDescent="0.3">
      <c r="A557105" s="13" t="s">
        <v>24</v>
      </c>
    </row>
    <row r="557106" spans="1:1" x14ac:dyDescent="0.3">
      <c r="A557106" s="13" t="s">
        <v>82</v>
      </c>
    </row>
    <row r="557107" spans="1:1" x14ac:dyDescent="0.3">
      <c r="A557107" s="13" t="s">
        <v>105</v>
      </c>
    </row>
    <row r="557108" spans="1:1" x14ac:dyDescent="0.3">
      <c r="A557108" s="13" t="s">
        <v>100</v>
      </c>
    </row>
    <row r="557109" spans="1:1" x14ac:dyDescent="0.3">
      <c r="A557109" s="13" t="s">
        <v>101</v>
      </c>
    </row>
    <row r="557110" spans="1:1" x14ac:dyDescent="0.3">
      <c r="A557110" s="13" t="s">
        <v>102</v>
      </c>
    </row>
    <row r="557111" spans="1:1" x14ac:dyDescent="0.3">
      <c r="A557111" s="13" t="s">
        <v>103</v>
      </c>
    </row>
    <row r="557112" spans="1:1" x14ac:dyDescent="0.3">
      <c r="A557112" s="13" t="s">
        <v>104</v>
      </c>
    </row>
    <row r="573442" spans="1:1" x14ac:dyDescent="0.3">
      <c r="A573442" s="13" t="s">
        <v>0</v>
      </c>
    </row>
    <row r="573443" spans="1:1" x14ac:dyDescent="0.3">
      <c r="A573443" s="13" t="s">
        <v>124</v>
      </c>
    </row>
    <row r="573444" spans="1:1" x14ac:dyDescent="0.3">
      <c r="A573444" s="13" t="s">
        <v>1</v>
      </c>
    </row>
    <row r="573445" spans="1:1" x14ac:dyDescent="0.3">
      <c r="A573445" s="13" t="s">
        <v>2</v>
      </c>
    </row>
    <row r="573446" spans="1:1" x14ac:dyDescent="0.3">
      <c r="A573446" s="14" t="s">
        <v>25</v>
      </c>
    </row>
    <row r="573447" spans="1:1" x14ac:dyDescent="0.3">
      <c r="A573447" s="13" t="s">
        <v>125</v>
      </c>
    </row>
    <row r="573448" spans="1:1" x14ac:dyDescent="0.3">
      <c r="A573448" s="13" t="s">
        <v>126</v>
      </c>
    </row>
    <row r="573449" spans="1:1" x14ac:dyDescent="0.3">
      <c r="A573449" s="13" t="s">
        <v>87</v>
      </c>
    </row>
    <row r="573450" spans="1:1" x14ac:dyDescent="0.3">
      <c r="A573450" s="13" t="s">
        <v>22</v>
      </c>
    </row>
    <row r="573451" spans="1:1" x14ac:dyDescent="0.3">
      <c r="A573451" s="13" t="s">
        <v>3</v>
      </c>
    </row>
    <row r="573452" spans="1:1" x14ac:dyDescent="0.3">
      <c r="A573452" s="15" t="s">
        <v>94</v>
      </c>
    </row>
    <row r="573453" spans="1:1" x14ac:dyDescent="0.3">
      <c r="A573453" s="15" t="s">
        <v>93</v>
      </c>
    </row>
    <row r="573454" spans="1:1" x14ac:dyDescent="0.3">
      <c r="A573454" s="15" t="s">
        <v>4</v>
      </c>
    </row>
    <row r="573455" spans="1:1" x14ac:dyDescent="0.3">
      <c r="A573455" s="15" t="s">
        <v>117</v>
      </c>
    </row>
    <row r="573456" spans="1:1" x14ac:dyDescent="0.3">
      <c r="A573456" s="15" t="s">
        <v>5</v>
      </c>
    </row>
    <row r="573457" spans="1:1" x14ac:dyDescent="0.3">
      <c r="A573457" s="15" t="s">
        <v>6</v>
      </c>
    </row>
    <row r="573458" spans="1:1" x14ac:dyDescent="0.3">
      <c r="A573458" s="15" t="s">
        <v>7</v>
      </c>
    </row>
    <row r="573459" spans="1:1" x14ac:dyDescent="0.3">
      <c r="A573459" s="15" t="s">
        <v>8</v>
      </c>
    </row>
    <row r="573460" spans="1:1" x14ac:dyDescent="0.3">
      <c r="A573460" s="15" t="s">
        <v>9</v>
      </c>
    </row>
    <row r="573461" spans="1:1" x14ac:dyDescent="0.3">
      <c r="A573461" s="15" t="s">
        <v>10</v>
      </c>
    </row>
    <row r="573462" spans="1:1" x14ac:dyDescent="0.3">
      <c r="A573462" s="15" t="s">
        <v>11</v>
      </c>
    </row>
    <row r="573463" spans="1:1" x14ac:dyDescent="0.3">
      <c r="A573463" s="15" t="s">
        <v>12</v>
      </c>
    </row>
    <row r="573464" spans="1:1" x14ac:dyDescent="0.3">
      <c r="A573464" s="15" t="s">
        <v>13</v>
      </c>
    </row>
    <row r="573465" spans="1:1" x14ac:dyDescent="0.3">
      <c r="A573465" s="15" t="s">
        <v>14</v>
      </c>
    </row>
    <row r="573466" spans="1:1" x14ac:dyDescent="0.3">
      <c r="A573466" s="13" t="s">
        <v>31</v>
      </c>
    </row>
    <row r="573467" spans="1:1" x14ac:dyDescent="0.3">
      <c r="A573467" s="13" t="s">
        <v>86</v>
      </c>
    </row>
    <row r="573468" spans="1:1" x14ac:dyDescent="0.3">
      <c r="A573468" s="15" t="s">
        <v>30</v>
      </c>
    </row>
    <row r="573469" spans="1:1" x14ac:dyDescent="0.3">
      <c r="A573469" s="15" t="s">
        <v>26</v>
      </c>
    </row>
    <row r="573470" spans="1:1" x14ac:dyDescent="0.3">
      <c r="A573470" s="15" t="s">
        <v>27</v>
      </c>
    </row>
    <row r="573471" spans="1:1" x14ac:dyDescent="0.3">
      <c r="A573471" s="15" t="s">
        <v>28</v>
      </c>
    </row>
    <row r="573472" spans="1:1" x14ac:dyDescent="0.3">
      <c r="A573472" s="15" t="s">
        <v>88</v>
      </c>
    </row>
    <row r="573473" spans="1:1" x14ac:dyDescent="0.3">
      <c r="A573473" s="15" t="s">
        <v>89</v>
      </c>
    </row>
    <row r="573474" spans="1:1" x14ac:dyDescent="0.3">
      <c r="A573474" s="15" t="s">
        <v>184</v>
      </c>
    </row>
    <row r="573475" spans="1:1" x14ac:dyDescent="0.3">
      <c r="A573475" s="15" t="s">
        <v>185</v>
      </c>
    </row>
    <row r="573476" spans="1:1" x14ac:dyDescent="0.3">
      <c r="A573476" s="15" t="s">
        <v>186</v>
      </c>
    </row>
    <row r="573477" spans="1:1" x14ac:dyDescent="0.3">
      <c r="A573477" s="15" t="s">
        <v>187</v>
      </c>
    </row>
    <row r="573478" spans="1:1" x14ac:dyDescent="0.3">
      <c r="A573478" s="15" t="s">
        <v>188</v>
      </c>
    </row>
    <row r="573479" spans="1:1" x14ac:dyDescent="0.3">
      <c r="A573479" s="15" t="s">
        <v>189</v>
      </c>
    </row>
    <row r="573480" spans="1:1" x14ac:dyDescent="0.3">
      <c r="A573480" s="15" t="s">
        <v>190</v>
      </c>
    </row>
    <row r="573481" spans="1:1" x14ac:dyDescent="0.3">
      <c r="A573481" s="14" t="s">
        <v>47</v>
      </c>
    </row>
    <row r="573482" spans="1:1" x14ac:dyDescent="0.3">
      <c r="A573482" s="14" t="s">
        <v>118</v>
      </c>
    </row>
    <row r="573483" spans="1:1" x14ac:dyDescent="0.3">
      <c r="A573483" s="14" t="s">
        <v>85</v>
      </c>
    </row>
    <row r="573484" spans="1:1" x14ac:dyDescent="0.3">
      <c r="A573484" s="13" t="s">
        <v>21</v>
      </c>
    </row>
    <row r="573485" spans="1:1" x14ac:dyDescent="0.3">
      <c r="A573485" s="14" t="s">
        <v>91</v>
      </c>
    </row>
    <row r="573486" spans="1:1" x14ac:dyDescent="0.3">
      <c r="A573486" s="14" t="s">
        <v>92</v>
      </c>
    </row>
    <row r="573487" spans="1:1" x14ac:dyDescent="0.3">
      <c r="A573487" s="14" t="s">
        <v>98</v>
      </c>
    </row>
    <row r="573488" spans="1:1" x14ac:dyDescent="0.3">
      <c r="A573488" s="14" t="s">
        <v>99</v>
      </c>
    </row>
    <row r="573489" spans="1:1" x14ac:dyDescent="0.3">
      <c r="A573489" s="13" t="s">
        <v>24</v>
      </c>
    </row>
    <row r="573490" spans="1:1" x14ac:dyDescent="0.3">
      <c r="A573490" s="13" t="s">
        <v>82</v>
      </c>
    </row>
    <row r="573491" spans="1:1" x14ac:dyDescent="0.3">
      <c r="A573491" s="13" t="s">
        <v>105</v>
      </c>
    </row>
    <row r="573492" spans="1:1" x14ac:dyDescent="0.3">
      <c r="A573492" s="13" t="s">
        <v>100</v>
      </c>
    </row>
    <row r="573493" spans="1:1" x14ac:dyDescent="0.3">
      <c r="A573493" s="13" t="s">
        <v>101</v>
      </c>
    </row>
    <row r="573494" spans="1:1" x14ac:dyDescent="0.3">
      <c r="A573494" s="13" t="s">
        <v>102</v>
      </c>
    </row>
    <row r="573495" spans="1:1" x14ac:dyDescent="0.3">
      <c r="A573495" s="13" t="s">
        <v>103</v>
      </c>
    </row>
    <row r="573496" spans="1:1" x14ac:dyDescent="0.3">
      <c r="A573496" s="13" t="s">
        <v>104</v>
      </c>
    </row>
    <row r="589826" spans="1:1" x14ac:dyDescent="0.3">
      <c r="A589826" s="13" t="s">
        <v>0</v>
      </c>
    </row>
    <row r="589827" spans="1:1" x14ac:dyDescent="0.3">
      <c r="A589827" s="13" t="s">
        <v>124</v>
      </c>
    </row>
    <row r="589828" spans="1:1" x14ac:dyDescent="0.3">
      <c r="A589828" s="13" t="s">
        <v>1</v>
      </c>
    </row>
    <row r="589829" spans="1:1" x14ac:dyDescent="0.3">
      <c r="A589829" s="13" t="s">
        <v>2</v>
      </c>
    </row>
    <row r="589830" spans="1:1" x14ac:dyDescent="0.3">
      <c r="A589830" s="14" t="s">
        <v>25</v>
      </c>
    </row>
    <row r="589831" spans="1:1" x14ac:dyDescent="0.3">
      <c r="A589831" s="13" t="s">
        <v>125</v>
      </c>
    </row>
    <row r="589832" spans="1:1" x14ac:dyDescent="0.3">
      <c r="A589832" s="13" t="s">
        <v>126</v>
      </c>
    </row>
    <row r="589833" spans="1:1" x14ac:dyDescent="0.3">
      <c r="A589833" s="13" t="s">
        <v>87</v>
      </c>
    </row>
    <row r="589834" spans="1:1" x14ac:dyDescent="0.3">
      <c r="A589834" s="13" t="s">
        <v>22</v>
      </c>
    </row>
    <row r="589835" spans="1:1" x14ac:dyDescent="0.3">
      <c r="A589835" s="13" t="s">
        <v>3</v>
      </c>
    </row>
    <row r="589836" spans="1:1" x14ac:dyDescent="0.3">
      <c r="A589836" s="15" t="s">
        <v>94</v>
      </c>
    </row>
    <row r="589837" spans="1:1" x14ac:dyDescent="0.3">
      <c r="A589837" s="15" t="s">
        <v>93</v>
      </c>
    </row>
    <row r="589838" spans="1:1" x14ac:dyDescent="0.3">
      <c r="A589838" s="15" t="s">
        <v>4</v>
      </c>
    </row>
    <row r="589839" spans="1:1" x14ac:dyDescent="0.3">
      <c r="A589839" s="15" t="s">
        <v>117</v>
      </c>
    </row>
    <row r="589840" spans="1:1" x14ac:dyDescent="0.3">
      <c r="A589840" s="15" t="s">
        <v>5</v>
      </c>
    </row>
    <row r="589841" spans="1:1" x14ac:dyDescent="0.3">
      <c r="A589841" s="15" t="s">
        <v>6</v>
      </c>
    </row>
    <row r="589842" spans="1:1" x14ac:dyDescent="0.3">
      <c r="A589842" s="15" t="s">
        <v>7</v>
      </c>
    </row>
    <row r="589843" spans="1:1" x14ac:dyDescent="0.3">
      <c r="A589843" s="15" t="s">
        <v>8</v>
      </c>
    </row>
    <row r="589844" spans="1:1" x14ac:dyDescent="0.3">
      <c r="A589844" s="15" t="s">
        <v>9</v>
      </c>
    </row>
    <row r="589845" spans="1:1" x14ac:dyDescent="0.3">
      <c r="A589845" s="15" t="s">
        <v>10</v>
      </c>
    </row>
    <row r="589846" spans="1:1" x14ac:dyDescent="0.3">
      <c r="A589846" s="15" t="s">
        <v>11</v>
      </c>
    </row>
    <row r="589847" spans="1:1" x14ac:dyDescent="0.3">
      <c r="A589847" s="15" t="s">
        <v>12</v>
      </c>
    </row>
    <row r="589848" spans="1:1" x14ac:dyDescent="0.3">
      <c r="A589848" s="15" t="s">
        <v>13</v>
      </c>
    </row>
    <row r="589849" spans="1:1" x14ac:dyDescent="0.3">
      <c r="A589849" s="15" t="s">
        <v>14</v>
      </c>
    </row>
    <row r="589850" spans="1:1" x14ac:dyDescent="0.3">
      <c r="A589850" s="13" t="s">
        <v>31</v>
      </c>
    </row>
    <row r="589851" spans="1:1" x14ac:dyDescent="0.3">
      <c r="A589851" s="13" t="s">
        <v>86</v>
      </c>
    </row>
    <row r="589852" spans="1:1" x14ac:dyDescent="0.3">
      <c r="A589852" s="15" t="s">
        <v>30</v>
      </c>
    </row>
    <row r="589853" spans="1:1" x14ac:dyDescent="0.3">
      <c r="A589853" s="15" t="s">
        <v>26</v>
      </c>
    </row>
    <row r="589854" spans="1:1" x14ac:dyDescent="0.3">
      <c r="A589854" s="15" t="s">
        <v>27</v>
      </c>
    </row>
    <row r="589855" spans="1:1" x14ac:dyDescent="0.3">
      <c r="A589855" s="15" t="s">
        <v>28</v>
      </c>
    </row>
    <row r="589856" spans="1:1" x14ac:dyDescent="0.3">
      <c r="A589856" s="15" t="s">
        <v>88</v>
      </c>
    </row>
    <row r="589857" spans="1:1" x14ac:dyDescent="0.3">
      <c r="A589857" s="15" t="s">
        <v>89</v>
      </c>
    </row>
    <row r="589858" spans="1:1" x14ac:dyDescent="0.3">
      <c r="A589858" s="15" t="s">
        <v>184</v>
      </c>
    </row>
    <row r="589859" spans="1:1" x14ac:dyDescent="0.3">
      <c r="A589859" s="15" t="s">
        <v>185</v>
      </c>
    </row>
    <row r="589860" spans="1:1" x14ac:dyDescent="0.3">
      <c r="A589860" s="15" t="s">
        <v>186</v>
      </c>
    </row>
    <row r="589861" spans="1:1" x14ac:dyDescent="0.3">
      <c r="A589861" s="15" t="s">
        <v>187</v>
      </c>
    </row>
    <row r="589862" spans="1:1" x14ac:dyDescent="0.3">
      <c r="A589862" s="15" t="s">
        <v>188</v>
      </c>
    </row>
    <row r="589863" spans="1:1" x14ac:dyDescent="0.3">
      <c r="A589863" s="15" t="s">
        <v>189</v>
      </c>
    </row>
    <row r="589864" spans="1:1" x14ac:dyDescent="0.3">
      <c r="A589864" s="15" t="s">
        <v>190</v>
      </c>
    </row>
    <row r="589865" spans="1:1" x14ac:dyDescent="0.3">
      <c r="A589865" s="14" t="s">
        <v>47</v>
      </c>
    </row>
    <row r="589866" spans="1:1" x14ac:dyDescent="0.3">
      <c r="A589866" s="14" t="s">
        <v>118</v>
      </c>
    </row>
    <row r="589867" spans="1:1" x14ac:dyDescent="0.3">
      <c r="A589867" s="14" t="s">
        <v>85</v>
      </c>
    </row>
    <row r="589868" spans="1:1" x14ac:dyDescent="0.3">
      <c r="A589868" s="13" t="s">
        <v>21</v>
      </c>
    </row>
    <row r="589869" spans="1:1" x14ac:dyDescent="0.3">
      <c r="A589869" s="14" t="s">
        <v>91</v>
      </c>
    </row>
    <row r="589870" spans="1:1" x14ac:dyDescent="0.3">
      <c r="A589870" s="14" t="s">
        <v>92</v>
      </c>
    </row>
    <row r="589871" spans="1:1" x14ac:dyDescent="0.3">
      <c r="A589871" s="14" t="s">
        <v>98</v>
      </c>
    </row>
    <row r="589872" spans="1:1" x14ac:dyDescent="0.3">
      <c r="A589872" s="14" t="s">
        <v>99</v>
      </c>
    </row>
    <row r="589873" spans="1:1" x14ac:dyDescent="0.3">
      <c r="A589873" s="13" t="s">
        <v>24</v>
      </c>
    </row>
    <row r="589874" spans="1:1" x14ac:dyDescent="0.3">
      <c r="A589874" s="13" t="s">
        <v>82</v>
      </c>
    </row>
    <row r="589875" spans="1:1" x14ac:dyDescent="0.3">
      <c r="A589875" s="13" t="s">
        <v>105</v>
      </c>
    </row>
    <row r="589876" spans="1:1" x14ac:dyDescent="0.3">
      <c r="A589876" s="13" t="s">
        <v>100</v>
      </c>
    </row>
    <row r="589877" spans="1:1" x14ac:dyDescent="0.3">
      <c r="A589877" s="13" t="s">
        <v>101</v>
      </c>
    </row>
    <row r="589878" spans="1:1" x14ac:dyDescent="0.3">
      <c r="A589878" s="13" t="s">
        <v>102</v>
      </c>
    </row>
    <row r="589879" spans="1:1" x14ac:dyDescent="0.3">
      <c r="A589879" s="13" t="s">
        <v>103</v>
      </c>
    </row>
    <row r="589880" spans="1:1" x14ac:dyDescent="0.3">
      <c r="A589880" s="13" t="s">
        <v>104</v>
      </c>
    </row>
    <row r="606210" spans="1:1" x14ac:dyDescent="0.3">
      <c r="A606210" s="13" t="s">
        <v>0</v>
      </c>
    </row>
    <row r="606211" spans="1:1" x14ac:dyDescent="0.3">
      <c r="A606211" s="13" t="s">
        <v>124</v>
      </c>
    </row>
    <row r="606212" spans="1:1" x14ac:dyDescent="0.3">
      <c r="A606212" s="13" t="s">
        <v>1</v>
      </c>
    </row>
    <row r="606213" spans="1:1" x14ac:dyDescent="0.3">
      <c r="A606213" s="13" t="s">
        <v>2</v>
      </c>
    </row>
    <row r="606214" spans="1:1" x14ac:dyDescent="0.3">
      <c r="A606214" s="14" t="s">
        <v>25</v>
      </c>
    </row>
    <row r="606215" spans="1:1" x14ac:dyDescent="0.3">
      <c r="A606215" s="13" t="s">
        <v>125</v>
      </c>
    </row>
    <row r="606216" spans="1:1" x14ac:dyDescent="0.3">
      <c r="A606216" s="13" t="s">
        <v>126</v>
      </c>
    </row>
    <row r="606217" spans="1:1" x14ac:dyDescent="0.3">
      <c r="A606217" s="13" t="s">
        <v>87</v>
      </c>
    </row>
    <row r="606218" spans="1:1" x14ac:dyDescent="0.3">
      <c r="A606218" s="13" t="s">
        <v>22</v>
      </c>
    </row>
    <row r="606219" spans="1:1" x14ac:dyDescent="0.3">
      <c r="A606219" s="13" t="s">
        <v>3</v>
      </c>
    </row>
    <row r="606220" spans="1:1" x14ac:dyDescent="0.3">
      <c r="A606220" s="15" t="s">
        <v>94</v>
      </c>
    </row>
    <row r="606221" spans="1:1" x14ac:dyDescent="0.3">
      <c r="A606221" s="15" t="s">
        <v>93</v>
      </c>
    </row>
    <row r="606222" spans="1:1" x14ac:dyDescent="0.3">
      <c r="A606222" s="15" t="s">
        <v>4</v>
      </c>
    </row>
    <row r="606223" spans="1:1" x14ac:dyDescent="0.3">
      <c r="A606223" s="15" t="s">
        <v>117</v>
      </c>
    </row>
    <row r="606224" spans="1:1" x14ac:dyDescent="0.3">
      <c r="A606224" s="15" t="s">
        <v>5</v>
      </c>
    </row>
    <row r="606225" spans="1:1" x14ac:dyDescent="0.3">
      <c r="A606225" s="15" t="s">
        <v>6</v>
      </c>
    </row>
    <row r="606226" spans="1:1" x14ac:dyDescent="0.3">
      <c r="A606226" s="15" t="s">
        <v>7</v>
      </c>
    </row>
    <row r="606227" spans="1:1" x14ac:dyDescent="0.3">
      <c r="A606227" s="15" t="s">
        <v>8</v>
      </c>
    </row>
    <row r="606228" spans="1:1" x14ac:dyDescent="0.3">
      <c r="A606228" s="15" t="s">
        <v>9</v>
      </c>
    </row>
    <row r="606229" spans="1:1" x14ac:dyDescent="0.3">
      <c r="A606229" s="15" t="s">
        <v>10</v>
      </c>
    </row>
    <row r="606230" spans="1:1" x14ac:dyDescent="0.3">
      <c r="A606230" s="15" t="s">
        <v>11</v>
      </c>
    </row>
    <row r="606231" spans="1:1" x14ac:dyDescent="0.3">
      <c r="A606231" s="15" t="s">
        <v>12</v>
      </c>
    </row>
    <row r="606232" spans="1:1" x14ac:dyDescent="0.3">
      <c r="A606232" s="15" t="s">
        <v>13</v>
      </c>
    </row>
    <row r="606233" spans="1:1" x14ac:dyDescent="0.3">
      <c r="A606233" s="15" t="s">
        <v>14</v>
      </c>
    </row>
    <row r="606234" spans="1:1" x14ac:dyDescent="0.3">
      <c r="A606234" s="13" t="s">
        <v>31</v>
      </c>
    </row>
    <row r="606235" spans="1:1" x14ac:dyDescent="0.3">
      <c r="A606235" s="13" t="s">
        <v>86</v>
      </c>
    </row>
    <row r="606236" spans="1:1" x14ac:dyDescent="0.3">
      <c r="A606236" s="15" t="s">
        <v>30</v>
      </c>
    </row>
    <row r="606237" spans="1:1" x14ac:dyDescent="0.3">
      <c r="A606237" s="15" t="s">
        <v>26</v>
      </c>
    </row>
    <row r="606238" spans="1:1" x14ac:dyDescent="0.3">
      <c r="A606238" s="15" t="s">
        <v>27</v>
      </c>
    </row>
    <row r="606239" spans="1:1" x14ac:dyDescent="0.3">
      <c r="A606239" s="15" t="s">
        <v>28</v>
      </c>
    </row>
    <row r="606240" spans="1:1" x14ac:dyDescent="0.3">
      <c r="A606240" s="15" t="s">
        <v>88</v>
      </c>
    </row>
    <row r="606241" spans="1:1" x14ac:dyDescent="0.3">
      <c r="A606241" s="15" t="s">
        <v>89</v>
      </c>
    </row>
    <row r="606242" spans="1:1" x14ac:dyDescent="0.3">
      <c r="A606242" s="15" t="s">
        <v>184</v>
      </c>
    </row>
    <row r="606243" spans="1:1" x14ac:dyDescent="0.3">
      <c r="A606243" s="15" t="s">
        <v>185</v>
      </c>
    </row>
    <row r="606244" spans="1:1" x14ac:dyDescent="0.3">
      <c r="A606244" s="15" t="s">
        <v>186</v>
      </c>
    </row>
    <row r="606245" spans="1:1" x14ac:dyDescent="0.3">
      <c r="A606245" s="15" t="s">
        <v>187</v>
      </c>
    </row>
    <row r="606246" spans="1:1" x14ac:dyDescent="0.3">
      <c r="A606246" s="15" t="s">
        <v>188</v>
      </c>
    </row>
    <row r="606247" spans="1:1" x14ac:dyDescent="0.3">
      <c r="A606247" s="15" t="s">
        <v>189</v>
      </c>
    </row>
    <row r="606248" spans="1:1" x14ac:dyDescent="0.3">
      <c r="A606248" s="15" t="s">
        <v>190</v>
      </c>
    </row>
    <row r="606249" spans="1:1" x14ac:dyDescent="0.3">
      <c r="A606249" s="14" t="s">
        <v>47</v>
      </c>
    </row>
    <row r="606250" spans="1:1" x14ac:dyDescent="0.3">
      <c r="A606250" s="14" t="s">
        <v>118</v>
      </c>
    </row>
    <row r="606251" spans="1:1" x14ac:dyDescent="0.3">
      <c r="A606251" s="14" t="s">
        <v>85</v>
      </c>
    </row>
    <row r="606252" spans="1:1" x14ac:dyDescent="0.3">
      <c r="A606252" s="13" t="s">
        <v>21</v>
      </c>
    </row>
    <row r="606253" spans="1:1" x14ac:dyDescent="0.3">
      <c r="A606253" s="14" t="s">
        <v>91</v>
      </c>
    </row>
    <row r="606254" spans="1:1" x14ac:dyDescent="0.3">
      <c r="A606254" s="14" t="s">
        <v>92</v>
      </c>
    </row>
    <row r="606255" spans="1:1" x14ac:dyDescent="0.3">
      <c r="A606255" s="14" t="s">
        <v>98</v>
      </c>
    </row>
    <row r="606256" spans="1:1" x14ac:dyDescent="0.3">
      <c r="A606256" s="14" t="s">
        <v>99</v>
      </c>
    </row>
    <row r="606257" spans="1:1" x14ac:dyDescent="0.3">
      <c r="A606257" s="13" t="s">
        <v>24</v>
      </c>
    </row>
    <row r="606258" spans="1:1" x14ac:dyDescent="0.3">
      <c r="A606258" s="13" t="s">
        <v>82</v>
      </c>
    </row>
    <row r="606259" spans="1:1" x14ac:dyDescent="0.3">
      <c r="A606259" s="13" t="s">
        <v>105</v>
      </c>
    </row>
    <row r="606260" spans="1:1" x14ac:dyDescent="0.3">
      <c r="A606260" s="13" t="s">
        <v>100</v>
      </c>
    </row>
    <row r="606261" spans="1:1" x14ac:dyDescent="0.3">
      <c r="A606261" s="13" t="s">
        <v>101</v>
      </c>
    </row>
    <row r="606262" spans="1:1" x14ac:dyDescent="0.3">
      <c r="A606262" s="13" t="s">
        <v>102</v>
      </c>
    </row>
    <row r="606263" spans="1:1" x14ac:dyDescent="0.3">
      <c r="A606263" s="13" t="s">
        <v>103</v>
      </c>
    </row>
    <row r="606264" spans="1:1" x14ac:dyDescent="0.3">
      <c r="A606264" s="13" t="s">
        <v>104</v>
      </c>
    </row>
    <row r="622594" spans="1:1" x14ac:dyDescent="0.3">
      <c r="A622594" s="13" t="s">
        <v>0</v>
      </c>
    </row>
    <row r="622595" spans="1:1" x14ac:dyDescent="0.3">
      <c r="A622595" s="13" t="s">
        <v>124</v>
      </c>
    </row>
    <row r="622596" spans="1:1" x14ac:dyDescent="0.3">
      <c r="A622596" s="13" t="s">
        <v>1</v>
      </c>
    </row>
    <row r="622597" spans="1:1" x14ac:dyDescent="0.3">
      <c r="A622597" s="13" t="s">
        <v>2</v>
      </c>
    </row>
    <row r="622598" spans="1:1" x14ac:dyDescent="0.3">
      <c r="A622598" s="14" t="s">
        <v>25</v>
      </c>
    </row>
    <row r="622599" spans="1:1" x14ac:dyDescent="0.3">
      <c r="A622599" s="13" t="s">
        <v>125</v>
      </c>
    </row>
    <row r="622600" spans="1:1" x14ac:dyDescent="0.3">
      <c r="A622600" s="13" t="s">
        <v>126</v>
      </c>
    </row>
    <row r="622601" spans="1:1" x14ac:dyDescent="0.3">
      <c r="A622601" s="13" t="s">
        <v>87</v>
      </c>
    </row>
    <row r="622602" spans="1:1" x14ac:dyDescent="0.3">
      <c r="A622602" s="13" t="s">
        <v>22</v>
      </c>
    </row>
    <row r="622603" spans="1:1" x14ac:dyDescent="0.3">
      <c r="A622603" s="13" t="s">
        <v>3</v>
      </c>
    </row>
    <row r="622604" spans="1:1" x14ac:dyDescent="0.3">
      <c r="A622604" s="15" t="s">
        <v>94</v>
      </c>
    </row>
    <row r="622605" spans="1:1" x14ac:dyDescent="0.3">
      <c r="A622605" s="15" t="s">
        <v>93</v>
      </c>
    </row>
    <row r="622606" spans="1:1" x14ac:dyDescent="0.3">
      <c r="A622606" s="15" t="s">
        <v>4</v>
      </c>
    </row>
    <row r="622607" spans="1:1" x14ac:dyDescent="0.3">
      <c r="A622607" s="15" t="s">
        <v>117</v>
      </c>
    </row>
    <row r="622608" spans="1:1" x14ac:dyDescent="0.3">
      <c r="A622608" s="15" t="s">
        <v>5</v>
      </c>
    </row>
    <row r="622609" spans="1:1" x14ac:dyDescent="0.3">
      <c r="A622609" s="15" t="s">
        <v>6</v>
      </c>
    </row>
    <row r="622610" spans="1:1" x14ac:dyDescent="0.3">
      <c r="A622610" s="15" t="s">
        <v>7</v>
      </c>
    </row>
    <row r="622611" spans="1:1" x14ac:dyDescent="0.3">
      <c r="A622611" s="15" t="s">
        <v>8</v>
      </c>
    </row>
    <row r="622612" spans="1:1" x14ac:dyDescent="0.3">
      <c r="A622612" s="15" t="s">
        <v>9</v>
      </c>
    </row>
    <row r="622613" spans="1:1" x14ac:dyDescent="0.3">
      <c r="A622613" s="15" t="s">
        <v>10</v>
      </c>
    </row>
    <row r="622614" spans="1:1" x14ac:dyDescent="0.3">
      <c r="A622614" s="15" t="s">
        <v>11</v>
      </c>
    </row>
    <row r="622615" spans="1:1" x14ac:dyDescent="0.3">
      <c r="A622615" s="15" t="s">
        <v>12</v>
      </c>
    </row>
    <row r="622616" spans="1:1" x14ac:dyDescent="0.3">
      <c r="A622616" s="15" t="s">
        <v>13</v>
      </c>
    </row>
    <row r="622617" spans="1:1" x14ac:dyDescent="0.3">
      <c r="A622617" s="15" t="s">
        <v>14</v>
      </c>
    </row>
    <row r="622618" spans="1:1" x14ac:dyDescent="0.3">
      <c r="A622618" s="13" t="s">
        <v>31</v>
      </c>
    </row>
    <row r="622619" spans="1:1" x14ac:dyDescent="0.3">
      <c r="A622619" s="13" t="s">
        <v>86</v>
      </c>
    </row>
    <row r="622620" spans="1:1" x14ac:dyDescent="0.3">
      <c r="A622620" s="15" t="s">
        <v>30</v>
      </c>
    </row>
    <row r="622621" spans="1:1" x14ac:dyDescent="0.3">
      <c r="A622621" s="15" t="s">
        <v>26</v>
      </c>
    </row>
    <row r="622622" spans="1:1" x14ac:dyDescent="0.3">
      <c r="A622622" s="15" t="s">
        <v>27</v>
      </c>
    </row>
    <row r="622623" spans="1:1" x14ac:dyDescent="0.3">
      <c r="A622623" s="15" t="s">
        <v>28</v>
      </c>
    </row>
    <row r="622624" spans="1:1" x14ac:dyDescent="0.3">
      <c r="A622624" s="15" t="s">
        <v>88</v>
      </c>
    </row>
    <row r="622625" spans="1:1" x14ac:dyDescent="0.3">
      <c r="A622625" s="15" t="s">
        <v>89</v>
      </c>
    </row>
    <row r="622626" spans="1:1" x14ac:dyDescent="0.3">
      <c r="A622626" s="15" t="s">
        <v>184</v>
      </c>
    </row>
    <row r="622627" spans="1:1" x14ac:dyDescent="0.3">
      <c r="A622627" s="15" t="s">
        <v>185</v>
      </c>
    </row>
    <row r="622628" spans="1:1" x14ac:dyDescent="0.3">
      <c r="A622628" s="15" t="s">
        <v>186</v>
      </c>
    </row>
    <row r="622629" spans="1:1" x14ac:dyDescent="0.3">
      <c r="A622629" s="15" t="s">
        <v>187</v>
      </c>
    </row>
    <row r="622630" spans="1:1" x14ac:dyDescent="0.3">
      <c r="A622630" s="15" t="s">
        <v>188</v>
      </c>
    </row>
    <row r="622631" spans="1:1" x14ac:dyDescent="0.3">
      <c r="A622631" s="15" t="s">
        <v>189</v>
      </c>
    </row>
    <row r="622632" spans="1:1" x14ac:dyDescent="0.3">
      <c r="A622632" s="15" t="s">
        <v>190</v>
      </c>
    </row>
    <row r="622633" spans="1:1" x14ac:dyDescent="0.3">
      <c r="A622633" s="14" t="s">
        <v>47</v>
      </c>
    </row>
    <row r="622634" spans="1:1" x14ac:dyDescent="0.3">
      <c r="A622634" s="14" t="s">
        <v>118</v>
      </c>
    </row>
    <row r="622635" spans="1:1" x14ac:dyDescent="0.3">
      <c r="A622635" s="14" t="s">
        <v>85</v>
      </c>
    </row>
    <row r="622636" spans="1:1" x14ac:dyDescent="0.3">
      <c r="A622636" s="13" t="s">
        <v>21</v>
      </c>
    </row>
    <row r="622637" spans="1:1" x14ac:dyDescent="0.3">
      <c r="A622637" s="14" t="s">
        <v>91</v>
      </c>
    </row>
    <row r="622638" spans="1:1" x14ac:dyDescent="0.3">
      <c r="A622638" s="14" t="s">
        <v>92</v>
      </c>
    </row>
    <row r="622639" spans="1:1" x14ac:dyDescent="0.3">
      <c r="A622639" s="14" t="s">
        <v>98</v>
      </c>
    </row>
    <row r="622640" spans="1:1" x14ac:dyDescent="0.3">
      <c r="A622640" s="14" t="s">
        <v>99</v>
      </c>
    </row>
    <row r="622641" spans="1:1" x14ac:dyDescent="0.3">
      <c r="A622641" s="13" t="s">
        <v>24</v>
      </c>
    </row>
    <row r="622642" spans="1:1" x14ac:dyDescent="0.3">
      <c r="A622642" s="13" t="s">
        <v>82</v>
      </c>
    </row>
    <row r="622643" spans="1:1" x14ac:dyDescent="0.3">
      <c r="A622643" s="13" t="s">
        <v>105</v>
      </c>
    </row>
    <row r="622644" spans="1:1" x14ac:dyDescent="0.3">
      <c r="A622644" s="13" t="s">
        <v>100</v>
      </c>
    </row>
    <row r="622645" spans="1:1" x14ac:dyDescent="0.3">
      <c r="A622645" s="13" t="s">
        <v>101</v>
      </c>
    </row>
    <row r="622646" spans="1:1" x14ac:dyDescent="0.3">
      <c r="A622646" s="13" t="s">
        <v>102</v>
      </c>
    </row>
    <row r="622647" spans="1:1" x14ac:dyDescent="0.3">
      <c r="A622647" s="13" t="s">
        <v>103</v>
      </c>
    </row>
    <row r="622648" spans="1:1" x14ac:dyDescent="0.3">
      <c r="A622648" s="13" t="s">
        <v>104</v>
      </c>
    </row>
    <row r="638978" spans="1:1" x14ac:dyDescent="0.3">
      <c r="A638978" s="13" t="s">
        <v>0</v>
      </c>
    </row>
    <row r="638979" spans="1:1" x14ac:dyDescent="0.3">
      <c r="A638979" s="13" t="s">
        <v>124</v>
      </c>
    </row>
    <row r="638980" spans="1:1" x14ac:dyDescent="0.3">
      <c r="A638980" s="13" t="s">
        <v>1</v>
      </c>
    </row>
    <row r="638981" spans="1:1" x14ac:dyDescent="0.3">
      <c r="A638981" s="13" t="s">
        <v>2</v>
      </c>
    </row>
    <row r="638982" spans="1:1" x14ac:dyDescent="0.3">
      <c r="A638982" s="14" t="s">
        <v>25</v>
      </c>
    </row>
    <row r="638983" spans="1:1" x14ac:dyDescent="0.3">
      <c r="A638983" s="13" t="s">
        <v>125</v>
      </c>
    </row>
    <row r="638984" spans="1:1" x14ac:dyDescent="0.3">
      <c r="A638984" s="13" t="s">
        <v>126</v>
      </c>
    </row>
    <row r="638985" spans="1:1" x14ac:dyDescent="0.3">
      <c r="A638985" s="13" t="s">
        <v>87</v>
      </c>
    </row>
    <row r="638986" spans="1:1" x14ac:dyDescent="0.3">
      <c r="A638986" s="13" t="s">
        <v>22</v>
      </c>
    </row>
    <row r="638987" spans="1:1" x14ac:dyDescent="0.3">
      <c r="A638987" s="13" t="s">
        <v>3</v>
      </c>
    </row>
    <row r="638988" spans="1:1" x14ac:dyDescent="0.3">
      <c r="A638988" s="15" t="s">
        <v>94</v>
      </c>
    </row>
    <row r="638989" spans="1:1" x14ac:dyDescent="0.3">
      <c r="A638989" s="15" t="s">
        <v>93</v>
      </c>
    </row>
    <row r="638990" spans="1:1" x14ac:dyDescent="0.3">
      <c r="A638990" s="15" t="s">
        <v>4</v>
      </c>
    </row>
    <row r="638991" spans="1:1" x14ac:dyDescent="0.3">
      <c r="A638991" s="15" t="s">
        <v>117</v>
      </c>
    </row>
    <row r="638992" spans="1:1" x14ac:dyDescent="0.3">
      <c r="A638992" s="15" t="s">
        <v>5</v>
      </c>
    </row>
    <row r="638993" spans="1:1" x14ac:dyDescent="0.3">
      <c r="A638993" s="15" t="s">
        <v>6</v>
      </c>
    </row>
    <row r="638994" spans="1:1" x14ac:dyDescent="0.3">
      <c r="A638994" s="15" t="s">
        <v>7</v>
      </c>
    </row>
    <row r="638995" spans="1:1" x14ac:dyDescent="0.3">
      <c r="A638995" s="15" t="s">
        <v>8</v>
      </c>
    </row>
    <row r="638996" spans="1:1" x14ac:dyDescent="0.3">
      <c r="A638996" s="15" t="s">
        <v>9</v>
      </c>
    </row>
    <row r="638997" spans="1:1" x14ac:dyDescent="0.3">
      <c r="A638997" s="15" t="s">
        <v>10</v>
      </c>
    </row>
    <row r="638998" spans="1:1" x14ac:dyDescent="0.3">
      <c r="A638998" s="15" t="s">
        <v>11</v>
      </c>
    </row>
    <row r="638999" spans="1:1" x14ac:dyDescent="0.3">
      <c r="A638999" s="15" t="s">
        <v>12</v>
      </c>
    </row>
    <row r="639000" spans="1:1" x14ac:dyDescent="0.3">
      <c r="A639000" s="15" t="s">
        <v>13</v>
      </c>
    </row>
    <row r="639001" spans="1:1" x14ac:dyDescent="0.3">
      <c r="A639001" s="15" t="s">
        <v>14</v>
      </c>
    </row>
    <row r="639002" spans="1:1" x14ac:dyDescent="0.3">
      <c r="A639002" s="13" t="s">
        <v>31</v>
      </c>
    </row>
    <row r="639003" spans="1:1" x14ac:dyDescent="0.3">
      <c r="A639003" s="13" t="s">
        <v>86</v>
      </c>
    </row>
    <row r="639004" spans="1:1" x14ac:dyDescent="0.3">
      <c r="A639004" s="15" t="s">
        <v>30</v>
      </c>
    </row>
    <row r="639005" spans="1:1" x14ac:dyDescent="0.3">
      <c r="A639005" s="15" t="s">
        <v>26</v>
      </c>
    </row>
    <row r="639006" spans="1:1" x14ac:dyDescent="0.3">
      <c r="A639006" s="15" t="s">
        <v>27</v>
      </c>
    </row>
    <row r="639007" spans="1:1" x14ac:dyDescent="0.3">
      <c r="A639007" s="15" t="s">
        <v>28</v>
      </c>
    </row>
    <row r="639008" spans="1:1" x14ac:dyDescent="0.3">
      <c r="A639008" s="15" t="s">
        <v>88</v>
      </c>
    </row>
    <row r="639009" spans="1:1" x14ac:dyDescent="0.3">
      <c r="A639009" s="15" t="s">
        <v>89</v>
      </c>
    </row>
    <row r="639010" spans="1:1" x14ac:dyDescent="0.3">
      <c r="A639010" s="15" t="s">
        <v>184</v>
      </c>
    </row>
    <row r="639011" spans="1:1" x14ac:dyDescent="0.3">
      <c r="A639011" s="15" t="s">
        <v>185</v>
      </c>
    </row>
    <row r="639012" spans="1:1" x14ac:dyDescent="0.3">
      <c r="A639012" s="15" t="s">
        <v>186</v>
      </c>
    </row>
    <row r="639013" spans="1:1" x14ac:dyDescent="0.3">
      <c r="A639013" s="15" t="s">
        <v>187</v>
      </c>
    </row>
    <row r="639014" spans="1:1" x14ac:dyDescent="0.3">
      <c r="A639014" s="15" t="s">
        <v>188</v>
      </c>
    </row>
    <row r="639015" spans="1:1" x14ac:dyDescent="0.3">
      <c r="A639015" s="15" t="s">
        <v>189</v>
      </c>
    </row>
    <row r="639016" spans="1:1" x14ac:dyDescent="0.3">
      <c r="A639016" s="15" t="s">
        <v>190</v>
      </c>
    </row>
    <row r="639017" spans="1:1" x14ac:dyDescent="0.3">
      <c r="A639017" s="14" t="s">
        <v>47</v>
      </c>
    </row>
    <row r="639018" spans="1:1" x14ac:dyDescent="0.3">
      <c r="A639018" s="14" t="s">
        <v>118</v>
      </c>
    </row>
    <row r="639019" spans="1:1" x14ac:dyDescent="0.3">
      <c r="A639019" s="14" t="s">
        <v>85</v>
      </c>
    </row>
    <row r="639020" spans="1:1" x14ac:dyDescent="0.3">
      <c r="A639020" s="13" t="s">
        <v>21</v>
      </c>
    </row>
    <row r="639021" spans="1:1" x14ac:dyDescent="0.3">
      <c r="A639021" s="14" t="s">
        <v>91</v>
      </c>
    </row>
    <row r="639022" spans="1:1" x14ac:dyDescent="0.3">
      <c r="A639022" s="14" t="s">
        <v>92</v>
      </c>
    </row>
    <row r="639023" spans="1:1" x14ac:dyDescent="0.3">
      <c r="A639023" s="14" t="s">
        <v>98</v>
      </c>
    </row>
    <row r="639024" spans="1:1" x14ac:dyDescent="0.3">
      <c r="A639024" s="14" t="s">
        <v>99</v>
      </c>
    </row>
    <row r="639025" spans="1:1" x14ac:dyDescent="0.3">
      <c r="A639025" s="13" t="s">
        <v>24</v>
      </c>
    </row>
    <row r="639026" spans="1:1" x14ac:dyDescent="0.3">
      <c r="A639026" s="13" t="s">
        <v>82</v>
      </c>
    </row>
    <row r="639027" spans="1:1" x14ac:dyDescent="0.3">
      <c r="A639027" s="13" t="s">
        <v>105</v>
      </c>
    </row>
    <row r="639028" spans="1:1" x14ac:dyDescent="0.3">
      <c r="A639028" s="13" t="s">
        <v>100</v>
      </c>
    </row>
    <row r="639029" spans="1:1" x14ac:dyDescent="0.3">
      <c r="A639029" s="13" t="s">
        <v>101</v>
      </c>
    </row>
    <row r="639030" spans="1:1" x14ac:dyDescent="0.3">
      <c r="A639030" s="13" t="s">
        <v>102</v>
      </c>
    </row>
    <row r="639031" spans="1:1" x14ac:dyDescent="0.3">
      <c r="A639031" s="13" t="s">
        <v>103</v>
      </c>
    </row>
    <row r="639032" spans="1:1" x14ac:dyDescent="0.3">
      <c r="A639032" s="13" t="s">
        <v>104</v>
      </c>
    </row>
    <row r="655362" spans="1:1" x14ac:dyDescent="0.3">
      <c r="A655362" s="13" t="s">
        <v>0</v>
      </c>
    </row>
    <row r="655363" spans="1:1" x14ac:dyDescent="0.3">
      <c r="A655363" s="13" t="s">
        <v>124</v>
      </c>
    </row>
    <row r="655364" spans="1:1" x14ac:dyDescent="0.3">
      <c r="A655364" s="13" t="s">
        <v>1</v>
      </c>
    </row>
    <row r="655365" spans="1:1" x14ac:dyDescent="0.3">
      <c r="A655365" s="13" t="s">
        <v>2</v>
      </c>
    </row>
    <row r="655366" spans="1:1" x14ac:dyDescent="0.3">
      <c r="A655366" s="14" t="s">
        <v>25</v>
      </c>
    </row>
    <row r="655367" spans="1:1" x14ac:dyDescent="0.3">
      <c r="A655367" s="13" t="s">
        <v>125</v>
      </c>
    </row>
    <row r="655368" spans="1:1" x14ac:dyDescent="0.3">
      <c r="A655368" s="13" t="s">
        <v>126</v>
      </c>
    </row>
    <row r="655369" spans="1:1" x14ac:dyDescent="0.3">
      <c r="A655369" s="13" t="s">
        <v>87</v>
      </c>
    </row>
    <row r="655370" spans="1:1" x14ac:dyDescent="0.3">
      <c r="A655370" s="13" t="s">
        <v>22</v>
      </c>
    </row>
    <row r="655371" spans="1:1" x14ac:dyDescent="0.3">
      <c r="A655371" s="13" t="s">
        <v>3</v>
      </c>
    </row>
    <row r="655372" spans="1:1" x14ac:dyDescent="0.3">
      <c r="A655372" s="15" t="s">
        <v>94</v>
      </c>
    </row>
    <row r="655373" spans="1:1" x14ac:dyDescent="0.3">
      <c r="A655373" s="15" t="s">
        <v>93</v>
      </c>
    </row>
    <row r="655374" spans="1:1" x14ac:dyDescent="0.3">
      <c r="A655374" s="15" t="s">
        <v>4</v>
      </c>
    </row>
    <row r="655375" spans="1:1" x14ac:dyDescent="0.3">
      <c r="A655375" s="15" t="s">
        <v>117</v>
      </c>
    </row>
    <row r="655376" spans="1:1" x14ac:dyDescent="0.3">
      <c r="A655376" s="15" t="s">
        <v>5</v>
      </c>
    </row>
    <row r="655377" spans="1:1" x14ac:dyDescent="0.3">
      <c r="A655377" s="15" t="s">
        <v>6</v>
      </c>
    </row>
    <row r="655378" spans="1:1" x14ac:dyDescent="0.3">
      <c r="A655378" s="15" t="s">
        <v>7</v>
      </c>
    </row>
    <row r="655379" spans="1:1" x14ac:dyDescent="0.3">
      <c r="A655379" s="15" t="s">
        <v>8</v>
      </c>
    </row>
    <row r="655380" spans="1:1" x14ac:dyDescent="0.3">
      <c r="A655380" s="15" t="s">
        <v>9</v>
      </c>
    </row>
    <row r="655381" spans="1:1" x14ac:dyDescent="0.3">
      <c r="A655381" s="15" t="s">
        <v>10</v>
      </c>
    </row>
    <row r="655382" spans="1:1" x14ac:dyDescent="0.3">
      <c r="A655382" s="15" t="s">
        <v>11</v>
      </c>
    </row>
    <row r="655383" spans="1:1" x14ac:dyDescent="0.3">
      <c r="A655383" s="15" t="s">
        <v>12</v>
      </c>
    </row>
    <row r="655384" spans="1:1" x14ac:dyDescent="0.3">
      <c r="A655384" s="15" t="s">
        <v>13</v>
      </c>
    </row>
    <row r="655385" spans="1:1" x14ac:dyDescent="0.3">
      <c r="A655385" s="15" t="s">
        <v>14</v>
      </c>
    </row>
    <row r="655386" spans="1:1" x14ac:dyDescent="0.3">
      <c r="A655386" s="13" t="s">
        <v>31</v>
      </c>
    </row>
    <row r="655387" spans="1:1" x14ac:dyDescent="0.3">
      <c r="A655387" s="13" t="s">
        <v>86</v>
      </c>
    </row>
    <row r="655388" spans="1:1" x14ac:dyDescent="0.3">
      <c r="A655388" s="15" t="s">
        <v>30</v>
      </c>
    </row>
    <row r="655389" spans="1:1" x14ac:dyDescent="0.3">
      <c r="A655389" s="15" t="s">
        <v>26</v>
      </c>
    </row>
    <row r="655390" spans="1:1" x14ac:dyDescent="0.3">
      <c r="A655390" s="15" t="s">
        <v>27</v>
      </c>
    </row>
    <row r="655391" spans="1:1" x14ac:dyDescent="0.3">
      <c r="A655391" s="15" t="s">
        <v>28</v>
      </c>
    </row>
    <row r="655392" spans="1:1" x14ac:dyDescent="0.3">
      <c r="A655392" s="15" t="s">
        <v>88</v>
      </c>
    </row>
    <row r="655393" spans="1:1" x14ac:dyDescent="0.3">
      <c r="A655393" s="15" t="s">
        <v>89</v>
      </c>
    </row>
    <row r="655394" spans="1:1" x14ac:dyDescent="0.3">
      <c r="A655394" s="15" t="s">
        <v>184</v>
      </c>
    </row>
    <row r="655395" spans="1:1" x14ac:dyDescent="0.3">
      <c r="A655395" s="15" t="s">
        <v>185</v>
      </c>
    </row>
    <row r="655396" spans="1:1" x14ac:dyDescent="0.3">
      <c r="A655396" s="15" t="s">
        <v>186</v>
      </c>
    </row>
    <row r="655397" spans="1:1" x14ac:dyDescent="0.3">
      <c r="A655397" s="15" t="s">
        <v>187</v>
      </c>
    </row>
    <row r="655398" spans="1:1" x14ac:dyDescent="0.3">
      <c r="A655398" s="15" t="s">
        <v>188</v>
      </c>
    </row>
    <row r="655399" spans="1:1" x14ac:dyDescent="0.3">
      <c r="A655399" s="15" t="s">
        <v>189</v>
      </c>
    </row>
    <row r="655400" spans="1:1" x14ac:dyDescent="0.3">
      <c r="A655400" s="15" t="s">
        <v>190</v>
      </c>
    </row>
    <row r="655401" spans="1:1" x14ac:dyDescent="0.3">
      <c r="A655401" s="14" t="s">
        <v>47</v>
      </c>
    </row>
    <row r="655402" spans="1:1" x14ac:dyDescent="0.3">
      <c r="A655402" s="14" t="s">
        <v>118</v>
      </c>
    </row>
    <row r="655403" spans="1:1" x14ac:dyDescent="0.3">
      <c r="A655403" s="14" t="s">
        <v>85</v>
      </c>
    </row>
    <row r="655404" spans="1:1" x14ac:dyDescent="0.3">
      <c r="A655404" s="13" t="s">
        <v>21</v>
      </c>
    </row>
    <row r="655405" spans="1:1" x14ac:dyDescent="0.3">
      <c r="A655405" s="14" t="s">
        <v>91</v>
      </c>
    </row>
    <row r="655406" spans="1:1" x14ac:dyDescent="0.3">
      <c r="A655406" s="14" t="s">
        <v>92</v>
      </c>
    </row>
    <row r="655407" spans="1:1" x14ac:dyDescent="0.3">
      <c r="A655407" s="14" t="s">
        <v>98</v>
      </c>
    </row>
    <row r="655408" spans="1:1" x14ac:dyDescent="0.3">
      <c r="A655408" s="14" t="s">
        <v>99</v>
      </c>
    </row>
    <row r="655409" spans="1:1" x14ac:dyDescent="0.3">
      <c r="A655409" s="13" t="s">
        <v>24</v>
      </c>
    </row>
    <row r="655410" spans="1:1" x14ac:dyDescent="0.3">
      <c r="A655410" s="13" t="s">
        <v>82</v>
      </c>
    </row>
    <row r="655411" spans="1:1" x14ac:dyDescent="0.3">
      <c r="A655411" s="13" t="s">
        <v>105</v>
      </c>
    </row>
    <row r="655412" spans="1:1" x14ac:dyDescent="0.3">
      <c r="A655412" s="13" t="s">
        <v>100</v>
      </c>
    </row>
    <row r="655413" spans="1:1" x14ac:dyDescent="0.3">
      <c r="A655413" s="13" t="s">
        <v>101</v>
      </c>
    </row>
    <row r="655414" spans="1:1" x14ac:dyDescent="0.3">
      <c r="A655414" s="13" t="s">
        <v>102</v>
      </c>
    </row>
    <row r="655415" spans="1:1" x14ac:dyDescent="0.3">
      <c r="A655415" s="13" t="s">
        <v>103</v>
      </c>
    </row>
    <row r="655416" spans="1:1" x14ac:dyDescent="0.3">
      <c r="A655416" s="13" t="s">
        <v>104</v>
      </c>
    </row>
    <row r="671746" spans="1:1" x14ac:dyDescent="0.3">
      <c r="A671746" s="13" t="s">
        <v>0</v>
      </c>
    </row>
    <row r="671747" spans="1:1" x14ac:dyDescent="0.3">
      <c r="A671747" s="13" t="s">
        <v>124</v>
      </c>
    </row>
    <row r="671748" spans="1:1" x14ac:dyDescent="0.3">
      <c r="A671748" s="13" t="s">
        <v>1</v>
      </c>
    </row>
    <row r="671749" spans="1:1" x14ac:dyDescent="0.3">
      <c r="A671749" s="13" t="s">
        <v>2</v>
      </c>
    </row>
    <row r="671750" spans="1:1" x14ac:dyDescent="0.3">
      <c r="A671750" s="14" t="s">
        <v>25</v>
      </c>
    </row>
    <row r="671751" spans="1:1" x14ac:dyDescent="0.3">
      <c r="A671751" s="13" t="s">
        <v>125</v>
      </c>
    </row>
    <row r="671752" spans="1:1" x14ac:dyDescent="0.3">
      <c r="A671752" s="13" t="s">
        <v>126</v>
      </c>
    </row>
    <row r="671753" spans="1:1" x14ac:dyDescent="0.3">
      <c r="A671753" s="13" t="s">
        <v>87</v>
      </c>
    </row>
    <row r="671754" spans="1:1" x14ac:dyDescent="0.3">
      <c r="A671754" s="13" t="s">
        <v>22</v>
      </c>
    </row>
    <row r="671755" spans="1:1" x14ac:dyDescent="0.3">
      <c r="A671755" s="13" t="s">
        <v>3</v>
      </c>
    </row>
    <row r="671756" spans="1:1" x14ac:dyDescent="0.3">
      <c r="A671756" s="15" t="s">
        <v>94</v>
      </c>
    </row>
    <row r="671757" spans="1:1" x14ac:dyDescent="0.3">
      <c r="A671757" s="15" t="s">
        <v>93</v>
      </c>
    </row>
    <row r="671758" spans="1:1" x14ac:dyDescent="0.3">
      <c r="A671758" s="15" t="s">
        <v>4</v>
      </c>
    </row>
    <row r="671759" spans="1:1" x14ac:dyDescent="0.3">
      <c r="A671759" s="15" t="s">
        <v>117</v>
      </c>
    </row>
    <row r="671760" spans="1:1" x14ac:dyDescent="0.3">
      <c r="A671760" s="15" t="s">
        <v>5</v>
      </c>
    </row>
    <row r="671761" spans="1:1" x14ac:dyDescent="0.3">
      <c r="A671761" s="15" t="s">
        <v>6</v>
      </c>
    </row>
    <row r="671762" spans="1:1" x14ac:dyDescent="0.3">
      <c r="A671762" s="15" t="s">
        <v>7</v>
      </c>
    </row>
    <row r="671763" spans="1:1" x14ac:dyDescent="0.3">
      <c r="A671763" s="15" t="s">
        <v>8</v>
      </c>
    </row>
    <row r="671764" spans="1:1" x14ac:dyDescent="0.3">
      <c r="A671764" s="15" t="s">
        <v>9</v>
      </c>
    </row>
    <row r="671765" spans="1:1" x14ac:dyDescent="0.3">
      <c r="A671765" s="15" t="s">
        <v>10</v>
      </c>
    </row>
    <row r="671766" spans="1:1" x14ac:dyDescent="0.3">
      <c r="A671766" s="15" t="s">
        <v>11</v>
      </c>
    </row>
    <row r="671767" spans="1:1" x14ac:dyDescent="0.3">
      <c r="A671767" s="15" t="s">
        <v>12</v>
      </c>
    </row>
    <row r="671768" spans="1:1" x14ac:dyDescent="0.3">
      <c r="A671768" s="15" t="s">
        <v>13</v>
      </c>
    </row>
    <row r="671769" spans="1:1" x14ac:dyDescent="0.3">
      <c r="A671769" s="15" t="s">
        <v>14</v>
      </c>
    </row>
    <row r="671770" spans="1:1" x14ac:dyDescent="0.3">
      <c r="A671770" s="13" t="s">
        <v>31</v>
      </c>
    </row>
    <row r="671771" spans="1:1" x14ac:dyDescent="0.3">
      <c r="A671771" s="13" t="s">
        <v>86</v>
      </c>
    </row>
    <row r="671772" spans="1:1" x14ac:dyDescent="0.3">
      <c r="A671772" s="15" t="s">
        <v>30</v>
      </c>
    </row>
    <row r="671773" spans="1:1" x14ac:dyDescent="0.3">
      <c r="A671773" s="15" t="s">
        <v>26</v>
      </c>
    </row>
    <row r="671774" spans="1:1" x14ac:dyDescent="0.3">
      <c r="A671774" s="15" t="s">
        <v>27</v>
      </c>
    </row>
    <row r="671775" spans="1:1" x14ac:dyDescent="0.3">
      <c r="A671775" s="15" t="s">
        <v>28</v>
      </c>
    </row>
    <row r="671776" spans="1:1" x14ac:dyDescent="0.3">
      <c r="A671776" s="15" t="s">
        <v>88</v>
      </c>
    </row>
    <row r="671777" spans="1:1" x14ac:dyDescent="0.3">
      <c r="A671777" s="15" t="s">
        <v>89</v>
      </c>
    </row>
    <row r="671778" spans="1:1" x14ac:dyDescent="0.3">
      <c r="A671778" s="15" t="s">
        <v>184</v>
      </c>
    </row>
    <row r="671779" spans="1:1" x14ac:dyDescent="0.3">
      <c r="A671779" s="15" t="s">
        <v>185</v>
      </c>
    </row>
    <row r="671780" spans="1:1" x14ac:dyDescent="0.3">
      <c r="A671780" s="15" t="s">
        <v>186</v>
      </c>
    </row>
    <row r="671781" spans="1:1" x14ac:dyDescent="0.3">
      <c r="A671781" s="15" t="s">
        <v>187</v>
      </c>
    </row>
    <row r="671782" spans="1:1" x14ac:dyDescent="0.3">
      <c r="A671782" s="15" t="s">
        <v>188</v>
      </c>
    </row>
    <row r="671783" spans="1:1" x14ac:dyDescent="0.3">
      <c r="A671783" s="15" t="s">
        <v>189</v>
      </c>
    </row>
    <row r="671784" spans="1:1" x14ac:dyDescent="0.3">
      <c r="A671784" s="15" t="s">
        <v>190</v>
      </c>
    </row>
    <row r="671785" spans="1:1" x14ac:dyDescent="0.3">
      <c r="A671785" s="14" t="s">
        <v>47</v>
      </c>
    </row>
    <row r="671786" spans="1:1" x14ac:dyDescent="0.3">
      <c r="A671786" s="14" t="s">
        <v>118</v>
      </c>
    </row>
    <row r="671787" spans="1:1" x14ac:dyDescent="0.3">
      <c r="A671787" s="14" t="s">
        <v>85</v>
      </c>
    </row>
    <row r="671788" spans="1:1" x14ac:dyDescent="0.3">
      <c r="A671788" s="13" t="s">
        <v>21</v>
      </c>
    </row>
    <row r="671789" spans="1:1" x14ac:dyDescent="0.3">
      <c r="A671789" s="14" t="s">
        <v>91</v>
      </c>
    </row>
    <row r="671790" spans="1:1" x14ac:dyDescent="0.3">
      <c r="A671790" s="14" t="s">
        <v>92</v>
      </c>
    </row>
    <row r="671791" spans="1:1" x14ac:dyDescent="0.3">
      <c r="A671791" s="14" t="s">
        <v>98</v>
      </c>
    </row>
    <row r="671792" spans="1:1" x14ac:dyDescent="0.3">
      <c r="A671792" s="14" t="s">
        <v>99</v>
      </c>
    </row>
    <row r="671793" spans="1:1" x14ac:dyDescent="0.3">
      <c r="A671793" s="13" t="s">
        <v>24</v>
      </c>
    </row>
    <row r="671794" spans="1:1" x14ac:dyDescent="0.3">
      <c r="A671794" s="13" t="s">
        <v>82</v>
      </c>
    </row>
    <row r="671795" spans="1:1" x14ac:dyDescent="0.3">
      <c r="A671795" s="13" t="s">
        <v>105</v>
      </c>
    </row>
    <row r="671796" spans="1:1" x14ac:dyDescent="0.3">
      <c r="A671796" s="13" t="s">
        <v>100</v>
      </c>
    </row>
    <row r="671797" spans="1:1" x14ac:dyDescent="0.3">
      <c r="A671797" s="13" t="s">
        <v>101</v>
      </c>
    </row>
    <row r="671798" spans="1:1" x14ac:dyDescent="0.3">
      <c r="A671798" s="13" t="s">
        <v>102</v>
      </c>
    </row>
    <row r="671799" spans="1:1" x14ac:dyDescent="0.3">
      <c r="A671799" s="13" t="s">
        <v>103</v>
      </c>
    </row>
    <row r="671800" spans="1:1" x14ac:dyDescent="0.3">
      <c r="A671800" s="13" t="s">
        <v>104</v>
      </c>
    </row>
    <row r="688130" spans="1:1" x14ac:dyDescent="0.3">
      <c r="A688130" s="13" t="s">
        <v>0</v>
      </c>
    </row>
    <row r="688131" spans="1:1" x14ac:dyDescent="0.3">
      <c r="A688131" s="13" t="s">
        <v>124</v>
      </c>
    </row>
    <row r="688132" spans="1:1" x14ac:dyDescent="0.3">
      <c r="A688132" s="13" t="s">
        <v>1</v>
      </c>
    </row>
    <row r="688133" spans="1:1" x14ac:dyDescent="0.3">
      <c r="A688133" s="13" t="s">
        <v>2</v>
      </c>
    </row>
    <row r="688134" spans="1:1" x14ac:dyDescent="0.3">
      <c r="A688134" s="14" t="s">
        <v>25</v>
      </c>
    </row>
    <row r="688135" spans="1:1" x14ac:dyDescent="0.3">
      <c r="A688135" s="13" t="s">
        <v>125</v>
      </c>
    </row>
    <row r="688136" spans="1:1" x14ac:dyDescent="0.3">
      <c r="A688136" s="13" t="s">
        <v>126</v>
      </c>
    </row>
    <row r="688137" spans="1:1" x14ac:dyDescent="0.3">
      <c r="A688137" s="13" t="s">
        <v>87</v>
      </c>
    </row>
    <row r="688138" spans="1:1" x14ac:dyDescent="0.3">
      <c r="A688138" s="13" t="s">
        <v>22</v>
      </c>
    </row>
    <row r="688139" spans="1:1" x14ac:dyDescent="0.3">
      <c r="A688139" s="13" t="s">
        <v>3</v>
      </c>
    </row>
    <row r="688140" spans="1:1" x14ac:dyDescent="0.3">
      <c r="A688140" s="15" t="s">
        <v>94</v>
      </c>
    </row>
    <row r="688141" spans="1:1" x14ac:dyDescent="0.3">
      <c r="A688141" s="15" t="s">
        <v>93</v>
      </c>
    </row>
    <row r="688142" spans="1:1" x14ac:dyDescent="0.3">
      <c r="A688142" s="15" t="s">
        <v>4</v>
      </c>
    </row>
    <row r="688143" spans="1:1" x14ac:dyDescent="0.3">
      <c r="A688143" s="15" t="s">
        <v>117</v>
      </c>
    </row>
    <row r="688144" spans="1:1" x14ac:dyDescent="0.3">
      <c r="A688144" s="15" t="s">
        <v>5</v>
      </c>
    </row>
    <row r="688145" spans="1:1" x14ac:dyDescent="0.3">
      <c r="A688145" s="15" t="s">
        <v>6</v>
      </c>
    </row>
    <row r="688146" spans="1:1" x14ac:dyDescent="0.3">
      <c r="A688146" s="15" t="s">
        <v>7</v>
      </c>
    </row>
    <row r="688147" spans="1:1" x14ac:dyDescent="0.3">
      <c r="A688147" s="15" t="s">
        <v>8</v>
      </c>
    </row>
    <row r="688148" spans="1:1" x14ac:dyDescent="0.3">
      <c r="A688148" s="15" t="s">
        <v>9</v>
      </c>
    </row>
    <row r="688149" spans="1:1" x14ac:dyDescent="0.3">
      <c r="A688149" s="15" t="s">
        <v>10</v>
      </c>
    </row>
    <row r="688150" spans="1:1" x14ac:dyDescent="0.3">
      <c r="A688150" s="15" t="s">
        <v>11</v>
      </c>
    </row>
    <row r="688151" spans="1:1" x14ac:dyDescent="0.3">
      <c r="A688151" s="15" t="s">
        <v>12</v>
      </c>
    </row>
    <row r="688152" spans="1:1" x14ac:dyDescent="0.3">
      <c r="A688152" s="15" t="s">
        <v>13</v>
      </c>
    </row>
    <row r="688153" spans="1:1" x14ac:dyDescent="0.3">
      <c r="A688153" s="15" t="s">
        <v>14</v>
      </c>
    </row>
    <row r="688154" spans="1:1" x14ac:dyDescent="0.3">
      <c r="A688154" s="13" t="s">
        <v>31</v>
      </c>
    </row>
    <row r="688155" spans="1:1" x14ac:dyDescent="0.3">
      <c r="A688155" s="13" t="s">
        <v>86</v>
      </c>
    </row>
    <row r="688156" spans="1:1" x14ac:dyDescent="0.3">
      <c r="A688156" s="15" t="s">
        <v>30</v>
      </c>
    </row>
    <row r="688157" spans="1:1" x14ac:dyDescent="0.3">
      <c r="A688157" s="15" t="s">
        <v>26</v>
      </c>
    </row>
    <row r="688158" spans="1:1" x14ac:dyDescent="0.3">
      <c r="A688158" s="15" t="s">
        <v>27</v>
      </c>
    </row>
    <row r="688159" spans="1:1" x14ac:dyDescent="0.3">
      <c r="A688159" s="15" t="s">
        <v>28</v>
      </c>
    </row>
    <row r="688160" spans="1:1" x14ac:dyDescent="0.3">
      <c r="A688160" s="15" t="s">
        <v>88</v>
      </c>
    </row>
    <row r="688161" spans="1:1" x14ac:dyDescent="0.3">
      <c r="A688161" s="15" t="s">
        <v>89</v>
      </c>
    </row>
    <row r="688162" spans="1:1" x14ac:dyDescent="0.3">
      <c r="A688162" s="15" t="s">
        <v>184</v>
      </c>
    </row>
    <row r="688163" spans="1:1" x14ac:dyDescent="0.3">
      <c r="A688163" s="15" t="s">
        <v>185</v>
      </c>
    </row>
    <row r="688164" spans="1:1" x14ac:dyDescent="0.3">
      <c r="A688164" s="15" t="s">
        <v>186</v>
      </c>
    </row>
    <row r="688165" spans="1:1" x14ac:dyDescent="0.3">
      <c r="A688165" s="15" t="s">
        <v>187</v>
      </c>
    </row>
    <row r="688166" spans="1:1" x14ac:dyDescent="0.3">
      <c r="A688166" s="15" t="s">
        <v>188</v>
      </c>
    </row>
    <row r="688167" spans="1:1" x14ac:dyDescent="0.3">
      <c r="A688167" s="15" t="s">
        <v>189</v>
      </c>
    </row>
    <row r="688168" spans="1:1" x14ac:dyDescent="0.3">
      <c r="A688168" s="15" t="s">
        <v>190</v>
      </c>
    </row>
    <row r="688169" spans="1:1" x14ac:dyDescent="0.3">
      <c r="A688169" s="14" t="s">
        <v>47</v>
      </c>
    </row>
    <row r="688170" spans="1:1" x14ac:dyDescent="0.3">
      <c r="A688170" s="14" t="s">
        <v>118</v>
      </c>
    </row>
    <row r="688171" spans="1:1" x14ac:dyDescent="0.3">
      <c r="A688171" s="14" t="s">
        <v>85</v>
      </c>
    </row>
    <row r="688172" spans="1:1" x14ac:dyDescent="0.3">
      <c r="A688172" s="13" t="s">
        <v>21</v>
      </c>
    </row>
    <row r="688173" spans="1:1" x14ac:dyDescent="0.3">
      <c r="A688173" s="14" t="s">
        <v>91</v>
      </c>
    </row>
    <row r="688174" spans="1:1" x14ac:dyDescent="0.3">
      <c r="A688174" s="14" t="s">
        <v>92</v>
      </c>
    </row>
    <row r="688175" spans="1:1" x14ac:dyDescent="0.3">
      <c r="A688175" s="14" t="s">
        <v>98</v>
      </c>
    </row>
    <row r="688176" spans="1:1" x14ac:dyDescent="0.3">
      <c r="A688176" s="14" t="s">
        <v>99</v>
      </c>
    </row>
    <row r="688177" spans="1:1" x14ac:dyDescent="0.3">
      <c r="A688177" s="13" t="s">
        <v>24</v>
      </c>
    </row>
    <row r="688178" spans="1:1" x14ac:dyDescent="0.3">
      <c r="A688178" s="13" t="s">
        <v>82</v>
      </c>
    </row>
    <row r="688179" spans="1:1" x14ac:dyDescent="0.3">
      <c r="A688179" s="13" t="s">
        <v>105</v>
      </c>
    </row>
    <row r="688180" spans="1:1" x14ac:dyDescent="0.3">
      <c r="A688180" s="13" t="s">
        <v>100</v>
      </c>
    </row>
    <row r="688181" spans="1:1" x14ac:dyDescent="0.3">
      <c r="A688181" s="13" t="s">
        <v>101</v>
      </c>
    </row>
    <row r="688182" spans="1:1" x14ac:dyDescent="0.3">
      <c r="A688182" s="13" t="s">
        <v>102</v>
      </c>
    </row>
    <row r="688183" spans="1:1" x14ac:dyDescent="0.3">
      <c r="A688183" s="13" t="s">
        <v>103</v>
      </c>
    </row>
    <row r="688184" spans="1:1" x14ac:dyDescent="0.3">
      <c r="A688184" s="13" t="s">
        <v>104</v>
      </c>
    </row>
    <row r="704514" spans="1:1" x14ac:dyDescent="0.3">
      <c r="A704514" s="13" t="s">
        <v>0</v>
      </c>
    </row>
    <row r="704515" spans="1:1" x14ac:dyDescent="0.3">
      <c r="A704515" s="13" t="s">
        <v>124</v>
      </c>
    </row>
    <row r="704516" spans="1:1" x14ac:dyDescent="0.3">
      <c r="A704516" s="13" t="s">
        <v>1</v>
      </c>
    </row>
    <row r="704517" spans="1:1" x14ac:dyDescent="0.3">
      <c r="A704517" s="13" t="s">
        <v>2</v>
      </c>
    </row>
    <row r="704518" spans="1:1" x14ac:dyDescent="0.3">
      <c r="A704518" s="14" t="s">
        <v>25</v>
      </c>
    </row>
    <row r="704519" spans="1:1" x14ac:dyDescent="0.3">
      <c r="A704519" s="13" t="s">
        <v>125</v>
      </c>
    </row>
    <row r="704520" spans="1:1" x14ac:dyDescent="0.3">
      <c r="A704520" s="13" t="s">
        <v>126</v>
      </c>
    </row>
    <row r="704521" spans="1:1" x14ac:dyDescent="0.3">
      <c r="A704521" s="13" t="s">
        <v>87</v>
      </c>
    </row>
    <row r="704522" spans="1:1" x14ac:dyDescent="0.3">
      <c r="A704522" s="13" t="s">
        <v>22</v>
      </c>
    </row>
    <row r="704523" spans="1:1" x14ac:dyDescent="0.3">
      <c r="A704523" s="13" t="s">
        <v>3</v>
      </c>
    </row>
    <row r="704524" spans="1:1" x14ac:dyDescent="0.3">
      <c r="A704524" s="15" t="s">
        <v>94</v>
      </c>
    </row>
    <row r="704525" spans="1:1" x14ac:dyDescent="0.3">
      <c r="A704525" s="15" t="s">
        <v>93</v>
      </c>
    </row>
    <row r="704526" spans="1:1" x14ac:dyDescent="0.3">
      <c r="A704526" s="15" t="s">
        <v>4</v>
      </c>
    </row>
    <row r="704527" spans="1:1" x14ac:dyDescent="0.3">
      <c r="A704527" s="15" t="s">
        <v>117</v>
      </c>
    </row>
    <row r="704528" spans="1:1" x14ac:dyDescent="0.3">
      <c r="A704528" s="15" t="s">
        <v>5</v>
      </c>
    </row>
    <row r="704529" spans="1:1" x14ac:dyDescent="0.3">
      <c r="A704529" s="15" t="s">
        <v>6</v>
      </c>
    </row>
    <row r="704530" spans="1:1" x14ac:dyDescent="0.3">
      <c r="A704530" s="15" t="s">
        <v>7</v>
      </c>
    </row>
    <row r="704531" spans="1:1" x14ac:dyDescent="0.3">
      <c r="A704531" s="15" t="s">
        <v>8</v>
      </c>
    </row>
    <row r="704532" spans="1:1" x14ac:dyDescent="0.3">
      <c r="A704532" s="15" t="s">
        <v>9</v>
      </c>
    </row>
    <row r="704533" spans="1:1" x14ac:dyDescent="0.3">
      <c r="A704533" s="15" t="s">
        <v>10</v>
      </c>
    </row>
    <row r="704534" spans="1:1" x14ac:dyDescent="0.3">
      <c r="A704534" s="15" t="s">
        <v>11</v>
      </c>
    </row>
    <row r="704535" spans="1:1" x14ac:dyDescent="0.3">
      <c r="A704535" s="15" t="s">
        <v>12</v>
      </c>
    </row>
    <row r="704536" spans="1:1" x14ac:dyDescent="0.3">
      <c r="A704536" s="15" t="s">
        <v>13</v>
      </c>
    </row>
    <row r="704537" spans="1:1" x14ac:dyDescent="0.3">
      <c r="A704537" s="15" t="s">
        <v>14</v>
      </c>
    </row>
    <row r="704538" spans="1:1" x14ac:dyDescent="0.3">
      <c r="A704538" s="13" t="s">
        <v>31</v>
      </c>
    </row>
    <row r="704539" spans="1:1" x14ac:dyDescent="0.3">
      <c r="A704539" s="13" t="s">
        <v>86</v>
      </c>
    </row>
    <row r="704540" spans="1:1" x14ac:dyDescent="0.3">
      <c r="A704540" s="15" t="s">
        <v>30</v>
      </c>
    </row>
    <row r="704541" spans="1:1" x14ac:dyDescent="0.3">
      <c r="A704541" s="15" t="s">
        <v>26</v>
      </c>
    </row>
    <row r="704542" spans="1:1" x14ac:dyDescent="0.3">
      <c r="A704542" s="15" t="s">
        <v>27</v>
      </c>
    </row>
    <row r="704543" spans="1:1" x14ac:dyDescent="0.3">
      <c r="A704543" s="15" t="s">
        <v>28</v>
      </c>
    </row>
    <row r="704544" spans="1:1" x14ac:dyDescent="0.3">
      <c r="A704544" s="15" t="s">
        <v>88</v>
      </c>
    </row>
    <row r="704545" spans="1:1" x14ac:dyDescent="0.3">
      <c r="A704545" s="15" t="s">
        <v>89</v>
      </c>
    </row>
    <row r="704546" spans="1:1" x14ac:dyDescent="0.3">
      <c r="A704546" s="15" t="s">
        <v>184</v>
      </c>
    </row>
    <row r="704547" spans="1:1" x14ac:dyDescent="0.3">
      <c r="A704547" s="15" t="s">
        <v>185</v>
      </c>
    </row>
    <row r="704548" spans="1:1" x14ac:dyDescent="0.3">
      <c r="A704548" s="15" t="s">
        <v>186</v>
      </c>
    </row>
    <row r="704549" spans="1:1" x14ac:dyDescent="0.3">
      <c r="A704549" s="15" t="s">
        <v>187</v>
      </c>
    </row>
    <row r="704550" spans="1:1" x14ac:dyDescent="0.3">
      <c r="A704550" s="15" t="s">
        <v>188</v>
      </c>
    </row>
    <row r="704551" spans="1:1" x14ac:dyDescent="0.3">
      <c r="A704551" s="15" t="s">
        <v>189</v>
      </c>
    </row>
    <row r="704552" spans="1:1" x14ac:dyDescent="0.3">
      <c r="A704552" s="15" t="s">
        <v>190</v>
      </c>
    </row>
    <row r="704553" spans="1:1" x14ac:dyDescent="0.3">
      <c r="A704553" s="14" t="s">
        <v>47</v>
      </c>
    </row>
    <row r="704554" spans="1:1" x14ac:dyDescent="0.3">
      <c r="A704554" s="14" t="s">
        <v>118</v>
      </c>
    </row>
    <row r="704555" spans="1:1" x14ac:dyDescent="0.3">
      <c r="A704555" s="14" t="s">
        <v>85</v>
      </c>
    </row>
    <row r="704556" spans="1:1" x14ac:dyDescent="0.3">
      <c r="A704556" s="13" t="s">
        <v>21</v>
      </c>
    </row>
    <row r="704557" spans="1:1" x14ac:dyDescent="0.3">
      <c r="A704557" s="14" t="s">
        <v>91</v>
      </c>
    </row>
    <row r="704558" spans="1:1" x14ac:dyDescent="0.3">
      <c r="A704558" s="14" t="s">
        <v>92</v>
      </c>
    </row>
    <row r="704559" spans="1:1" x14ac:dyDescent="0.3">
      <c r="A704559" s="14" t="s">
        <v>98</v>
      </c>
    </row>
    <row r="704560" spans="1:1" x14ac:dyDescent="0.3">
      <c r="A704560" s="14" t="s">
        <v>99</v>
      </c>
    </row>
    <row r="704561" spans="1:1" x14ac:dyDescent="0.3">
      <c r="A704561" s="13" t="s">
        <v>24</v>
      </c>
    </row>
    <row r="704562" spans="1:1" x14ac:dyDescent="0.3">
      <c r="A704562" s="13" t="s">
        <v>82</v>
      </c>
    </row>
    <row r="704563" spans="1:1" x14ac:dyDescent="0.3">
      <c r="A704563" s="13" t="s">
        <v>105</v>
      </c>
    </row>
    <row r="704564" spans="1:1" x14ac:dyDescent="0.3">
      <c r="A704564" s="13" t="s">
        <v>100</v>
      </c>
    </row>
    <row r="704565" spans="1:1" x14ac:dyDescent="0.3">
      <c r="A704565" s="13" t="s">
        <v>101</v>
      </c>
    </row>
    <row r="704566" spans="1:1" x14ac:dyDescent="0.3">
      <c r="A704566" s="13" t="s">
        <v>102</v>
      </c>
    </row>
    <row r="704567" spans="1:1" x14ac:dyDescent="0.3">
      <c r="A704567" s="13" t="s">
        <v>103</v>
      </c>
    </row>
    <row r="704568" spans="1:1" x14ac:dyDescent="0.3">
      <c r="A704568" s="13" t="s">
        <v>104</v>
      </c>
    </row>
    <row r="720898" spans="1:1" x14ac:dyDescent="0.3">
      <c r="A720898" s="13" t="s">
        <v>0</v>
      </c>
    </row>
    <row r="720899" spans="1:1" x14ac:dyDescent="0.3">
      <c r="A720899" s="13" t="s">
        <v>124</v>
      </c>
    </row>
    <row r="720900" spans="1:1" x14ac:dyDescent="0.3">
      <c r="A720900" s="13" t="s">
        <v>1</v>
      </c>
    </row>
    <row r="720901" spans="1:1" x14ac:dyDescent="0.3">
      <c r="A720901" s="13" t="s">
        <v>2</v>
      </c>
    </row>
    <row r="720902" spans="1:1" x14ac:dyDescent="0.3">
      <c r="A720902" s="14" t="s">
        <v>25</v>
      </c>
    </row>
    <row r="720903" spans="1:1" x14ac:dyDescent="0.3">
      <c r="A720903" s="13" t="s">
        <v>125</v>
      </c>
    </row>
    <row r="720904" spans="1:1" x14ac:dyDescent="0.3">
      <c r="A720904" s="13" t="s">
        <v>126</v>
      </c>
    </row>
    <row r="720905" spans="1:1" x14ac:dyDescent="0.3">
      <c r="A720905" s="13" t="s">
        <v>87</v>
      </c>
    </row>
    <row r="720906" spans="1:1" x14ac:dyDescent="0.3">
      <c r="A720906" s="13" t="s">
        <v>22</v>
      </c>
    </row>
    <row r="720907" spans="1:1" x14ac:dyDescent="0.3">
      <c r="A720907" s="13" t="s">
        <v>3</v>
      </c>
    </row>
    <row r="720908" spans="1:1" x14ac:dyDescent="0.3">
      <c r="A720908" s="15" t="s">
        <v>94</v>
      </c>
    </row>
    <row r="720909" spans="1:1" x14ac:dyDescent="0.3">
      <c r="A720909" s="15" t="s">
        <v>93</v>
      </c>
    </row>
    <row r="720910" spans="1:1" x14ac:dyDescent="0.3">
      <c r="A720910" s="15" t="s">
        <v>4</v>
      </c>
    </row>
    <row r="720911" spans="1:1" x14ac:dyDescent="0.3">
      <c r="A720911" s="15" t="s">
        <v>117</v>
      </c>
    </row>
    <row r="720912" spans="1:1" x14ac:dyDescent="0.3">
      <c r="A720912" s="15" t="s">
        <v>5</v>
      </c>
    </row>
    <row r="720913" spans="1:1" x14ac:dyDescent="0.3">
      <c r="A720913" s="15" t="s">
        <v>6</v>
      </c>
    </row>
    <row r="720914" spans="1:1" x14ac:dyDescent="0.3">
      <c r="A720914" s="15" t="s">
        <v>7</v>
      </c>
    </row>
    <row r="720915" spans="1:1" x14ac:dyDescent="0.3">
      <c r="A720915" s="15" t="s">
        <v>8</v>
      </c>
    </row>
    <row r="720916" spans="1:1" x14ac:dyDescent="0.3">
      <c r="A720916" s="15" t="s">
        <v>9</v>
      </c>
    </row>
    <row r="720917" spans="1:1" x14ac:dyDescent="0.3">
      <c r="A720917" s="15" t="s">
        <v>10</v>
      </c>
    </row>
    <row r="720918" spans="1:1" x14ac:dyDescent="0.3">
      <c r="A720918" s="15" t="s">
        <v>11</v>
      </c>
    </row>
    <row r="720919" spans="1:1" x14ac:dyDescent="0.3">
      <c r="A720919" s="15" t="s">
        <v>12</v>
      </c>
    </row>
    <row r="720920" spans="1:1" x14ac:dyDescent="0.3">
      <c r="A720920" s="15" t="s">
        <v>13</v>
      </c>
    </row>
    <row r="720921" spans="1:1" x14ac:dyDescent="0.3">
      <c r="A720921" s="15" t="s">
        <v>14</v>
      </c>
    </row>
    <row r="720922" spans="1:1" x14ac:dyDescent="0.3">
      <c r="A720922" s="13" t="s">
        <v>31</v>
      </c>
    </row>
    <row r="720923" spans="1:1" x14ac:dyDescent="0.3">
      <c r="A720923" s="13" t="s">
        <v>86</v>
      </c>
    </row>
    <row r="720924" spans="1:1" x14ac:dyDescent="0.3">
      <c r="A720924" s="15" t="s">
        <v>30</v>
      </c>
    </row>
    <row r="720925" spans="1:1" x14ac:dyDescent="0.3">
      <c r="A720925" s="15" t="s">
        <v>26</v>
      </c>
    </row>
    <row r="720926" spans="1:1" x14ac:dyDescent="0.3">
      <c r="A720926" s="15" t="s">
        <v>27</v>
      </c>
    </row>
    <row r="720927" spans="1:1" x14ac:dyDescent="0.3">
      <c r="A720927" s="15" t="s">
        <v>28</v>
      </c>
    </row>
    <row r="720928" spans="1:1" x14ac:dyDescent="0.3">
      <c r="A720928" s="15" t="s">
        <v>88</v>
      </c>
    </row>
    <row r="720929" spans="1:1" x14ac:dyDescent="0.3">
      <c r="A720929" s="15" t="s">
        <v>89</v>
      </c>
    </row>
    <row r="720930" spans="1:1" x14ac:dyDescent="0.3">
      <c r="A720930" s="15" t="s">
        <v>184</v>
      </c>
    </row>
    <row r="720931" spans="1:1" x14ac:dyDescent="0.3">
      <c r="A720931" s="15" t="s">
        <v>185</v>
      </c>
    </row>
    <row r="720932" spans="1:1" x14ac:dyDescent="0.3">
      <c r="A720932" s="15" t="s">
        <v>186</v>
      </c>
    </row>
    <row r="720933" spans="1:1" x14ac:dyDescent="0.3">
      <c r="A720933" s="15" t="s">
        <v>187</v>
      </c>
    </row>
    <row r="720934" spans="1:1" x14ac:dyDescent="0.3">
      <c r="A720934" s="15" t="s">
        <v>188</v>
      </c>
    </row>
    <row r="720935" spans="1:1" x14ac:dyDescent="0.3">
      <c r="A720935" s="15" t="s">
        <v>189</v>
      </c>
    </row>
    <row r="720936" spans="1:1" x14ac:dyDescent="0.3">
      <c r="A720936" s="15" t="s">
        <v>190</v>
      </c>
    </row>
    <row r="720937" spans="1:1" x14ac:dyDescent="0.3">
      <c r="A720937" s="14" t="s">
        <v>47</v>
      </c>
    </row>
    <row r="720938" spans="1:1" x14ac:dyDescent="0.3">
      <c r="A720938" s="14" t="s">
        <v>118</v>
      </c>
    </row>
    <row r="720939" spans="1:1" x14ac:dyDescent="0.3">
      <c r="A720939" s="14" t="s">
        <v>85</v>
      </c>
    </row>
    <row r="720940" spans="1:1" x14ac:dyDescent="0.3">
      <c r="A720940" s="13" t="s">
        <v>21</v>
      </c>
    </row>
    <row r="720941" spans="1:1" x14ac:dyDescent="0.3">
      <c r="A720941" s="14" t="s">
        <v>91</v>
      </c>
    </row>
    <row r="720942" spans="1:1" x14ac:dyDescent="0.3">
      <c r="A720942" s="14" t="s">
        <v>92</v>
      </c>
    </row>
    <row r="720943" spans="1:1" x14ac:dyDescent="0.3">
      <c r="A720943" s="14" t="s">
        <v>98</v>
      </c>
    </row>
    <row r="720944" spans="1:1" x14ac:dyDescent="0.3">
      <c r="A720944" s="14" t="s">
        <v>99</v>
      </c>
    </row>
    <row r="720945" spans="1:1" x14ac:dyDescent="0.3">
      <c r="A720945" s="13" t="s">
        <v>24</v>
      </c>
    </row>
    <row r="720946" spans="1:1" x14ac:dyDescent="0.3">
      <c r="A720946" s="13" t="s">
        <v>82</v>
      </c>
    </row>
    <row r="720947" spans="1:1" x14ac:dyDescent="0.3">
      <c r="A720947" s="13" t="s">
        <v>105</v>
      </c>
    </row>
    <row r="720948" spans="1:1" x14ac:dyDescent="0.3">
      <c r="A720948" s="13" t="s">
        <v>100</v>
      </c>
    </row>
    <row r="720949" spans="1:1" x14ac:dyDescent="0.3">
      <c r="A720949" s="13" t="s">
        <v>101</v>
      </c>
    </row>
    <row r="720950" spans="1:1" x14ac:dyDescent="0.3">
      <c r="A720950" s="13" t="s">
        <v>102</v>
      </c>
    </row>
    <row r="720951" spans="1:1" x14ac:dyDescent="0.3">
      <c r="A720951" s="13" t="s">
        <v>103</v>
      </c>
    </row>
    <row r="720952" spans="1:1" x14ac:dyDescent="0.3">
      <c r="A720952" s="13" t="s">
        <v>104</v>
      </c>
    </row>
    <row r="737282" spans="1:1" x14ac:dyDescent="0.3">
      <c r="A737282" s="13" t="s">
        <v>0</v>
      </c>
    </row>
    <row r="737283" spans="1:1" x14ac:dyDescent="0.3">
      <c r="A737283" s="13" t="s">
        <v>124</v>
      </c>
    </row>
    <row r="737284" spans="1:1" x14ac:dyDescent="0.3">
      <c r="A737284" s="13" t="s">
        <v>1</v>
      </c>
    </row>
    <row r="737285" spans="1:1" x14ac:dyDescent="0.3">
      <c r="A737285" s="13" t="s">
        <v>2</v>
      </c>
    </row>
    <row r="737286" spans="1:1" x14ac:dyDescent="0.3">
      <c r="A737286" s="14" t="s">
        <v>25</v>
      </c>
    </row>
    <row r="737287" spans="1:1" x14ac:dyDescent="0.3">
      <c r="A737287" s="13" t="s">
        <v>125</v>
      </c>
    </row>
    <row r="737288" spans="1:1" x14ac:dyDescent="0.3">
      <c r="A737288" s="13" t="s">
        <v>126</v>
      </c>
    </row>
    <row r="737289" spans="1:1" x14ac:dyDescent="0.3">
      <c r="A737289" s="13" t="s">
        <v>87</v>
      </c>
    </row>
    <row r="737290" spans="1:1" x14ac:dyDescent="0.3">
      <c r="A737290" s="13" t="s">
        <v>22</v>
      </c>
    </row>
    <row r="737291" spans="1:1" x14ac:dyDescent="0.3">
      <c r="A737291" s="13" t="s">
        <v>3</v>
      </c>
    </row>
    <row r="737292" spans="1:1" x14ac:dyDescent="0.3">
      <c r="A737292" s="15" t="s">
        <v>94</v>
      </c>
    </row>
    <row r="737293" spans="1:1" x14ac:dyDescent="0.3">
      <c r="A737293" s="15" t="s">
        <v>93</v>
      </c>
    </row>
    <row r="737294" spans="1:1" x14ac:dyDescent="0.3">
      <c r="A737294" s="15" t="s">
        <v>4</v>
      </c>
    </row>
    <row r="737295" spans="1:1" x14ac:dyDescent="0.3">
      <c r="A737295" s="15" t="s">
        <v>117</v>
      </c>
    </row>
    <row r="737296" spans="1:1" x14ac:dyDescent="0.3">
      <c r="A737296" s="15" t="s">
        <v>5</v>
      </c>
    </row>
    <row r="737297" spans="1:1" x14ac:dyDescent="0.3">
      <c r="A737297" s="15" t="s">
        <v>6</v>
      </c>
    </row>
    <row r="737298" spans="1:1" x14ac:dyDescent="0.3">
      <c r="A737298" s="15" t="s">
        <v>7</v>
      </c>
    </row>
    <row r="737299" spans="1:1" x14ac:dyDescent="0.3">
      <c r="A737299" s="15" t="s">
        <v>8</v>
      </c>
    </row>
    <row r="737300" spans="1:1" x14ac:dyDescent="0.3">
      <c r="A737300" s="15" t="s">
        <v>9</v>
      </c>
    </row>
    <row r="737301" spans="1:1" x14ac:dyDescent="0.3">
      <c r="A737301" s="15" t="s">
        <v>10</v>
      </c>
    </row>
    <row r="737302" spans="1:1" x14ac:dyDescent="0.3">
      <c r="A737302" s="15" t="s">
        <v>11</v>
      </c>
    </row>
    <row r="737303" spans="1:1" x14ac:dyDescent="0.3">
      <c r="A737303" s="15" t="s">
        <v>12</v>
      </c>
    </row>
    <row r="737304" spans="1:1" x14ac:dyDescent="0.3">
      <c r="A737304" s="15" t="s">
        <v>13</v>
      </c>
    </row>
    <row r="737305" spans="1:1" x14ac:dyDescent="0.3">
      <c r="A737305" s="15" t="s">
        <v>14</v>
      </c>
    </row>
    <row r="737306" spans="1:1" x14ac:dyDescent="0.3">
      <c r="A737306" s="13" t="s">
        <v>31</v>
      </c>
    </row>
    <row r="737307" spans="1:1" x14ac:dyDescent="0.3">
      <c r="A737307" s="13" t="s">
        <v>86</v>
      </c>
    </row>
    <row r="737308" spans="1:1" x14ac:dyDescent="0.3">
      <c r="A737308" s="15" t="s">
        <v>30</v>
      </c>
    </row>
    <row r="737309" spans="1:1" x14ac:dyDescent="0.3">
      <c r="A737309" s="15" t="s">
        <v>26</v>
      </c>
    </row>
    <row r="737310" spans="1:1" x14ac:dyDescent="0.3">
      <c r="A737310" s="15" t="s">
        <v>27</v>
      </c>
    </row>
    <row r="737311" spans="1:1" x14ac:dyDescent="0.3">
      <c r="A737311" s="15" t="s">
        <v>28</v>
      </c>
    </row>
    <row r="737312" spans="1:1" x14ac:dyDescent="0.3">
      <c r="A737312" s="15" t="s">
        <v>88</v>
      </c>
    </row>
    <row r="737313" spans="1:1" x14ac:dyDescent="0.3">
      <c r="A737313" s="15" t="s">
        <v>89</v>
      </c>
    </row>
    <row r="737314" spans="1:1" x14ac:dyDescent="0.3">
      <c r="A737314" s="15" t="s">
        <v>184</v>
      </c>
    </row>
    <row r="737315" spans="1:1" x14ac:dyDescent="0.3">
      <c r="A737315" s="15" t="s">
        <v>185</v>
      </c>
    </row>
    <row r="737316" spans="1:1" x14ac:dyDescent="0.3">
      <c r="A737316" s="15" t="s">
        <v>186</v>
      </c>
    </row>
    <row r="737317" spans="1:1" x14ac:dyDescent="0.3">
      <c r="A737317" s="15" t="s">
        <v>187</v>
      </c>
    </row>
    <row r="737318" spans="1:1" x14ac:dyDescent="0.3">
      <c r="A737318" s="15" t="s">
        <v>188</v>
      </c>
    </row>
    <row r="737319" spans="1:1" x14ac:dyDescent="0.3">
      <c r="A737319" s="15" t="s">
        <v>189</v>
      </c>
    </row>
    <row r="737320" spans="1:1" x14ac:dyDescent="0.3">
      <c r="A737320" s="15" t="s">
        <v>190</v>
      </c>
    </row>
    <row r="737321" spans="1:1" x14ac:dyDescent="0.3">
      <c r="A737321" s="14" t="s">
        <v>47</v>
      </c>
    </row>
    <row r="737322" spans="1:1" x14ac:dyDescent="0.3">
      <c r="A737322" s="14" t="s">
        <v>118</v>
      </c>
    </row>
    <row r="737323" spans="1:1" x14ac:dyDescent="0.3">
      <c r="A737323" s="14" t="s">
        <v>85</v>
      </c>
    </row>
    <row r="737324" spans="1:1" x14ac:dyDescent="0.3">
      <c r="A737324" s="13" t="s">
        <v>21</v>
      </c>
    </row>
    <row r="737325" spans="1:1" x14ac:dyDescent="0.3">
      <c r="A737325" s="14" t="s">
        <v>91</v>
      </c>
    </row>
    <row r="737326" spans="1:1" x14ac:dyDescent="0.3">
      <c r="A737326" s="14" t="s">
        <v>92</v>
      </c>
    </row>
    <row r="737327" spans="1:1" x14ac:dyDescent="0.3">
      <c r="A737327" s="14" t="s">
        <v>98</v>
      </c>
    </row>
    <row r="737328" spans="1:1" x14ac:dyDescent="0.3">
      <c r="A737328" s="14" t="s">
        <v>99</v>
      </c>
    </row>
    <row r="737329" spans="1:1" x14ac:dyDescent="0.3">
      <c r="A737329" s="13" t="s">
        <v>24</v>
      </c>
    </row>
    <row r="737330" spans="1:1" x14ac:dyDescent="0.3">
      <c r="A737330" s="13" t="s">
        <v>82</v>
      </c>
    </row>
    <row r="737331" spans="1:1" x14ac:dyDescent="0.3">
      <c r="A737331" s="13" t="s">
        <v>105</v>
      </c>
    </row>
    <row r="737332" spans="1:1" x14ac:dyDescent="0.3">
      <c r="A737332" s="13" t="s">
        <v>100</v>
      </c>
    </row>
    <row r="737333" spans="1:1" x14ac:dyDescent="0.3">
      <c r="A737333" s="13" t="s">
        <v>101</v>
      </c>
    </row>
    <row r="737334" spans="1:1" x14ac:dyDescent="0.3">
      <c r="A737334" s="13" t="s">
        <v>102</v>
      </c>
    </row>
    <row r="737335" spans="1:1" x14ac:dyDescent="0.3">
      <c r="A737335" s="13" t="s">
        <v>103</v>
      </c>
    </row>
    <row r="737336" spans="1:1" x14ac:dyDescent="0.3">
      <c r="A737336" s="13" t="s">
        <v>104</v>
      </c>
    </row>
    <row r="753666" spans="1:1" x14ac:dyDescent="0.3">
      <c r="A753666" s="13" t="s">
        <v>0</v>
      </c>
    </row>
    <row r="753667" spans="1:1" x14ac:dyDescent="0.3">
      <c r="A753667" s="13" t="s">
        <v>124</v>
      </c>
    </row>
    <row r="753668" spans="1:1" x14ac:dyDescent="0.3">
      <c r="A753668" s="13" t="s">
        <v>1</v>
      </c>
    </row>
    <row r="753669" spans="1:1" x14ac:dyDescent="0.3">
      <c r="A753669" s="13" t="s">
        <v>2</v>
      </c>
    </row>
    <row r="753670" spans="1:1" x14ac:dyDescent="0.3">
      <c r="A753670" s="14" t="s">
        <v>25</v>
      </c>
    </row>
    <row r="753671" spans="1:1" x14ac:dyDescent="0.3">
      <c r="A753671" s="13" t="s">
        <v>125</v>
      </c>
    </row>
    <row r="753672" spans="1:1" x14ac:dyDescent="0.3">
      <c r="A753672" s="13" t="s">
        <v>126</v>
      </c>
    </row>
    <row r="753673" spans="1:1" x14ac:dyDescent="0.3">
      <c r="A753673" s="13" t="s">
        <v>87</v>
      </c>
    </row>
    <row r="753674" spans="1:1" x14ac:dyDescent="0.3">
      <c r="A753674" s="13" t="s">
        <v>22</v>
      </c>
    </row>
    <row r="753675" spans="1:1" x14ac:dyDescent="0.3">
      <c r="A753675" s="13" t="s">
        <v>3</v>
      </c>
    </row>
    <row r="753676" spans="1:1" x14ac:dyDescent="0.3">
      <c r="A753676" s="15" t="s">
        <v>94</v>
      </c>
    </row>
    <row r="753677" spans="1:1" x14ac:dyDescent="0.3">
      <c r="A753677" s="15" t="s">
        <v>93</v>
      </c>
    </row>
    <row r="753678" spans="1:1" x14ac:dyDescent="0.3">
      <c r="A753678" s="15" t="s">
        <v>4</v>
      </c>
    </row>
    <row r="753679" spans="1:1" x14ac:dyDescent="0.3">
      <c r="A753679" s="15" t="s">
        <v>117</v>
      </c>
    </row>
    <row r="753680" spans="1:1" x14ac:dyDescent="0.3">
      <c r="A753680" s="15" t="s">
        <v>5</v>
      </c>
    </row>
    <row r="753681" spans="1:1" x14ac:dyDescent="0.3">
      <c r="A753681" s="15" t="s">
        <v>6</v>
      </c>
    </row>
    <row r="753682" spans="1:1" x14ac:dyDescent="0.3">
      <c r="A753682" s="15" t="s">
        <v>7</v>
      </c>
    </row>
    <row r="753683" spans="1:1" x14ac:dyDescent="0.3">
      <c r="A753683" s="15" t="s">
        <v>8</v>
      </c>
    </row>
    <row r="753684" spans="1:1" x14ac:dyDescent="0.3">
      <c r="A753684" s="15" t="s">
        <v>9</v>
      </c>
    </row>
    <row r="753685" spans="1:1" x14ac:dyDescent="0.3">
      <c r="A753685" s="15" t="s">
        <v>10</v>
      </c>
    </row>
    <row r="753686" spans="1:1" x14ac:dyDescent="0.3">
      <c r="A753686" s="15" t="s">
        <v>11</v>
      </c>
    </row>
    <row r="753687" spans="1:1" x14ac:dyDescent="0.3">
      <c r="A753687" s="15" t="s">
        <v>12</v>
      </c>
    </row>
    <row r="753688" spans="1:1" x14ac:dyDescent="0.3">
      <c r="A753688" s="15" t="s">
        <v>13</v>
      </c>
    </row>
    <row r="753689" spans="1:1" x14ac:dyDescent="0.3">
      <c r="A753689" s="15" t="s">
        <v>14</v>
      </c>
    </row>
    <row r="753690" spans="1:1" x14ac:dyDescent="0.3">
      <c r="A753690" s="13" t="s">
        <v>31</v>
      </c>
    </row>
    <row r="753691" spans="1:1" x14ac:dyDescent="0.3">
      <c r="A753691" s="13" t="s">
        <v>86</v>
      </c>
    </row>
    <row r="753692" spans="1:1" x14ac:dyDescent="0.3">
      <c r="A753692" s="15" t="s">
        <v>30</v>
      </c>
    </row>
    <row r="753693" spans="1:1" x14ac:dyDescent="0.3">
      <c r="A753693" s="15" t="s">
        <v>26</v>
      </c>
    </row>
    <row r="753694" spans="1:1" x14ac:dyDescent="0.3">
      <c r="A753694" s="15" t="s">
        <v>27</v>
      </c>
    </row>
    <row r="753695" spans="1:1" x14ac:dyDescent="0.3">
      <c r="A753695" s="15" t="s">
        <v>28</v>
      </c>
    </row>
    <row r="753696" spans="1:1" x14ac:dyDescent="0.3">
      <c r="A753696" s="15" t="s">
        <v>88</v>
      </c>
    </row>
    <row r="753697" spans="1:1" x14ac:dyDescent="0.3">
      <c r="A753697" s="15" t="s">
        <v>89</v>
      </c>
    </row>
    <row r="753698" spans="1:1" x14ac:dyDescent="0.3">
      <c r="A753698" s="15" t="s">
        <v>184</v>
      </c>
    </row>
    <row r="753699" spans="1:1" x14ac:dyDescent="0.3">
      <c r="A753699" s="15" t="s">
        <v>185</v>
      </c>
    </row>
    <row r="753700" spans="1:1" x14ac:dyDescent="0.3">
      <c r="A753700" s="15" t="s">
        <v>186</v>
      </c>
    </row>
    <row r="753701" spans="1:1" x14ac:dyDescent="0.3">
      <c r="A753701" s="15" t="s">
        <v>187</v>
      </c>
    </row>
    <row r="753702" spans="1:1" x14ac:dyDescent="0.3">
      <c r="A753702" s="15" t="s">
        <v>188</v>
      </c>
    </row>
    <row r="753703" spans="1:1" x14ac:dyDescent="0.3">
      <c r="A753703" s="15" t="s">
        <v>189</v>
      </c>
    </row>
    <row r="753704" spans="1:1" x14ac:dyDescent="0.3">
      <c r="A753704" s="15" t="s">
        <v>190</v>
      </c>
    </row>
    <row r="753705" spans="1:1" x14ac:dyDescent="0.3">
      <c r="A753705" s="14" t="s">
        <v>47</v>
      </c>
    </row>
    <row r="753706" spans="1:1" x14ac:dyDescent="0.3">
      <c r="A753706" s="14" t="s">
        <v>118</v>
      </c>
    </row>
    <row r="753707" spans="1:1" x14ac:dyDescent="0.3">
      <c r="A753707" s="14" t="s">
        <v>85</v>
      </c>
    </row>
    <row r="753708" spans="1:1" x14ac:dyDescent="0.3">
      <c r="A753708" s="13" t="s">
        <v>21</v>
      </c>
    </row>
    <row r="753709" spans="1:1" x14ac:dyDescent="0.3">
      <c r="A753709" s="14" t="s">
        <v>91</v>
      </c>
    </row>
    <row r="753710" spans="1:1" x14ac:dyDescent="0.3">
      <c r="A753710" s="14" t="s">
        <v>92</v>
      </c>
    </row>
    <row r="753711" spans="1:1" x14ac:dyDescent="0.3">
      <c r="A753711" s="14" t="s">
        <v>98</v>
      </c>
    </row>
    <row r="753712" spans="1:1" x14ac:dyDescent="0.3">
      <c r="A753712" s="14" t="s">
        <v>99</v>
      </c>
    </row>
    <row r="753713" spans="1:1" x14ac:dyDescent="0.3">
      <c r="A753713" s="13" t="s">
        <v>24</v>
      </c>
    </row>
    <row r="753714" spans="1:1" x14ac:dyDescent="0.3">
      <c r="A753714" s="13" t="s">
        <v>82</v>
      </c>
    </row>
    <row r="753715" spans="1:1" x14ac:dyDescent="0.3">
      <c r="A753715" s="13" t="s">
        <v>105</v>
      </c>
    </row>
    <row r="753716" spans="1:1" x14ac:dyDescent="0.3">
      <c r="A753716" s="13" t="s">
        <v>100</v>
      </c>
    </row>
    <row r="753717" spans="1:1" x14ac:dyDescent="0.3">
      <c r="A753717" s="13" t="s">
        <v>101</v>
      </c>
    </row>
    <row r="753718" spans="1:1" x14ac:dyDescent="0.3">
      <c r="A753718" s="13" t="s">
        <v>102</v>
      </c>
    </row>
    <row r="753719" spans="1:1" x14ac:dyDescent="0.3">
      <c r="A753719" s="13" t="s">
        <v>103</v>
      </c>
    </row>
    <row r="753720" spans="1:1" x14ac:dyDescent="0.3">
      <c r="A753720" s="13" t="s">
        <v>104</v>
      </c>
    </row>
    <row r="770050" spans="1:1" x14ac:dyDescent="0.3">
      <c r="A770050" s="13" t="s">
        <v>0</v>
      </c>
    </row>
    <row r="770051" spans="1:1" x14ac:dyDescent="0.3">
      <c r="A770051" s="13" t="s">
        <v>124</v>
      </c>
    </row>
    <row r="770052" spans="1:1" x14ac:dyDescent="0.3">
      <c r="A770052" s="13" t="s">
        <v>1</v>
      </c>
    </row>
    <row r="770053" spans="1:1" x14ac:dyDescent="0.3">
      <c r="A770053" s="13" t="s">
        <v>2</v>
      </c>
    </row>
    <row r="770054" spans="1:1" x14ac:dyDescent="0.3">
      <c r="A770054" s="14" t="s">
        <v>25</v>
      </c>
    </row>
    <row r="770055" spans="1:1" x14ac:dyDescent="0.3">
      <c r="A770055" s="13" t="s">
        <v>125</v>
      </c>
    </row>
    <row r="770056" spans="1:1" x14ac:dyDescent="0.3">
      <c r="A770056" s="13" t="s">
        <v>126</v>
      </c>
    </row>
    <row r="770057" spans="1:1" x14ac:dyDescent="0.3">
      <c r="A770057" s="13" t="s">
        <v>87</v>
      </c>
    </row>
    <row r="770058" spans="1:1" x14ac:dyDescent="0.3">
      <c r="A770058" s="13" t="s">
        <v>22</v>
      </c>
    </row>
    <row r="770059" spans="1:1" x14ac:dyDescent="0.3">
      <c r="A770059" s="13" t="s">
        <v>3</v>
      </c>
    </row>
    <row r="770060" spans="1:1" x14ac:dyDescent="0.3">
      <c r="A770060" s="15" t="s">
        <v>94</v>
      </c>
    </row>
    <row r="770061" spans="1:1" x14ac:dyDescent="0.3">
      <c r="A770061" s="15" t="s">
        <v>93</v>
      </c>
    </row>
    <row r="770062" spans="1:1" x14ac:dyDescent="0.3">
      <c r="A770062" s="15" t="s">
        <v>4</v>
      </c>
    </row>
    <row r="770063" spans="1:1" x14ac:dyDescent="0.3">
      <c r="A770063" s="15" t="s">
        <v>117</v>
      </c>
    </row>
    <row r="770064" spans="1:1" x14ac:dyDescent="0.3">
      <c r="A770064" s="15" t="s">
        <v>5</v>
      </c>
    </row>
    <row r="770065" spans="1:1" x14ac:dyDescent="0.3">
      <c r="A770065" s="15" t="s">
        <v>6</v>
      </c>
    </row>
    <row r="770066" spans="1:1" x14ac:dyDescent="0.3">
      <c r="A770066" s="15" t="s">
        <v>7</v>
      </c>
    </row>
    <row r="770067" spans="1:1" x14ac:dyDescent="0.3">
      <c r="A770067" s="15" t="s">
        <v>8</v>
      </c>
    </row>
    <row r="770068" spans="1:1" x14ac:dyDescent="0.3">
      <c r="A770068" s="15" t="s">
        <v>9</v>
      </c>
    </row>
    <row r="770069" spans="1:1" x14ac:dyDescent="0.3">
      <c r="A770069" s="15" t="s">
        <v>10</v>
      </c>
    </row>
    <row r="770070" spans="1:1" x14ac:dyDescent="0.3">
      <c r="A770070" s="15" t="s">
        <v>11</v>
      </c>
    </row>
    <row r="770071" spans="1:1" x14ac:dyDescent="0.3">
      <c r="A770071" s="15" t="s">
        <v>12</v>
      </c>
    </row>
    <row r="770072" spans="1:1" x14ac:dyDescent="0.3">
      <c r="A770072" s="15" t="s">
        <v>13</v>
      </c>
    </row>
    <row r="770073" spans="1:1" x14ac:dyDescent="0.3">
      <c r="A770073" s="15" t="s">
        <v>14</v>
      </c>
    </row>
    <row r="770074" spans="1:1" x14ac:dyDescent="0.3">
      <c r="A770074" s="13" t="s">
        <v>31</v>
      </c>
    </row>
    <row r="770075" spans="1:1" x14ac:dyDescent="0.3">
      <c r="A770075" s="13" t="s">
        <v>86</v>
      </c>
    </row>
    <row r="770076" spans="1:1" x14ac:dyDescent="0.3">
      <c r="A770076" s="15" t="s">
        <v>30</v>
      </c>
    </row>
    <row r="770077" spans="1:1" x14ac:dyDescent="0.3">
      <c r="A770077" s="15" t="s">
        <v>26</v>
      </c>
    </row>
    <row r="770078" spans="1:1" x14ac:dyDescent="0.3">
      <c r="A770078" s="15" t="s">
        <v>27</v>
      </c>
    </row>
    <row r="770079" spans="1:1" x14ac:dyDescent="0.3">
      <c r="A770079" s="15" t="s">
        <v>28</v>
      </c>
    </row>
    <row r="770080" spans="1:1" x14ac:dyDescent="0.3">
      <c r="A770080" s="15" t="s">
        <v>88</v>
      </c>
    </row>
    <row r="770081" spans="1:1" x14ac:dyDescent="0.3">
      <c r="A770081" s="15" t="s">
        <v>89</v>
      </c>
    </row>
    <row r="770082" spans="1:1" x14ac:dyDescent="0.3">
      <c r="A770082" s="15" t="s">
        <v>184</v>
      </c>
    </row>
    <row r="770083" spans="1:1" x14ac:dyDescent="0.3">
      <c r="A770083" s="15" t="s">
        <v>185</v>
      </c>
    </row>
    <row r="770084" spans="1:1" x14ac:dyDescent="0.3">
      <c r="A770084" s="15" t="s">
        <v>186</v>
      </c>
    </row>
    <row r="770085" spans="1:1" x14ac:dyDescent="0.3">
      <c r="A770085" s="15" t="s">
        <v>187</v>
      </c>
    </row>
    <row r="770086" spans="1:1" x14ac:dyDescent="0.3">
      <c r="A770086" s="15" t="s">
        <v>188</v>
      </c>
    </row>
    <row r="770087" spans="1:1" x14ac:dyDescent="0.3">
      <c r="A770087" s="15" t="s">
        <v>189</v>
      </c>
    </row>
    <row r="770088" spans="1:1" x14ac:dyDescent="0.3">
      <c r="A770088" s="15" t="s">
        <v>190</v>
      </c>
    </row>
    <row r="770089" spans="1:1" x14ac:dyDescent="0.3">
      <c r="A770089" s="14" t="s">
        <v>47</v>
      </c>
    </row>
    <row r="770090" spans="1:1" x14ac:dyDescent="0.3">
      <c r="A770090" s="14" t="s">
        <v>118</v>
      </c>
    </row>
    <row r="770091" spans="1:1" x14ac:dyDescent="0.3">
      <c r="A770091" s="14" t="s">
        <v>85</v>
      </c>
    </row>
    <row r="770092" spans="1:1" x14ac:dyDescent="0.3">
      <c r="A770092" s="13" t="s">
        <v>21</v>
      </c>
    </row>
    <row r="770093" spans="1:1" x14ac:dyDescent="0.3">
      <c r="A770093" s="14" t="s">
        <v>91</v>
      </c>
    </row>
    <row r="770094" spans="1:1" x14ac:dyDescent="0.3">
      <c r="A770094" s="14" t="s">
        <v>92</v>
      </c>
    </row>
    <row r="770095" spans="1:1" x14ac:dyDescent="0.3">
      <c r="A770095" s="14" t="s">
        <v>98</v>
      </c>
    </row>
    <row r="770096" spans="1:1" x14ac:dyDescent="0.3">
      <c r="A770096" s="14" t="s">
        <v>99</v>
      </c>
    </row>
    <row r="770097" spans="1:1" x14ac:dyDescent="0.3">
      <c r="A770097" s="13" t="s">
        <v>24</v>
      </c>
    </row>
    <row r="770098" spans="1:1" x14ac:dyDescent="0.3">
      <c r="A770098" s="13" t="s">
        <v>82</v>
      </c>
    </row>
    <row r="770099" spans="1:1" x14ac:dyDescent="0.3">
      <c r="A770099" s="13" t="s">
        <v>105</v>
      </c>
    </row>
    <row r="770100" spans="1:1" x14ac:dyDescent="0.3">
      <c r="A770100" s="13" t="s">
        <v>100</v>
      </c>
    </row>
    <row r="770101" spans="1:1" x14ac:dyDescent="0.3">
      <c r="A770101" s="13" t="s">
        <v>101</v>
      </c>
    </row>
    <row r="770102" spans="1:1" x14ac:dyDescent="0.3">
      <c r="A770102" s="13" t="s">
        <v>102</v>
      </c>
    </row>
    <row r="770103" spans="1:1" x14ac:dyDescent="0.3">
      <c r="A770103" s="13" t="s">
        <v>103</v>
      </c>
    </row>
    <row r="770104" spans="1:1" x14ac:dyDescent="0.3">
      <c r="A770104" s="13" t="s">
        <v>104</v>
      </c>
    </row>
    <row r="786434" spans="1:1" x14ac:dyDescent="0.3">
      <c r="A786434" s="13" t="s">
        <v>0</v>
      </c>
    </row>
    <row r="786435" spans="1:1" x14ac:dyDescent="0.3">
      <c r="A786435" s="13" t="s">
        <v>124</v>
      </c>
    </row>
    <row r="786436" spans="1:1" x14ac:dyDescent="0.3">
      <c r="A786436" s="13" t="s">
        <v>1</v>
      </c>
    </row>
    <row r="786437" spans="1:1" x14ac:dyDescent="0.3">
      <c r="A786437" s="13" t="s">
        <v>2</v>
      </c>
    </row>
    <row r="786438" spans="1:1" x14ac:dyDescent="0.3">
      <c r="A786438" s="14" t="s">
        <v>25</v>
      </c>
    </row>
    <row r="786439" spans="1:1" x14ac:dyDescent="0.3">
      <c r="A786439" s="13" t="s">
        <v>125</v>
      </c>
    </row>
    <row r="786440" spans="1:1" x14ac:dyDescent="0.3">
      <c r="A786440" s="13" t="s">
        <v>126</v>
      </c>
    </row>
    <row r="786441" spans="1:1" x14ac:dyDescent="0.3">
      <c r="A786441" s="13" t="s">
        <v>87</v>
      </c>
    </row>
    <row r="786442" spans="1:1" x14ac:dyDescent="0.3">
      <c r="A786442" s="13" t="s">
        <v>22</v>
      </c>
    </row>
    <row r="786443" spans="1:1" x14ac:dyDescent="0.3">
      <c r="A786443" s="13" t="s">
        <v>3</v>
      </c>
    </row>
    <row r="786444" spans="1:1" x14ac:dyDescent="0.3">
      <c r="A786444" s="15" t="s">
        <v>94</v>
      </c>
    </row>
    <row r="786445" spans="1:1" x14ac:dyDescent="0.3">
      <c r="A786445" s="15" t="s">
        <v>93</v>
      </c>
    </row>
    <row r="786446" spans="1:1" x14ac:dyDescent="0.3">
      <c r="A786446" s="15" t="s">
        <v>4</v>
      </c>
    </row>
    <row r="786447" spans="1:1" x14ac:dyDescent="0.3">
      <c r="A786447" s="15" t="s">
        <v>117</v>
      </c>
    </row>
    <row r="786448" spans="1:1" x14ac:dyDescent="0.3">
      <c r="A786448" s="15" t="s">
        <v>5</v>
      </c>
    </row>
    <row r="786449" spans="1:1" x14ac:dyDescent="0.3">
      <c r="A786449" s="15" t="s">
        <v>6</v>
      </c>
    </row>
    <row r="786450" spans="1:1" x14ac:dyDescent="0.3">
      <c r="A786450" s="15" t="s">
        <v>7</v>
      </c>
    </row>
    <row r="786451" spans="1:1" x14ac:dyDescent="0.3">
      <c r="A786451" s="15" t="s">
        <v>8</v>
      </c>
    </row>
    <row r="786452" spans="1:1" x14ac:dyDescent="0.3">
      <c r="A786452" s="15" t="s">
        <v>9</v>
      </c>
    </row>
    <row r="786453" spans="1:1" x14ac:dyDescent="0.3">
      <c r="A786453" s="15" t="s">
        <v>10</v>
      </c>
    </row>
    <row r="786454" spans="1:1" x14ac:dyDescent="0.3">
      <c r="A786454" s="15" t="s">
        <v>11</v>
      </c>
    </row>
    <row r="786455" spans="1:1" x14ac:dyDescent="0.3">
      <c r="A786455" s="15" t="s">
        <v>12</v>
      </c>
    </row>
    <row r="786456" spans="1:1" x14ac:dyDescent="0.3">
      <c r="A786456" s="15" t="s">
        <v>13</v>
      </c>
    </row>
    <row r="786457" spans="1:1" x14ac:dyDescent="0.3">
      <c r="A786457" s="15" t="s">
        <v>14</v>
      </c>
    </row>
    <row r="786458" spans="1:1" x14ac:dyDescent="0.3">
      <c r="A786458" s="13" t="s">
        <v>31</v>
      </c>
    </row>
    <row r="786459" spans="1:1" x14ac:dyDescent="0.3">
      <c r="A786459" s="13" t="s">
        <v>86</v>
      </c>
    </row>
    <row r="786460" spans="1:1" x14ac:dyDescent="0.3">
      <c r="A786460" s="15" t="s">
        <v>30</v>
      </c>
    </row>
    <row r="786461" spans="1:1" x14ac:dyDescent="0.3">
      <c r="A786461" s="15" t="s">
        <v>26</v>
      </c>
    </row>
    <row r="786462" spans="1:1" x14ac:dyDescent="0.3">
      <c r="A786462" s="15" t="s">
        <v>27</v>
      </c>
    </row>
    <row r="786463" spans="1:1" x14ac:dyDescent="0.3">
      <c r="A786463" s="15" t="s">
        <v>28</v>
      </c>
    </row>
    <row r="786464" spans="1:1" x14ac:dyDescent="0.3">
      <c r="A786464" s="15" t="s">
        <v>88</v>
      </c>
    </row>
    <row r="786465" spans="1:1" x14ac:dyDescent="0.3">
      <c r="A786465" s="15" t="s">
        <v>89</v>
      </c>
    </row>
    <row r="786466" spans="1:1" x14ac:dyDescent="0.3">
      <c r="A786466" s="15" t="s">
        <v>184</v>
      </c>
    </row>
    <row r="786467" spans="1:1" x14ac:dyDescent="0.3">
      <c r="A786467" s="15" t="s">
        <v>185</v>
      </c>
    </row>
    <row r="786468" spans="1:1" x14ac:dyDescent="0.3">
      <c r="A786468" s="15" t="s">
        <v>186</v>
      </c>
    </row>
    <row r="786469" spans="1:1" x14ac:dyDescent="0.3">
      <c r="A786469" s="15" t="s">
        <v>187</v>
      </c>
    </row>
    <row r="786470" spans="1:1" x14ac:dyDescent="0.3">
      <c r="A786470" s="15" t="s">
        <v>188</v>
      </c>
    </row>
    <row r="786471" spans="1:1" x14ac:dyDescent="0.3">
      <c r="A786471" s="15" t="s">
        <v>189</v>
      </c>
    </row>
    <row r="786472" spans="1:1" x14ac:dyDescent="0.3">
      <c r="A786472" s="15" t="s">
        <v>190</v>
      </c>
    </row>
    <row r="786473" spans="1:1" x14ac:dyDescent="0.3">
      <c r="A786473" s="14" t="s">
        <v>47</v>
      </c>
    </row>
    <row r="786474" spans="1:1" x14ac:dyDescent="0.3">
      <c r="A786474" s="14" t="s">
        <v>118</v>
      </c>
    </row>
    <row r="786475" spans="1:1" x14ac:dyDescent="0.3">
      <c r="A786475" s="14" t="s">
        <v>85</v>
      </c>
    </row>
    <row r="786476" spans="1:1" x14ac:dyDescent="0.3">
      <c r="A786476" s="13" t="s">
        <v>21</v>
      </c>
    </row>
    <row r="786477" spans="1:1" x14ac:dyDescent="0.3">
      <c r="A786477" s="14" t="s">
        <v>91</v>
      </c>
    </row>
    <row r="786478" spans="1:1" x14ac:dyDescent="0.3">
      <c r="A786478" s="14" t="s">
        <v>92</v>
      </c>
    </row>
    <row r="786479" spans="1:1" x14ac:dyDescent="0.3">
      <c r="A786479" s="14" t="s">
        <v>98</v>
      </c>
    </row>
    <row r="786480" spans="1:1" x14ac:dyDescent="0.3">
      <c r="A786480" s="14" t="s">
        <v>99</v>
      </c>
    </row>
    <row r="786481" spans="1:1" x14ac:dyDescent="0.3">
      <c r="A786481" s="13" t="s">
        <v>24</v>
      </c>
    </row>
    <row r="786482" spans="1:1" x14ac:dyDescent="0.3">
      <c r="A786482" s="13" t="s">
        <v>82</v>
      </c>
    </row>
    <row r="786483" spans="1:1" x14ac:dyDescent="0.3">
      <c r="A786483" s="13" t="s">
        <v>105</v>
      </c>
    </row>
    <row r="786484" spans="1:1" x14ac:dyDescent="0.3">
      <c r="A786484" s="13" t="s">
        <v>100</v>
      </c>
    </row>
    <row r="786485" spans="1:1" x14ac:dyDescent="0.3">
      <c r="A786485" s="13" t="s">
        <v>101</v>
      </c>
    </row>
    <row r="786486" spans="1:1" x14ac:dyDescent="0.3">
      <c r="A786486" s="13" t="s">
        <v>102</v>
      </c>
    </row>
    <row r="786487" spans="1:1" x14ac:dyDescent="0.3">
      <c r="A786487" s="13" t="s">
        <v>103</v>
      </c>
    </row>
    <row r="786488" spans="1:1" x14ac:dyDescent="0.3">
      <c r="A786488" s="13" t="s">
        <v>104</v>
      </c>
    </row>
    <row r="802818" spans="1:1" x14ac:dyDescent="0.3">
      <c r="A802818" s="13" t="s">
        <v>0</v>
      </c>
    </row>
    <row r="802819" spans="1:1" x14ac:dyDescent="0.3">
      <c r="A802819" s="13" t="s">
        <v>124</v>
      </c>
    </row>
    <row r="802820" spans="1:1" x14ac:dyDescent="0.3">
      <c r="A802820" s="13" t="s">
        <v>1</v>
      </c>
    </row>
    <row r="802821" spans="1:1" x14ac:dyDescent="0.3">
      <c r="A802821" s="13" t="s">
        <v>2</v>
      </c>
    </row>
    <row r="802822" spans="1:1" x14ac:dyDescent="0.3">
      <c r="A802822" s="14" t="s">
        <v>25</v>
      </c>
    </row>
    <row r="802823" spans="1:1" x14ac:dyDescent="0.3">
      <c r="A802823" s="13" t="s">
        <v>125</v>
      </c>
    </row>
    <row r="802824" spans="1:1" x14ac:dyDescent="0.3">
      <c r="A802824" s="13" t="s">
        <v>126</v>
      </c>
    </row>
    <row r="802825" spans="1:1" x14ac:dyDescent="0.3">
      <c r="A802825" s="13" t="s">
        <v>87</v>
      </c>
    </row>
    <row r="802826" spans="1:1" x14ac:dyDescent="0.3">
      <c r="A802826" s="13" t="s">
        <v>22</v>
      </c>
    </row>
    <row r="802827" spans="1:1" x14ac:dyDescent="0.3">
      <c r="A802827" s="13" t="s">
        <v>3</v>
      </c>
    </row>
    <row r="802828" spans="1:1" x14ac:dyDescent="0.3">
      <c r="A802828" s="15" t="s">
        <v>94</v>
      </c>
    </row>
    <row r="802829" spans="1:1" x14ac:dyDescent="0.3">
      <c r="A802829" s="15" t="s">
        <v>93</v>
      </c>
    </row>
    <row r="802830" spans="1:1" x14ac:dyDescent="0.3">
      <c r="A802830" s="15" t="s">
        <v>4</v>
      </c>
    </row>
    <row r="802831" spans="1:1" x14ac:dyDescent="0.3">
      <c r="A802831" s="15" t="s">
        <v>117</v>
      </c>
    </row>
    <row r="802832" spans="1:1" x14ac:dyDescent="0.3">
      <c r="A802832" s="15" t="s">
        <v>5</v>
      </c>
    </row>
    <row r="802833" spans="1:1" x14ac:dyDescent="0.3">
      <c r="A802833" s="15" t="s">
        <v>6</v>
      </c>
    </row>
    <row r="802834" spans="1:1" x14ac:dyDescent="0.3">
      <c r="A802834" s="15" t="s">
        <v>7</v>
      </c>
    </row>
    <row r="802835" spans="1:1" x14ac:dyDescent="0.3">
      <c r="A802835" s="15" t="s">
        <v>8</v>
      </c>
    </row>
    <row r="802836" spans="1:1" x14ac:dyDescent="0.3">
      <c r="A802836" s="15" t="s">
        <v>9</v>
      </c>
    </row>
    <row r="802837" spans="1:1" x14ac:dyDescent="0.3">
      <c r="A802837" s="15" t="s">
        <v>10</v>
      </c>
    </row>
    <row r="802838" spans="1:1" x14ac:dyDescent="0.3">
      <c r="A802838" s="15" t="s">
        <v>11</v>
      </c>
    </row>
    <row r="802839" spans="1:1" x14ac:dyDescent="0.3">
      <c r="A802839" s="15" t="s">
        <v>12</v>
      </c>
    </row>
    <row r="802840" spans="1:1" x14ac:dyDescent="0.3">
      <c r="A802840" s="15" t="s">
        <v>13</v>
      </c>
    </row>
    <row r="802841" spans="1:1" x14ac:dyDescent="0.3">
      <c r="A802841" s="15" t="s">
        <v>14</v>
      </c>
    </row>
    <row r="802842" spans="1:1" x14ac:dyDescent="0.3">
      <c r="A802842" s="13" t="s">
        <v>31</v>
      </c>
    </row>
    <row r="802843" spans="1:1" x14ac:dyDescent="0.3">
      <c r="A802843" s="13" t="s">
        <v>86</v>
      </c>
    </row>
    <row r="802844" spans="1:1" x14ac:dyDescent="0.3">
      <c r="A802844" s="15" t="s">
        <v>30</v>
      </c>
    </row>
    <row r="802845" spans="1:1" x14ac:dyDescent="0.3">
      <c r="A802845" s="15" t="s">
        <v>26</v>
      </c>
    </row>
    <row r="802846" spans="1:1" x14ac:dyDescent="0.3">
      <c r="A802846" s="15" t="s">
        <v>27</v>
      </c>
    </row>
    <row r="802847" spans="1:1" x14ac:dyDescent="0.3">
      <c r="A802847" s="15" t="s">
        <v>28</v>
      </c>
    </row>
    <row r="802848" spans="1:1" x14ac:dyDescent="0.3">
      <c r="A802848" s="15" t="s">
        <v>88</v>
      </c>
    </row>
    <row r="802849" spans="1:1" x14ac:dyDescent="0.3">
      <c r="A802849" s="15" t="s">
        <v>89</v>
      </c>
    </row>
    <row r="802850" spans="1:1" x14ac:dyDescent="0.3">
      <c r="A802850" s="15" t="s">
        <v>184</v>
      </c>
    </row>
    <row r="802851" spans="1:1" x14ac:dyDescent="0.3">
      <c r="A802851" s="15" t="s">
        <v>185</v>
      </c>
    </row>
    <row r="802852" spans="1:1" x14ac:dyDescent="0.3">
      <c r="A802852" s="15" t="s">
        <v>186</v>
      </c>
    </row>
    <row r="802853" spans="1:1" x14ac:dyDescent="0.3">
      <c r="A802853" s="15" t="s">
        <v>187</v>
      </c>
    </row>
    <row r="802854" spans="1:1" x14ac:dyDescent="0.3">
      <c r="A802854" s="15" t="s">
        <v>188</v>
      </c>
    </row>
    <row r="802855" spans="1:1" x14ac:dyDescent="0.3">
      <c r="A802855" s="15" t="s">
        <v>189</v>
      </c>
    </row>
    <row r="802856" spans="1:1" x14ac:dyDescent="0.3">
      <c r="A802856" s="15" t="s">
        <v>190</v>
      </c>
    </row>
    <row r="802857" spans="1:1" x14ac:dyDescent="0.3">
      <c r="A802857" s="14" t="s">
        <v>47</v>
      </c>
    </row>
    <row r="802858" spans="1:1" x14ac:dyDescent="0.3">
      <c r="A802858" s="14" t="s">
        <v>118</v>
      </c>
    </row>
    <row r="802859" spans="1:1" x14ac:dyDescent="0.3">
      <c r="A802859" s="14" t="s">
        <v>85</v>
      </c>
    </row>
    <row r="802860" spans="1:1" x14ac:dyDescent="0.3">
      <c r="A802860" s="13" t="s">
        <v>21</v>
      </c>
    </row>
    <row r="802861" spans="1:1" x14ac:dyDescent="0.3">
      <c r="A802861" s="14" t="s">
        <v>91</v>
      </c>
    </row>
    <row r="802862" spans="1:1" x14ac:dyDescent="0.3">
      <c r="A802862" s="14" t="s">
        <v>92</v>
      </c>
    </row>
    <row r="802863" spans="1:1" x14ac:dyDescent="0.3">
      <c r="A802863" s="14" t="s">
        <v>98</v>
      </c>
    </row>
    <row r="802864" spans="1:1" x14ac:dyDescent="0.3">
      <c r="A802864" s="14" t="s">
        <v>99</v>
      </c>
    </row>
    <row r="802865" spans="1:1" x14ac:dyDescent="0.3">
      <c r="A802865" s="13" t="s">
        <v>24</v>
      </c>
    </row>
    <row r="802866" spans="1:1" x14ac:dyDescent="0.3">
      <c r="A802866" s="13" t="s">
        <v>82</v>
      </c>
    </row>
    <row r="802867" spans="1:1" x14ac:dyDescent="0.3">
      <c r="A802867" s="13" t="s">
        <v>105</v>
      </c>
    </row>
    <row r="802868" spans="1:1" x14ac:dyDescent="0.3">
      <c r="A802868" s="13" t="s">
        <v>100</v>
      </c>
    </row>
    <row r="802869" spans="1:1" x14ac:dyDescent="0.3">
      <c r="A802869" s="13" t="s">
        <v>101</v>
      </c>
    </row>
    <row r="802870" spans="1:1" x14ac:dyDescent="0.3">
      <c r="A802870" s="13" t="s">
        <v>102</v>
      </c>
    </row>
    <row r="802871" spans="1:1" x14ac:dyDescent="0.3">
      <c r="A802871" s="13" t="s">
        <v>103</v>
      </c>
    </row>
    <row r="802872" spans="1:1" x14ac:dyDescent="0.3">
      <c r="A802872" s="13" t="s">
        <v>104</v>
      </c>
    </row>
    <row r="819202" spans="1:1" x14ac:dyDescent="0.3">
      <c r="A819202" s="13" t="s">
        <v>0</v>
      </c>
    </row>
    <row r="819203" spans="1:1" x14ac:dyDescent="0.3">
      <c r="A819203" s="13" t="s">
        <v>124</v>
      </c>
    </row>
    <row r="819204" spans="1:1" x14ac:dyDescent="0.3">
      <c r="A819204" s="13" t="s">
        <v>1</v>
      </c>
    </row>
    <row r="819205" spans="1:1" x14ac:dyDescent="0.3">
      <c r="A819205" s="13" t="s">
        <v>2</v>
      </c>
    </row>
    <row r="819206" spans="1:1" x14ac:dyDescent="0.3">
      <c r="A819206" s="14" t="s">
        <v>25</v>
      </c>
    </row>
    <row r="819207" spans="1:1" x14ac:dyDescent="0.3">
      <c r="A819207" s="13" t="s">
        <v>125</v>
      </c>
    </row>
    <row r="819208" spans="1:1" x14ac:dyDescent="0.3">
      <c r="A819208" s="13" t="s">
        <v>126</v>
      </c>
    </row>
    <row r="819209" spans="1:1" x14ac:dyDescent="0.3">
      <c r="A819209" s="13" t="s">
        <v>87</v>
      </c>
    </row>
    <row r="819210" spans="1:1" x14ac:dyDescent="0.3">
      <c r="A819210" s="13" t="s">
        <v>22</v>
      </c>
    </row>
    <row r="819211" spans="1:1" x14ac:dyDescent="0.3">
      <c r="A819211" s="13" t="s">
        <v>3</v>
      </c>
    </row>
    <row r="819212" spans="1:1" x14ac:dyDescent="0.3">
      <c r="A819212" s="15" t="s">
        <v>94</v>
      </c>
    </row>
    <row r="819213" spans="1:1" x14ac:dyDescent="0.3">
      <c r="A819213" s="15" t="s">
        <v>93</v>
      </c>
    </row>
    <row r="819214" spans="1:1" x14ac:dyDescent="0.3">
      <c r="A819214" s="15" t="s">
        <v>4</v>
      </c>
    </row>
    <row r="819215" spans="1:1" x14ac:dyDescent="0.3">
      <c r="A819215" s="15" t="s">
        <v>117</v>
      </c>
    </row>
    <row r="819216" spans="1:1" x14ac:dyDescent="0.3">
      <c r="A819216" s="15" t="s">
        <v>5</v>
      </c>
    </row>
    <row r="819217" spans="1:1" x14ac:dyDescent="0.3">
      <c r="A819217" s="15" t="s">
        <v>6</v>
      </c>
    </row>
    <row r="819218" spans="1:1" x14ac:dyDescent="0.3">
      <c r="A819218" s="15" t="s">
        <v>7</v>
      </c>
    </row>
    <row r="819219" spans="1:1" x14ac:dyDescent="0.3">
      <c r="A819219" s="15" t="s">
        <v>8</v>
      </c>
    </row>
    <row r="819220" spans="1:1" x14ac:dyDescent="0.3">
      <c r="A819220" s="15" t="s">
        <v>9</v>
      </c>
    </row>
    <row r="819221" spans="1:1" x14ac:dyDescent="0.3">
      <c r="A819221" s="15" t="s">
        <v>10</v>
      </c>
    </row>
    <row r="819222" spans="1:1" x14ac:dyDescent="0.3">
      <c r="A819222" s="15" t="s">
        <v>11</v>
      </c>
    </row>
    <row r="819223" spans="1:1" x14ac:dyDescent="0.3">
      <c r="A819223" s="15" t="s">
        <v>12</v>
      </c>
    </row>
    <row r="819224" spans="1:1" x14ac:dyDescent="0.3">
      <c r="A819224" s="15" t="s">
        <v>13</v>
      </c>
    </row>
    <row r="819225" spans="1:1" x14ac:dyDescent="0.3">
      <c r="A819225" s="15" t="s">
        <v>14</v>
      </c>
    </row>
    <row r="819226" spans="1:1" x14ac:dyDescent="0.3">
      <c r="A819226" s="13" t="s">
        <v>31</v>
      </c>
    </row>
    <row r="819227" spans="1:1" x14ac:dyDescent="0.3">
      <c r="A819227" s="13" t="s">
        <v>86</v>
      </c>
    </row>
    <row r="819228" spans="1:1" x14ac:dyDescent="0.3">
      <c r="A819228" s="15" t="s">
        <v>30</v>
      </c>
    </row>
    <row r="819229" spans="1:1" x14ac:dyDescent="0.3">
      <c r="A819229" s="15" t="s">
        <v>26</v>
      </c>
    </row>
    <row r="819230" spans="1:1" x14ac:dyDescent="0.3">
      <c r="A819230" s="15" t="s">
        <v>27</v>
      </c>
    </row>
    <row r="819231" spans="1:1" x14ac:dyDescent="0.3">
      <c r="A819231" s="15" t="s">
        <v>28</v>
      </c>
    </row>
    <row r="819232" spans="1:1" x14ac:dyDescent="0.3">
      <c r="A819232" s="15" t="s">
        <v>88</v>
      </c>
    </row>
    <row r="819233" spans="1:1" x14ac:dyDescent="0.3">
      <c r="A819233" s="15" t="s">
        <v>89</v>
      </c>
    </row>
    <row r="819234" spans="1:1" x14ac:dyDescent="0.3">
      <c r="A819234" s="15" t="s">
        <v>184</v>
      </c>
    </row>
    <row r="819235" spans="1:1" x14ac:dyDescent="0.3">
      <c r="A819235" s="15" t="s">
        <v>185</v>
      </c>
    </row>
    <row r="819236" spans="1:1" x14ac:dyDescent="0.3">
      <c r="A819236" s="15" t="s">
        <v>186</v>
      </c>
    </row>
    <row r="819237" spans="1:1" x14ac:dyDescent="0.3">
      <c r="A819237" s="15" t="s">
        <v>187</v>
      </c>
    </row>
    <row r="819238" spans="1:1" x14ac:dyDescent="0.3">
      <c r="A819238" s="15" t="s">
        <v>188</v>
      </c>
    </row>
    <row r="819239" spans="1:1" x14ac:dyDescent="0.3">
      <c r="A819239" s="15" t="s">
        <v>189</v>
      </c>
    </row>
    <row r="819240" spans="1:1" x14ac:dyDescent="0.3">
      <c r="A819240" s="15" t="s">
        <v>190</v>
      </c>
    </row>
    <row r="819241" spans="1:1" x14ac:dyDescent="0.3">
      <c r="A819241" s="14" t="s">
        <v>47</v>
      </c>
    </row>
    <row r="819242" spans="1:1" x14ac:dyDescent="0.3">
      <c r="A819242" s="14" t="s">
        <v>118</v>
      </c>
    </row>
    <row r="819243" spans="1:1" x14ac:dyDescent="0.3">
      <c r="A819243" s="14" t="s">
        <v>85</v>
      </c>
    </row>
    <row r="819244" spans="1:1" x14ac:dyDescent="0.3">
      <c r="A819244" s="13" t="s">
        <v>21</v>
      </c>
    </row>
    <row r="819245" spans="1:1" x14ac:dyDescent="0.3">
      <c r="A819245" s="14" t="s">
        <v>91</v>
      </c>
    </row>
    <row r="819246" spans="1:1" x14ac:dyDescent="0.3">
      <c r="A819246" s="14" t="s">
        <v>92</v>
      </c>
    </row>
    <row r="819247" spans="1:1" x14ac:dyDescent="0.3">
      <c r="A819247" s="14" t="s">
        <v>98</v>
      </c>
    </row>
    <row r="819248" spans="1:1" x14ac:dyDescent="0.3">
      <c r="A819248" s="14" t="s">
        <v>99</v>
      </c>
    </row>
    <row r="819249" spans="1:1" x14ac:dyDescent="0.3">
      <c r="A819249" s="13" t="s">
        <v>24</v>
      </c>
    </row>
    <row r="819250" spans="1:1" x14ac:dyDescent="0.3">
      <c r="A819250" s="13" t="s">
        <v>82</v>
      </c>
    </row>
    <row r="819251" spans="1:1" x14ac:dyDescent="0.3">
      <c r="A819251" s="13" t="s">
        <v>105</v>
      </c>
    </row>
    <row r="819252" spans="1:1" x14ac:dyDescent="0.3">
      <c r="A819252" s="13" t="s">
        <v>100</v>
      </c>
    </row>
    <row r="819253" spans="1:1" x14ac:dyDescent="0.3">
      <c r="A819253" s="13" t="s">
        <v>101</v>
      </c>
    </row>
    <row r="819254" spans="1:1" x14ac:dyDescent="0.3">
      <c r="A819254" s="13" t="s">
        <v>102</v>
      </c>
    </row>
    <row r="819255" spans="1:1" x14ac:dyDescent="0.3">
      <c r="A819255" s="13" t="s">
        <v>103</v>
      </c>
    </row>
    <row r="819256" spans="1:1" x14ac:dyDescent="0.3">
      <c r="A819256" s="13" t="s">
        <v>104</v>
      </c>
    </row>
    <row r="835586" spans="1:1" x14ac:dyDescent="0.3">
      <c r="A835586" s="13" t="s">
        <v>0</v>
      </c>
    </row>
    <row r="835587" spans="1:1" x14ac:dyDescent="0.3">
      <c r="A835587" s="13" t="s">
        <v>124</v>
      </c>
    </row>
    <row r="835588" spans="1:1" x14ac:dyDescent="0.3">
      <c r="A835588" s="13" t="s">
        <v>1</v>
      </c>
    </row>
    <row r="835589" spans="1:1" x14ac:dyDescent="0.3">
      <c r="A835589" s="13" t="s">
        <v>2</v>
      </c>
    </row>
    <row r="835590" spans="1:1" x14ac:dyDescent="0.3">
      <c r="A835590" s="14" t="s">
        <v>25</v>
      </c>
    </row>
    <row r="835591" spans="1:1" x14ac:dyDescent="0.3">
      <c r="A835591" s="13" t="s">
        <v>125</v>
      </c>
    </row>
    <row r="835592" spans="1:1" x14ac:dyDescent="0.3">
      <c r="A835592" s="13" t="s">
        <v>126</v>
      </c>
    </row>
    <row r="835593" spans="1:1" x14ac:dyDescent="0.3">
      <c r="A835593" s="13" t="s">
        <v>87</v>
      </c>
    </row>
    <row r="835594" spans="1:1" x14ac:dyDescent="0.3">
      <c r="A835594" s="13" t="s">
        <v>22</v>
      </c>
    </row>
    <row r="835595" spans="1:1" x14ac:dyDescent="0.3">
      <c r="A835595" s="13" t="s">
        <v>3</v>
      </c>
    </row>
    <row r="835596" spans="1:1" x14ac:dyDescent="0.3">
      <c r="A835596" s="15" t="s">
        <v>94</v>
      </c>
    </row>
    <row r="835597" spans="1:1" x14ac:dyDescent="0.3">
      <c r="A835597" s="15" t="s">
        <v>93</v>
      </c>
    </row>
    <row r="835598" spans="1:1" x14ac:dyDescent="0.3">
      <c r="A835598" s="15" t="s">
        <v>4</v>
      </c>
    </row>
    <row r="835599" spans="1:1" x14ac:dyDescent="0.3">
      <c r="A835599" s="15" t="s">
        <v>117</v>
      </c>
    </row>
    <row r="835600" spans="1:1" x14ac:dyDescent="0.3">
      <c r="A835600" s="15" t="s">
        <v>5</v>
      </c>
    </row>
    <row r="835601" spans="1:1" x14ac:dyDescent="0.3">
      <c r="A835601" s="15" t="s">
        <v>6</v>
      </c>
    </row>
    <row r="835602" spans="1:1" x14ac:dyDescent="0.3">
      <c r="A835602" s="15" t="s">
        <v>7</v>
      </c>
    </row>
    <row r="835603" spans="1:1" x14ac:dyDescent="0.3">
      <c r="A835603" s="15" t="s">
        <v>8</v>
      </c>
    </row>
    <row r="835604" spans="1:1" x14ac:dyDescent="0.3">
      <c r="A835604" s="15" t="s">
        <v>9</v>
      </c>
    </row>
    <row r="835605" spans="1:1" x14ac:dyDescent="0.3">
      <c r="A835605" s="15" t="s">
        <v>10</v>
      </c>
    </row>
    <row r="835606" spans="1:1" x14ac:dyDescent="0.3">
      <c r="A835606" s="15" t="s">
        <v>11</v>
      </c>
    </row>
    <row r="835607" spans="1:1" x14ac:dyDescent="0.3">
      <c r="A835607" s="15" t="s">
        <v>12</v>
      </c>
    </row>
    <row r="835608" spans="1:1" x14ac:dyDescent="0.3">
      <c r="A835608" s="15" t="s">
        <v>13</v>
      </c>
    </row>
    <row r="835609" spans="1:1" x14ac:dyDescent="0.3">
      <c r="A835609" s="15" t="s">
        <v>14</v>
      </c>
    </row>
    <row r="835610" spans="1:1" x14ac:dyDescent="0.3">
      <c r="A835610" s="13" t="s">
        <v>31</v>
      </c>
    </row>
    <row r="835611" spans="1:1" x14ac:dyDescent="0.3">
      <c r="A835611" s="13" t="s">
        <v>86</v>
      </c>
    </row>
    <row r="835612" spans="1:1" x14ac:dyDescent="0.3">
      <c r="A835612" s="15" t="s">
        <v>30</v>
      </c>
    </row>
    <row r="835613" spans="1:1" x14ac:dyDescent="0.3">
      <c r="A835613" s="15" t="s">
        <v>26</v>
      </c>
    </row>
    <row r="835614" spans="1:1" x14ac:dyDescent="0.3">
      <c r="A835614" s="15" t="s">
        <v>27</v>
      </c>
    </row>
    <row r="835615" spans="1:1" x14ac:dyDescent="0.3">
      <c r="A835615" s="15" t="s">
        <v>28</v>
      </c>
    </row>
    <row r="835616" spans="1:1" x14ac:dyDescent="0.3">
      <c r="A835616" s="15" t="s">
        <v>88</v>
      </c>
    </row>
    <row r="835617" spans="1:1" x14ac:dyDescent="0.3">
      <c r="A835617" s="15" t="s">
        <v>89</v>
      </c>
    </row>
    <row r="835618" spans="1:1" x14ac:dyDescent="0.3">
      <c r="A835618" s="15" t="s">
        <v>184</v>
      </c>
    </row>
    <row r="835619" spans="1:1" x14ac:dyDescent="0.3">
      <c r="A835619" s="15" t="s">
        <v>185</v>
      </c>
    </row>
    <row r="835620" spans="1:1" x14ac:dyDescent="0.3">
      <c r="A835620" s="15" t="s">
        <v>186</v>
      </c>
    </row>
    <row r="835621" spans="1:1" x14ac:dyDescent="0.3">
      <c r="A835621" s="15" t="s">
        <v>187</v>
      </c>
    </row>
    <row r="835622" spans="1:1" x14ac:dyDescent="0.3">
      <c r="A835622" s="15" t="s">
        <v>188</v>
      </c>
    </row>
    <row r="835623" spans="1:1" x14ac:dyDescent="0.3">
      <c r="A835623" s="15" t="s">
        <v>189</v>
      </c>
    </row>
    <row r="835624" spans="1:1" x14ac:dyDescent="0.3">
      <c r="A835624" s="15" t="s">
        <v>190</v>
      </c>
    </row>
    <row r="835625" spans="1:1" x14ac:dyDescent="0.3">
      <c r="A835625" s="14" t="s">
        <v>47</v>
      </c>
    </row>
    <row r="835626" spans="1:1" x14ac:dyDescent="0.3">
      <c r="A835626" s="14" t="s">
        <v>118</v>
      </c>
    </row>
    <row r="835627" spans="1:1" x14ac:dyDescent="0.3">
      <c r="A835627" s="14" t="s">
        <v>85</v>
      </c>
    </row>
    <row r="835628" spans="1:1" x14ac:dyDescent="0.3">
      <c r="A835628" s="13" t="s">
        <v>21</v>
      </c>
    </row>
    <row r="835629" spans="1:1" x14ac:dyDescent="0.3">
      <c r="A835629" s="14" t="s">
        <v>91</v>
      </c>
    </row>
    <row r="835630" spans="1:1" x14ac:dyDescent="0.3">
      <c r="A835630" s="14" t="s">
        <v>92</v>
      </c>
    </row>
    <row r="835631" spans="1:1" x14ac:dyDescent="0.3">
      <c r="A835631" s="14" t="s">
        <v>98</v>
      </c>
    </row>
    <row r="835632" spans="1:1" x14ac:dyDescent="0.3">
      <c r="A835632" s="14" t="s">
        <v>99</v>
      </c>
    </row>
    <row r="835633" spans="1:1" x14ac:dyDescent="0.3">
      <c r="A835633" s="13" t="s">
        <v>24</v>
      </c>
    </row>
    <row r="835634" spans="1:1" x14ac:dyDescent="0.3">
      <c r="A835634" s="13" t="s">
        <v>82</v>
      </c>
    </row>
    <row r="835635" spans="1:1" x14ac:dyDescent="0.3">
      <c r="A835635" s="13" t="s">
        <v>105</v>
      </c>
    </row>
    <row r="835636" spans="1:1" x14ac:dyDescent="0.3">
      <c r="A835636" s="13" t="s">
        <v>100</v>
      </c>
    </row>
    <row r="835637" spans="1:1" x14ac:dyDescent="0.3">
      <c r="A835637" s="13" t="s">
        <v>101</v>
      </c>
    </row>
    <row r="835638" spans="1:1" x14ac:dyDescent="0.3">
      <c r="A835638" s="13" t="s">
        <v>102</v>
      </c>
    </row>
    <row r="835639" spans="1:1" x14ac:dyDescent="0.3">
      <c r="A835639" s="13" t="s">
        <v>103</v>
      </c>
    </row>
    <row r="835640" spans="1:1" x14ac:dyDescent="0.3">
      <c r="A835640" s="13" t="s">
        <v>104</v>
      </c>
    </row>
    <row r="851970" spans="1:1" x14ac:dyDescent="0.3">
      <c r="A851970" s="13" t="s">
        <v>0</v>
      </c>
    </row>
    <row r="851971" spans="1:1" x14ac:dyDescent="0.3">
      <c r="A851971" s="13" t="s">
        <v>124</v>
      </c>
    </row>
    <row r="851972" spans="1:1" x14ac:dyDescent="0.3">
      <c r="A851972" s="13" t="s">
        <v>1</v>
      </c>
    </row>
    <row r="851973" spans="1:1" x14ac:dyDescent="0.3">
      <c r="A851973" s="13" t="s">
        <v>2</v>
      </c>
    </row>
    <row r="851974" spans="1:1" x14ac:dyDescent="0.3">
      <c r="A851974" s="14" t="s">
        <v>25</v>
      </c>
    </row>
    <row r="851975" spans="1:1" x14ac:dyDescent="0.3">
      <c r="A851975" s="13" t="s">
        <v>125</v>
      </c>
    </row>
    <row r="851976" spans="1:1" x14ac:dyDescent="0.3">
      <c r="A851976" s="13" t="s">
        <v>126</v>
      </c>
    </row>
    <row r="851977" spans="1:1" x14ac:dyDescent="0.3">
      <c r="A851977" s="13" t="s">
        <v>87</v>
      </c>
    </row>
    <row r="851978" spans="1:1" x14ac:dyDescent="0.3">
      <c r="A851978" s="13" t="s">
        <v>22</v>
      </c>
    </row>
    <row r="851979" spans="1:1" x14ac:dyDescent="0.3">
      <c r="A851979" s="13" t="s">
        <v>3</v>
      </c>
    </row>
    <row r="851980" spans="1:1" x14ac:dyDescent="0.3">
      <c r="A851980" s="15" t="s">
        <v>94</v>
      </c>
    </row>
    <row r="851981" spans="1:1" x14ac:dyDescent="0.3">
      <c r="A851981" s="15" t="s">
        <v>93</v>
      </c>
    </row>
    <row r="851982" spans="1:1" x14ac:dyDescent="0.3">
      <c r="A851982" s="15" t="s">
        <v>4</v>
      </c>
    </row>
    <row r="851983" spans="1:1" x14ac:dyDescent="0.3">
      <c r="A851983" s="15" t="s">
        <v>117</v>
      </c>
    </row>
    <row r="851984" spans="1:1" x14ac:dyDescent="0.3">
      <c r="A851984" s="15" t="s">
        <v>5</v>
      </c>
    </row>
    <row r="851985" spans="1:1" x14ac:dyDescent="0.3">
      <c r="A851985" s="15" t="s">
        <v>6</v>
      </c>
    </row>
    <row r="851986" spans="1:1" x14ac:dyDescent="0.3">
      <c r="A851986" s="15" t="s">
        <v>7</v>
      </c>
    </row>
    <row r="851987" spans="1:1" x14ac:dyDescent="0.3">
      <c r="A851987" s="15" t="s">
        <v>8</v>
      </c>
    </row>
    <row r="851988" spans="1:1" x14ac:dyDescent="0.3">
      <c r="A851988" s="15" t="s">
        <v>9</v>
      </c>
    </row>
    <row r="851989" spans="1:1" x14ac:dyDescent="0.3">
      <c r="A851989" s="15" t="s">
        <v>10</v>
      </c>
    </row>
    <row r="851990" spans="1:1" x14ac:dyDescent="0.3">
      <c r="A851990" s="15" t="s">
        <v>11</v>
      </c>
    </row>
    <row r="851991" spans="1:1" x14ac:dyDescent="0.3">
      <c r="A851991" s="15" t="s">
        <v>12</v>
      </c>
    </row>
    <row r="851992" spans="1:1" x14ac:dyDescent="0.3">
      <c r="A851992" s="15" t="s">
        <v>13</v>
      </c>
    </row>
    <row r="851993" spans="1:1" x14ac:dyDescent="0.3">
      <c r="A851993" s="15" t="s">
        <v>14</v>
      </c>
    </row>
    <row r="851994" spans="1:1" x14ac:dyDescent="0.3">
      <c r="A851994" s="13" t="s">
        <v>31</v>
      </c>
    </row>
    <row r="851995" spans="1:1" x14ac:dyDescent="0.3">
      <c r="A851995" s="13" t="s">
        <v>86</v>
      </c>
    </row>
    <row r="851996" spans="1:1" x14ac:dyDescent="0.3">
      <c r="A851996" s="15" t="s">
        <v>30</v>
      </c>
    </row>
    <row r="851997" spans="1:1" x14ac:dyDescent="0.3">
      <c r="A851997" s="15" t="s">
        <v>26</v>
      </c>
    </row>
    <row r="851998" spans="1:1" x14ac:dyDescent="0.3">
      <c r="A851998" s="15" t="s">
        <v>27</v>
      </c>
    </row>
    <row r="851999" spans="1:1" x14ac:dyDescent="0.3">
      <c r="A851999" s="15" t="s">
        <v>28</v>
      </c>
    </row>
    <row r="852000" spans="1:1" x14ac:dyDescent="0.3">
      <c r="A852000" s="15" t="s">
        <v>88</v>
      </c>
    </row>
    <row r="852001" spans="1:1" x14ac:dyDescent="0.3">
      <c r="A852001" s="15" t="s">
        <v>89</v>
      </c>
    </row>
    <row r="852002" spans="1:1" x14ac:dyDescent="0.3">
      <c r="A852002" s="15" t="s">
        <v>184</v>
      </c>
    </row>
    <row r="852003" spans="1:1" x14ac:dyDescent="0.3">
      <c r="A852003" s="15" t="s">
        <v>185</v>
      </c>
    </row>
    <row r="852004" spans="1:1" x14ac:dyDescent="0.3">
      <c r="A852004" s="15" t="s">
        <v>186</v>
      </c>
    </row>
    <row r="852005" spans="1:1" x14ac:dyDescent="0.3">
      <c r="A852005" s="15" t="s">
        <v>187</v>
      </c>
    </row>
    <row r="852006" spans="1:1" x14ac:dyDescent="0.3">
      <c r="A852006" s="15" t="s">
        <v>188</v>
      </c>
    </row>
    <row r="852007" spans="1:1" x14ac:dyDescent="0.3">
      <c r="A852007" s="15" t="s">
        <v>189</v>
      </c>
    </row>
    <row r="852008" spans="1:1" x14ac:dyDescent="0.3">
      <c r="A852008" s="15" t="s">
        <v>190</v>
      </c>
    </row>
    <row r="852009" spans="1:1" x14ac:dyDescent="0.3">
      <c r="A852009" s="14" t="s">
        <v>47</v>
      </c>
    </row>
    <row r="852010" spans="1:1" x14ac:dyDescent="0.3">
      <c r="A852010" s="14" t="s">
        <v>118</v>
      </c>
    </row>
    <row r="852011" spans="1:1" x14ac:dyDescent="0.3">
      <c r="A852011" s="14" t="s">
        <v>85</v>
      </c>
    </row>
    <row r="852012" spans="1:1" x14ac:dyDescent="0.3">
      <c r="A852012" s="13" t="s">
        <v>21</v>
      </c>
    </row>
    <row r="852013" spans="1:1" x14ac:dyDescent="0.3">
      <c r="A852013" s="14" t="s">
        <v>91</v>
      </c>
    </row>
    <row r="852014" spans="1:1" x14ac:dyDescent="0.3">
      <c r="A852014" s="14" t="s">
        <v>92</v>
      </c>
    </row>
    <row r="852015" spans="1:1" x14ac:dyDescent="0.3">
      <c r="A852015" s="14" t="s">
        <v>98</v>
      </c>
    </row>
    <row r="852016" spans="1:1" x14ac:dyDescent="0.3">
      <c r="A852016" s="14" t="s">
        <v>99</v>
      </c>
    </row>
    <row r="852017" spans="1:1" x14ac:dyDescent="0.3">
      <c r="A852017" s="13" t="s">
        <v>24</v>
      </c>
    </row>
    <row r="852018" spans="1:1" x14ac:dyDescent="0.3">
      <c r="A852018" s="13" t="s">
        <v>82</v>
      </c>
    </row>
    <row r="852019" spans="1:1" x14ac:dyDescent="0.3">
      <c r="A852019" s="13" t="s">
        <v>105</v>
      </c>
    </row>
    <row r="852020" spans="1:1" x14ac:dyDescent="0.3">
      <c r="A852020" s="13" t="s">
        <v>100</v>
      </c>
    </row>
    <row r="852021" spans="1:1" x14ac:dyDescent="0.3">
      <c r="A852021" s="13" t="s">
        <v>101</v>
      </c>
    </row>
    <row r="852022" spans="1:1" x14ac:dyDescent="0.3">
      <c r="A852022" s="13" t="s">
        <v>102</v>
      </c>
    </row>
    <row r="852023" spans="1:1" x14ac:dyDescent="0.3">
      <c r="A852023" s="13" t="s">
        <v>103</v>
      </c>
    </row>
    <row r="852024" spans="1:1" x14ac:dyDescent="0.3">
      <c r="A852024" s="13" t="s">
        <v>104</v>
      </c>
    </row>
    <row r="868354" spans="1:1" x14ac:dyDescent="0.3">
      <c r="A868354" s="13" t="s">
        <v>0</v>
      </c>
    </row>
    <row r="868355" spans="1:1" x14ac:dyDescent="0.3">
      <c r="A868355" s="13" t="s">
        <v>124</v>
      </c>
    </row>
    <row r="868356" spans="1:1" x14ac:dyDescent="0.3">
      <c r="A868356" s="13" t="s">
        <v>1</v>
      </c>
    </row>
    <row r="868357" spans="1:1" x14ac:dyDescent="0.3">
      <c r="A868357" s="13" t="s">
        <v>2</v>
      </c>
    </row>
    <row r="868358" spans="1:1" x14ac:dyDescent="0.3">
      <c r="A868358" s="14" t="s">
        <v>25</v>
      </c>
    </row>
    <row r="868359" spans="1:1" x14ac:dyDescent="0.3">
      <c r="A868359" s="13" t="s">
        <v>125</v>
      </c>
    </row>
    <row r="868360" spans="1:1" x14ac:dyDescent="0.3">
      <c r="A868360" s="13" t="s">
        <v>126</v>
      </c>
    </row>
    <row r="868361" spans="1:1" x14ac:dyDescent="0.3">
      <c r="A868361" s="13" t="s">
        <v>87</v>
      </c>
    </row>
    <row r="868362" spans="1:1" x14ac:dyDescent="0.3">
      <c r="A868362" s="13" t="s">
        <v>22</v>
      </c>
    </row>
    <row r="868363" spans="1:1" x14ac:dyDescent="0.3">
      <c r="A868363" s="13" t="s">
        <v>3</v>
      </c>
    </row>
    <row r="868364" spans="1:1" x14ac:dyDescent="0.3">
      <c r="A868364" s="15" t="s">
        <v>94</v>
      </c>
    </row>
    <row r="868365" spans="1:1" x14ac:dyDescent="0.3">
      <c r="A868365" s="15" t="s">
        <v>93</v>
      </c>
    </row>
    <row r="868366" spans="1:1" x14ac:dyDescent="0.3">
      <c r="A868366" s="15" t="s">
        <v>4</v>
      </c>
    </row>
    <row r="868367" spans="1:1" x14ac:dyDescent="0.3">
      <c r="A868367" s="15" t="s">
        <v>117</v>
      </c>
    </row>
    <row r="868368" spans="1:1" x14ac:dyDescent="0.3">
      <c r="A868368" s="15" t="s">
        <v>5</v>
      </c>
    </row>
    <row r="868369" spans="1:1" x14ac:dyDescent="0.3">
      <c r="A868369" s="15" t="s">
        <v>6</v>
      </c>
    </row>
    <row r="868370" spans="1:1" x14ac:dyDescent="0.3">
      <c r="A868370" s="15" t="s">
        <v>7</v>
      </c>
    </row>
    <row r="868371" spans="1:1" x14ac:dyDescent="0.3">
      <c r="A868371" s="15" t="s">
        <v>8</v>
      </c>
    </row>
    <row r="868372" spans="1:1" x14ac:dyDescent="0.3">
      <c r="A868372" s="15" t="s">
        <v>9</v>
      </c>
    </row>
    <row r="868373" spans="1:1" x14ac:dyDescent="0.3">
      <c r="A868373" s="15" t="s">
        <v>10</v>
      </c>
    </row>
    <row r="868374" spans="1:1" x14ac:dyDescent="0.3">
      <c r="A868374" s="15" t="s">
        <v>11</v>
      </c>
    </row>
    <row r="868375" spans="1:1" x14ac:dyDescent="0.3">
      <c r="A868375" s="15" t="s">
        <v>12</v>
      </c>
    </row>
    <row r="868376" spans="1:1" x14ac:dyDescent="0.3">
      <c r="A868376" s="15" t="s">
        <v>13</v>
      </c>
    </row>
    <row r="868377" spans="1:1" x14ac:dyDescent="0.3">
      <c r="A868377" s="15" t="s">
        <v>14</v>
      </c>
    </row>
    <row r="868378" spans="1:1" x14ac:dyDescent="0.3">
      <c r="A868378" s="13" t="s">
        <v>31</v>
      </c>
    </row>
    <row r="868379" spans="1:1" x14ac:dyDescent="0.3">
      <c r="A868379" s="13" t="s">
        <v>86</v>
      </c>
    </row>
    <row r="868380" spans="1:1" x14ac:dyDescent="0.3">
      <c r="A868380" s="15" t="s">
        <v>30</v>
      </c>
    </row>
    <row r="868381" spans="1:1" x14ac:dyDescent="0.3">
      <c r="A868381" s="15" t="s">
        <v>26</v>
      </c>
    </row>
    <row r="868382" spans="1:1" x14ac:dyDescent="0.3">
      <c r="A868382" s="15" t="s">
        <v>27</v>
      </c>
    </row>
    <row r="868383" spans="1:1" x14ac:dyDescent="0.3">
      <c r="A868383" s="15" t="s">
        <v>28</v>
      </c>
    </row>
    <row r="868384" spans="1:1" x14ac:dyDescent="0.3">
      <c r="A868384" s="15" t="s">
        <v>88</v>
      </c>
    </row>
    <row r="868385" spans="1:1" x14ac:dyDescent="0.3">
      <c r="A868385" s="15" t="s">
        <v>89</v>
      </c>
    </row>
    <row r="868386" spans="1:1" x14ac:dyDescent="0.3">
      <c r="A868386" s="15" t="s">
        <v>184</v>
      </c>
    </row>
    <row r="868387" spans="1:1" x14ac:dyDescent="0.3">
      <c r="A868387" s="15" t="s">
        <v>185</v>
      </c>
    </row>
    <row r="868388" spans="1:1" x14ac:dyDescent="0.3">
      <c r="A868388" s="15" t="s">
        <v>186</v>
      </c>
    </row>
    <row r="868389" spans="1:1" x14ac:dyDescent="0.3">
      <c r="A868389" s="15" t="s">
        <v>187</v>
      </c>
    </row>
    <row r="868390" spans="1:1" x14ac:dyDescent="0.3">
      <c r="A868390" s="15" t="s">
        <v>188</v>
      </c>
    </row>
    <row r="868391" spans="1:1" x14ac:dyDescent="0.3">
      <c r="A868391" s="15" t="s">
        <v>189</v>
      </c>
    </row>
    <row r="868392" spans="1:1" x14ac:dyDescent="0.3">
      <c r="A868392" s="15" t="s">
        <v>190</v>
      </c>
    </row>
    <row r="868393" spans="1:1" x14ac:dyDescent="0.3">
      <c r="A868393" s="14" t="s">
        <v>47</v>
      </c>
    </row>
    <row r="868394" spans="1:1" x14ac:dyDescent="0.3">
      <c r="A868394" s="14" t="s">
        <v>118</v>
      </c>
    </row>
    <row r="868395" spans="1:1" x14ac:dyDescent="0.3">
      <c r="A868395" s="14" t="s">
        <v>85</v>
      </c>
    </row>
    <row r="868396" spans="1:1" x14ac:dyDescent="0.3">
      <c r="A868396" s="13" t="s">
        <v>21</v>
      </c>
    </row>
    <row r="868397" spans="1:1" x14ac:dyDescent="0.3">
      <c r="A868397" s="14" t="s">
        <v>91</v>
      </c>
    </row>
    <row r="868398" spans="1:1" x14ac:dyDescent="0.3">
      <c r="A868398" s="14" t="s">
        <v>92</v>
      </c>
    </row>
    <row r="868399" spans="1:1" x14ac:dyDescent="0.3">
      <c r="A868399" s="14" t="s">
        <v>98</v>
      </c>
    </row>
    <row r="868400" spans="1:1" x14ac:dyDescent="0.3">
      <c r="A868400" s="14" t="s">
        <v>99</v>
      </c>
    </row>
    <row r="868401" spans="1:1" x14ac:dyDescent="0.3">
      <c r="A868401" s="13" t="s">
        <v>24</v>
      </c>
    </row>
    <row r="868402" spans="1:1" x14ac:dyDescent="0.3">
      <c r="A868402" s="13" t="s">
        <v>82</v>
      </c>
    </row>
    <row r="868403" spans="1:1" x14ac:dyDescent="0.3">
      <c r="A868403" s="13" t="s">
        <v>105</v>
      </c>
    </row>
    <row r="868404" spans="1:1" x14ac:dyDescent="0.3">
      <c r="A868404" s="13" t="s">
        <v>100</v>
      </c>
    </row>
    <row r="868405" spans="1:1" x14ac:dyDescent="0.3">
      <c r="A868405" s="13" t="s">
        <v>101</v>
      </c>
    </row>
    <row r="868406" spans="1:1" x14ac:dyDescent="0.3">
      <c r="A868406" s="13" t="s">
        <v>102</v>
      </c>
    </row>
    <row r="868407" spans="1:1" x14ac:dyDescent="0.3">
      <c r="A868407" s="13" t="s">
        <v>103</v>
      </c>
    </row>
    <row r="868408" spans="1:1" x14ac:dyDescent="0.3">
      <c r="A868408" s="13" t="s">
        <v>104</v>
      </c>
    </row>
    <row r="884738" spans="1:1" x14ac:dyDescent="0.3">
      <c r="A884738" s="13" t="s">
        <v>0</v>
      </c>
    </row>
    <row r="884739" spans="1:1" x14ac:dyDescent="0.3">
      <c r="A884739" s="13" t="s">
        <v>124</v>
      </c>
    </row>
    <row r="884740" spans="1:1" x14ac:dyDescent="0.3">
      <c r="A884740" s="13" t="s">
        <v>1</v>
      </c>
    </row>
    <row r="884741" spans="1:1" x14ac:dyDescent="0.3">
      <c r="A884741" s="13" t="s">
        <v>2</v>
      </c>
    </row>
    <row r="884742" spans="1:1" x14ac:dyDescent="0.3">
      <c r="A884742" s="14" t="s">
        <v>25</v>
      </c>
    </row>
    <row r="884743" spans="1:1" x14ac:dyDescent="0.3">
      <c r="A884743" s="13" t="s">
        <v>125</v>
      </c>
    </row>
    <row r="884744" spans="1:1" x14ac:dyDescent="0.3">
      <c r="A884744" s="13" t="s">
        <v>126</v>
      </c>
    </row>
    <row r="884745" spans="1:1" x14ac:dyDescent="0.3">
      <c r="A884745" s="13" t="s">
        <v>87</v>
      </c>
    </row>
    <row r="884746" spans="1:1" x14ac:dyDescent="0.3">
      <c r="A884746" s="13" t="s">
        <v>22</v>
      </c>
    </row>
    <row r="884747" spans="1:1" x14ac:dyDescent="0.3">
      <c r="A884747" s="13" t="s">
        <v>3</v>
      </c>
    </row>
    <row r="884748" spans="1:1" x14ac:dyDescent="0.3">
      <c r="A884748" s="15" t="s">
        <v>94</v>
      </c>
    </row>
    <row r="884749" spans="1:1" x14ac:dyDescent="0.3">
      <c r="A884749" s="15" t="s">
        <v>93</v>
      </c>
    </row>
    <row r="884750" spans="1:1" x14ac:dyDescent="0.3">
      <c r="A884750" s="15" t="s">
        <v>4</v>
      </c>
    </row>
    <row r="884751" spans="1:1" x14ac:dyDescent="0.3">
      <c r="A884751" s="15" t="s">
        <v>117</v>
      </c>
    </row>
    <row r="884752" spans="1:1" x14ac:dyDescent="0.3">
      <c r="A884752" s="15" t="s">
        <v>5</v>
      </c>
    </row>
    <row r="884753" spans="1:1" x14ac:dyDescent="0.3">
      <c r="A884753" s="15" t="s">
        <v>6</v>
      </c>
    </row>
    <row r="884754" spans="1:1" x14ac:dyDescent="0.3">
      <c r="A884754" s="15" t="s">
        <v>7</v>
      </c>
    </row>
    <row r="884755" spans="1:1" x14ac:dyDescent="0.3">
      <c r="A884755" s="15" t="s">
        <v>8</v>
      </c>
    </row>
    <row r="884756" spans="1:1" x14ac:dyDescent="0.3">
      <c r="A884756" s="15" t="s">
        <v>9</v>
      </c>
    </row>
    <row r="884757" spans="1:1" x14ac:dyDescent="0.3">
      <c r="A884757" s="15" t="s">
        <v>10</v>
      </c>
    </row>
    <row r="884758" spans="1:1" x14ac:dyDescent="0.3">
      <c r="A884758" s="15" t="s">
        <v>11</v>
      </c>
    </row>
    <row r="884759" spans="1:1" x14ac:dyDescent="0.3">
      <c r="A884759" s="15" t="s">
        <v>12</v>
      </c>
    </row>
    <row r="884760" spans="1:1" x14ac:dyDescent="0.3">
      <c r="A884760" s="15" t="s">
        <v>13</v>
      </c>
    </row>
    <row r="884761" spans="1:1" x14ac:dyDescent="0.3">
      <c r="A884761" s="15" t="s">
        <v>14</v>
      </c>
    </row>
    <row r="884762" spans="1:1" x14ac:dyDescent="0.3">
      <c r="A884762" s="13" t="s">
        <v>31</v>
      </c>
    </row>
    <row r="884763" spans="1:1" x14ac:dyDescent="0.3">
      <c r="A884763" s="13" t="s">
        <v>86</v>
      </c>
    </row>
    <row r="884764" spans="1:1" x14ac:dyDescent="0.3">
      <c r="A884764" s="15" t="s">
        <v>30</v>
      </c>
    </row>
    <row r="884765" spans="1:1" x14ac:dyDescent="0.3">
      <c r="A884765" s="15" t="s">
        <v>26</v>
      </c>
    </row>
    <row r="884766" spans="1:1" x14ac:dyDescent="0.3">
      <c r="A884766" s="15" t="s">
        <v>27</v>
      </c>
    </row>
    <row r="884767" spans="1:1" x14ac:dyDescent="0.3">
      <c r="A884767" s="15" t="s">
        <v>28</v>
      </c>
    </row>
    <row r="884768" spans="1:1" x14ac:dyDescent="0.3">
      <c r="A884768" s="15" t="s">
        <v>88</v>
      </c>
    </row>
    <row r="884769" spans="1:1" x14ac:dyDescent="0.3">
      <c r="A884769" s="15" t="s">
        <v>89</v>
      </c>
    </row>
    <row r="884770" spans="1:1" x14ac:dyDescent="0.3">
      <c r="A884770" s="15" t="s">
        <v>184</v>
      </c>
    </row>
    <row r="884771" spans="1:1" x14ac:dyDescent="0.3">
      <c r="A884771" s="15" t="s">
        <v>185</v>
      </c>
    </row>
    <row r="884772" spans="1:1" x14ac:dyDescent="0.3">
      <c r="A884772" s="15" t="s">
        <v>186</v>
      </c>
    </row>
    <row r="884773" spans="1:1" x14ac:dyDescent="0.3">
      <c r="A884773" s="15" t="s">
        <v>187</v>
      </c>
    </row>
    <row r="884774" spans="1:1" x14ac:dyDescent="0.3">
      <c r="A884774" s="15" t="s">
        <v>188</v>
      </c>
    </row>
    <row r="884775" spans="1:1" x14ac:dyDescent="0.3">
      <c r="A884775" s="15" t="s">
        <v>189</v>
      </c>
    </row>
    <row r="884776" spans="1:1" x14ac:dyDescent="0.3">
      <c r="A884776" s="15" t="s">
        <v>190</v>
      </c>
    </row>
    <row r="884777" spans="1:1" x14ac:dyDescent="0.3">
      <c r="A884777" s="14" t="s">
        <v>47</v>
      </c>
    </row>
    <row r="884778" spans="1:1" x14ac:dyDescent="0.3">
      <c r="A884778" s="14" t="s">
        <v>118</v>
      </c>
    </row>
    <row r="884779" spans="1:1" x14ac:dyDescent="0.3">
      <c r="A884779" s="14" t="s">
        <v>85</v>
      </c>
    </row>
    <row r="884780" spans="1:1" x14ac:dyDescent="0.3">
      <c r="A884780" s="13" t="s">
        <v>21</v>
      </c>
    </row>
    <row r="884781" spans="1:1" x14ac:dyDescent="0.3">
      <c r="A884781" s="14" t="s">
        <v>91</v>
      </c>
    </row>
    <row r="884782" spans="1:1" x14ac:dyDescent="0.3">
      <c r="A884782" s="14" t="s">
        <v>92</v>
      </c>
    </row>
    <row r="884783" spans="1:1" x14ac:dyDescent="0.3">
      <c r="A884783" s="14" t="s">
        <v>98</v>
      </c>
    </row>
    <row r="884784" spans="1:1" x14ac:dyDescent="0.3">
      <c r="A884784" s="14" t="s">
        <v>99</v>
      </c>
    </row>
    <row r="884785" spans="1:1" x14ac:dyDescent="0.3">
      <c r="A884785" s="13" t="s">
        <v>24</v>
      </c>
    </row>
    <row r="884786" spans="1:1" x14ac:dyDescent="0.3">
      <c r="A884786" s="13" t="s">
        <v>82</v>
      </c>
    </row>
    <row r="884787" spans="1:1" x14ac:dyDescent="0.3">
      <c r="A884787" s="13" t="s">
        <v>105</v>
      </c>
    </row>
    <row r="884788" spans="1:1" x14ac:dyDescent="0.3">
      <c r="A884788" s="13" t="s">
        <v>100</v>
      </c>
    </row>
    <row r="884789" spans="1:1" x14ac:dyDescent="0.3">
      <c r="A884789" s="13" t="s">
        <v>101</v>
      </c>
    </row>
    <row r="884790" spans="1:1" x14ac:dyDescent="0.3">
      <c r="A884790" s="13" t="s">
        <v>102</v>
      </c>
    </row>
    <row r="884791" spans="1:1" x14ac:dyDescent="0.3">
      <c r="A884791" s="13" t="s">
        <v>103</v>
      </c>
    </row>
    <row r="884792" spans="1:1" x14ac:dyDescent="0.3">
      <c r="A884792" s="13" t="s">
        <v>104</v>
      </c>
    </row>
    <row r="901122" spans="1:1" x14ac:dyDescent="0.3">
      <c r="A901122" s="13" t="s">
        <v>0</v>
      </c>
    </row>
    <row r="901123" spans="1:1" x14ac:dyDescent="0.3">
      <c r="A901123" s="13" t="s">
        <v>124</v>
      </c>
    </row>
    <row r="901124" spans="1:1" x14ac:dyDescent="0.3">
      <c r="A901124" s="13" t="s">
        <v>1</v>
      </c>
    </row>
    <row r="901125" spans="1:1" x14ac:dyDescent="0.3">
      <c r="A901125" s="13" t="s">
        <v>2</v>
      </c>
    </row>
    <row r="901126" spans="1:1" x14ac:dyDescent="0.3">
      <c r="A901126" s="14" t="s">
        <v>25</v>
      </c>
    </row>
    <row r="901127" spans="1:1" x14ac:dyDescent="0.3">
      <c r="A901127" s="13" t="s">
        <v>125</v>
      </c>
    </row>
    <row r="901128" spans="1:1" x14ac:dyDescent="0.3">
      <c r="A901128" s="13" t="s">
        <v>126</v>
      </c>
    </row>
    <row r="901129" spans="1:1" x14ac:dyDescent="0.3">
      <c r="A901129" s="13" t="s">
        <v>87</v>
      </c>
    </row>
    <row r="901130" spans="1:1" x14ac:dyDescent="0.3">
      <c r="A901130" s="13" t="s">
        <v>22</v>
      </c>
    </row>
    <row r="901131" spans="1:1" x14ac:dyDescent="0.3">
      <c r="A901131" s="13" t="s">
        <v>3</v>
      </c>
    </row>
    <row r="901132" spans="1:1" x14ac:dyDescent="0.3">
      <c r="A901132" s="15" t="s">
        <v>94</v>
      </c>
    </row>
    <row r="901133" spans="1:1" x14ac:dyDescent="0.3">
      <c r="A901133" s="15" t="s">
        <v>93</v>
      </c>
    </row>
    <row r="901134" spans="1:1" x14ac:dyDescent="0.3">
      <c r="A901134" s="15" t="s">
        <v>4</v>
      </c>
    </row>
    <row r="901135" spans="1:1" x14ac:dyDescent="0.3">
      <c r="A901135" s="15" t="s">
        <v>117</v>
      </c>
    </row>
    <row r="901136" spans="1:1" x14ac:dyDescent="0.3">
      <c r="A901136" s="15" t="s">
        <v>5</v>
      </c>
    </row>
    <row r="901137" spans="1:1" x14ac:dyDescent="0.3">
      <c r="A901137" s="15" t="s">
        <v>6</v>
      </c>
    </row>
    <row r="901138" spans="1:1" x14ac:dyDescent="0.3">
      <c r="A901138" s="15" t="s">
        <v>7</v>
      </c>
    </row>
    <row r="901139" spans="1:1" x14ac:dyDescent="0.3">
      <c r="A901139" s="15" t="s">
        <v>8</v>
      </c>
    </row>
    <row r="901140" spans="1:1" x14ac:dyDescent="0.3">
      <c r="A901140" s="15" t="s">
        <v>9</v>
      </c>
    </row>
    <row r="901141" spans="1:1" x14ac:dyDescent="0.3">
      <c r="A901141" s="15" t="s">
        <v>10</v>
      </c>
    </row>
    <row r="901142" spans="1:1" x14ac:dyDescent="0.3">
      <c r="A901142" s="15" t="s">
        <v>11</v>
      </c>
    </row>
    <row r="901143" spans="1:1" x14ac:dyDescent="0.3">
      <c r="A901143" s="15" t="s">
        <v>12</v>
      </c>
    </row>
    <row r="901144" spans="1:1" x14ac:dyDescent="0.3">
      <c r="A901144" s="15" t="s">
        <v>13</v>
      </c>
    </row>
    <row r="901145" spans="1:1" x14ac:dyDescent="0.3">
      <c r="A901145" s="15" t="s">
        <v>14</v>
      </c>
    </row>
    <row r="901146" spans="1:1" x14ac:dyDescent="0.3">
      <c r="A901146" s="13" t="s">
        <v>31</v>
      </c>
    </row>
    <row r="901147" spans="1:1" x14ac:dyDescent="0.3">
      <c r="A901147" s="13" t="s">
        <v>86</v>
      </c>
    </row>
    <row r="901148" spans="1:1" x14ac:dyDescent="0.3">
      <c r="A901148" s="15" t="s">
        <v>30</v>
      </c>
    </row>
    <row r="901149" spans="1:1" x14ac:dyDescent="0.3">
      <c r="A901149" s="15" t="s">
        <v>26</v>
      </c>
    </row>
    <row r="901150" spans="1:1" x14ac:dyDescent="0.3">
      <c r="A901150" s="15" t="s">
        <v>27</v>
      </c>
    </row>
    <row r="901151" spans="1:1" x14ac:dyDescent="0.3">
      <c r="A901151" s="15" t="s">
        <v>28</v>
      </c>
    </row>
    <row r="901152" spans="1:1" x14ac:dyDescent="0.3">
      <c r="A901152" s="15" t="s">
        <v>88</v>
      </c>
    </row>
    <row r="901153" spans="1:1" x14ac:dyDescent="0.3">
      <c r="A901153" s="15" t="s">
        <v>89</v>
      </c>
    </row>
    <row r="901154" spans="1:1" x14ac:dyDescent="0.3">
      <c r="A901154" s="15" t="s">
        <v>184</v>
      </c>
    </row>
    <row r="901155" spans="1:1" x14ac:dyDescent="0.3">
      <c r="A901155" s="15" t="s">
        <v>185</v>
      </c>
    </row>
    <row r="901156" spans="1:1" x14ac:dyDescent="0.3">
      <c r="A901156" s="15" t="s">
        <v>186</v>
      </c>
    </row>
    <row r="901157" spans="1:1" x14ac:dyDescent="0.3">
      <c r="A901157" s="15" t="s">
        <v>187</v>
      </c>
    </row>
    <row r="901158" spans="1:1" x14ac:dyDescent="0.3">
      <c r="A901158" s="15" t="s">
        <v>188</v>
      </c>
    </row>
    <row r="901159" spans="1:1" x14ac:dyDescent="0.3">
      <c r="A901159" s="15" t="s">
        <v>189</v>
      </c>
    </row>
    <row r="901160" spans="1:1" x14ac:dyDescent="0.3">
      <c r="A901160" s="15" t="s">
        <v>190</v>
      </c>
    </row>
    <row r="901161" spans="1:1" x14ac:dyDescent="0.3">
      <c r="A901161" s="14" t="s">
        <v>47</v>
      </c>
    </row>
    <row r="901162" spans="1:1" x14ac:dyDescent="0.3">
      <c r="A901162" s="14" t="s">
        <v>118</v>
      </c>
    </row>
    <row r="901163" spans="1:1" x14ac:dyDescent="0.3">
      <c r="A901163" s="14" t="s">
        <v>85</v>
      </c>
    </row>
    <row r="901164" spans="1:1" x14ac:dyDescent="0.3">
      <c r="A901164" s="13" t="s">
        <v>21</v>
      </c>
    </row>
    <row r="901165" spans="1:1" x14ac:dyDescent="0.3">
      <c r="A901165" s="14" t="s">
        <v>91</v>
      </c>
    </row>
    <row r="901166" spans="1:1" x14ac:dyDescent="0.3">
      <c r="A901166" s="14" t="s">
        <v>92</v>
      </c>
    </row>
    <row r="901167" spans="1:1" x14ac:dyDescent="0.3">
      <c r="A901167" s="14" t="s">
        <v>98</v>
      </c>
    </row>
    <row r="901168" spans="1:1" x14ac:dyDescent="0.3">
      <c r="A901168" s="14" t="s">
        <v>99</v>
      </c>
    </row>
    <row r="901169" spans="1:1" x14ac:dyDescent="0.3">
      <c r="A901169" s="13" t="s">
        <v>24</v>
      </c>
    </row>
    <row r="901170" spans="1:1" x14ac:dyDescent="0.3">
      <c r="A901170" s="13" t="s">
        <v>82</v>
      </c>
    </row>
    <row r="901171" spans="1:1" x14ac:dyDescent="0.3">
      <c r="A901171" s="13" t="s">
        <v>105</v>
      </c>
    </row>
    <row r="901172" spans="1:1" x14ac:dyDescent="0.3">
      <c r="A901172" s="13" t="s">
        <v>100</v>
      </c>
    </row>
    <row r="901173" spans="1:1" x14ac:dyDescent="0.3">
      <c r="A901173" s="13" t="s">
        <v>101</v>
      </c>
    </row>
    <row r="901174" spans="1:1" x14ac:dyDescent="0.3">
      <c r="A901174" s="13" t="s">
        <v>102</v>
      </c>
    </row>
    <row r="901175" spans="1:1" x14ac:dyDescent="0.3">
      <c r="A901175" s="13" t="s">
        <v>103</v>
      </c>
    </row>
    <row r="901176" spans="1:1" x14ac:dyDescent="0.3">
      <c r="A901176" s="13" t="s">
        <v>104</v>
      </c>
    </row>
    <row r="917506" spans="1:1" x14ac:dyDescent="0.3">
      <c r="A917506" s="13" t="s">
        <v>0</v>
      </c>
    </row>
    <row r="917507" spans="1:1" x14ac:dyDescent="0.3">
      <c r="A917507" s="13" t="s">
        <v>124</v>
      </c>
    </row>
    <row r="917508" spans="1:1" x14ac:dyDescent="0.3">
      <c r="A917508" s="13" t="s">
        <v>1</v>
      </c>
    </row>
    <row r="917509" spans="1:1" x14ac:dyDescent="0.3">
      <c r="A917509" s="13" t="s">
        <v>2</v>
      </c>
    </row>
    <row r="917510" spans="1:1" x14ac:dyDescent="0.3">
      <c r="A917510" s="14" t="s">
        <v>25</v>
      </c>
    </row>
    <row r="917511" spans="1:1" x14ac:dyDescent="0.3">
      <c r="A917511" s="13" t="s">
        <v>125</v>
      </c>
    </row>
    <row r="917512" spans="1:1" x14ac:dyDescent="0.3">
      <c r="A917512" s="13" t="s">
        <v>126</v>
      </c>
    </row>
    <row r="917513" spans="1:1" x14ac:dyDescent="0.3">
      <c r="A917513" s="13" t="s">
        <v>87</v>
      </c>
    </row>
    <row r="917514" spans="1:1" x14ac:dyDescent="0.3">
      <c r="A917514" s="13" t="s">
        <v>22</v>
      </c>
    </row>
    <row r="917515" spans="1:1" x14ac:dyDescent="0.3">
      <c r="A917515" s="13" t="s">
        <v>3</v>
      </c>
    </row>
    <row r="917516" spans="1:1" x14ac:dyDescent="0.3">
      <c r="A917516" s="15" t="s">
        <v>94</v>
      </c>
    </row>
    <row r="917517" spans="1:1" x14ac:dyDescent="0.3">
      <c r="A917517" s="15" t="s">
        <v>93</v>
      </c>
    </row>
    <row r="917518" spans="1:1" x14ac:dyDescent="0.3">
      <c r="A917518" s="15" t="s">
        <v>4</v>
      </c>
    </row>
    <row r="917519" spans="1:1" x14ac:dyDescent="0.3">
      <c r="A917519" s="15" t="s">
        <v>117</v>
      </c>
    </row>
    <row r="917520" spans="1:1" x14ac:dyDescent="0.3">
      <c r="A917520" s="15" t="s">
        <v>5</v>
      </c>
    </row>
    <row r="917521" spans="1:1" x14ac:dyDescent="0.3">
      <c r="A917521" s="15" t="s">
        <v>6</v>
      </c>
    </row>
    <row r="917522" spans="1:1" x14ac:dyDescent="0.3">
      <c r="A917522" s="15" t="s">
        <v>7</v>
      </c>
    </row>
    <row r="917523" spans="1:1" x14ac:dyDescent="0.3">
      <c r="A917523" s="15" t="s">
        <v>8</v>
      </c>
    </row>
    <row r="917524" spans="1:1" x14ac:dyDescent="0.3">
      <c r="A917524" s="15" t="s">
        <v>9</v>
      </c>
    </row>
    <row r="917525" spans="1:1" x14ac:dyDescent="0.3">
      <c r="A917525" s="15" t="s">
        <v>10</v>
      </c>
    </row>
    <row r="917526" spans="1:1" x14ac:dyDescent="0.3">
      <c r="A917526" s="15" t="s">
        <v>11</v>
      </c>
    </row>
    <row r="917527" spans="1:1" x14ac:dyDescent="0.3">
      <c r="A917527" s="15" t="s">
        <v>12</v>
      </c>
    </row>
    <row r="917528" spans="1:1" x14ac:dyDescent="0.3">
      <c r="A917528" s="15" t="s">
        <v>13</v>
      </c>
    </row>
    <row r="917529" spans="1:1" x14ac:dyDescent="0.3">
      <c r="A917529" s="15" t="s">
        <v>14</v>
      </c>
    </row>
    <row r="917530" spans="1:1" x14ac:dyDescent="0.3">
      <c r="A917530" s="13" t="s">
        <v>31</v>
      </c>
    </row>
    <row r="917531" spans="1:1" x14ac:dyDescent="0.3">
      <c r="A917531" s="13" t="s">
        <v>86</v>
      </c>
    </row>
    <row r="917532" spans="1:1" x14ac:dyDescent="0.3">
      <c r="A917532" s="15" t="s">
        <v>30</v>
      </c>
    </row>
    <row r="917533" spans="1:1" x14ac:dyDescent="0.3">
      <c r="A917533" s="15" t="s">
        <v>26</v>
      </c>
    </row>
    <row r="917534" spans="1:1" x14ac:dyDescent="0.3">
      <c r="A917534" s="15" t="s">
        <v>27</v>
      </c>
    </row>
    <row r="917535" spans="1:1" x14ac:dyDescent="0.3">
      <c r="A917535" s="15" t="s">
        <v>28</v>
      </c>
    </row>
    <row r="917536" spans="1:1" x14ac:dyDescent="0.3">
      <c r="A917536" s="15" t="s">
        <v>88</v>
      </c>
    </row>
    <row r="917537" spans="1:1" x14ac:dyDescent="0.3">
      <c r="A917537" s="15" t="s">
        <v>89</v>
      </c>
    </row>
    <row r="917538" spans="1:1" x14ac:dyDescent="0.3">
      <c r="A917538" s="15" t="s">
        <v>184</v>
      </c>
    </row>
    <row r="917539" spans="1:1" x14ac:dyDescent="0.3">
      <c r="A917539" s="15" t="s">
        <v>185</v>
      </c>
    </row>
    <row r="917540" spans="1:1" x14ac:dyDescent="0.3">
      <c r="A917540" s="15" t="s">
        <v>186</v>
      </c>
    </row>
    <row r="917541" spans="1:1" x14ac:dyDescent="0.3">
      <c r="A917541" s="15" t="s">
        <v>187</v>
      </c>
    </row>
    <row r="917542" spans="1:1" x14ac:dyDescent="0.3">
      <c r="A917542" s="15" t="s">
        <v>188</v>
      </c>
    </row>
    <row r="917543" spans="1:1" x14ac:dyDescent="0.3">
      <c r="A917543" s="15" t="s">
        <v>189</v>
      </c>
    </row>
    <row r="917544" spans="1:1" x14ac:dyDescent="0.3">
      <c r="A917544" s="15" t="s">
        <v>190</v>
      </c>
    </row>
    <row r="917545" spans="1:1" x14ac:dyDescent="0.3">
      <c r="A917545" s="14" t="s">
        <v>47</v>
      </c>
    </row>
    <row r="917546" spans="1:1" x14ac:dyDescent="0.3">
      <c r="A917546" s="14" t="s">
        <v>118</v>
      </c>
    </row>
    <row r="917547" spans="1:1" x14ac:dyDescent="0.3">
      <c r="A917547" s="14" t="s">
        <v>85</v>
      </c>
    </row>
    <row r="917548" spans="1:1" x14ac:dyDescent="0.3">
      <c r="A917548" s="13" t="s">
        <v>21</v>
      </c>
    </row>
    <row r="917549" spans="1:1" x14ac:dyDescent="0.3">
      <c r="A917549" s="14" t="s">
        <v>91</v>
      </c>
    </row>
    <row r="917550" spans="1:1" x14ac:dyDescent="0.3">
      <c r="A917550" s="14" t="s">
        <v>92</v>
      </c>
    </row>
    <row r="917551" spans="1:1" x14ac:dyDescent="0.3">
      <c r="A917551" s="14" t="s">
        <v>98</v>
      </c>
    </row>
    <row r="917552" spans="1:1" x14ac:dyDescent="0.3">
      <c r="A917552" s="14" t="s">
        <v>99</v>
      </c>
    </row>
    <row r="917553" spans="1:1" x14ac:dyDescent="0.3">
      <c r="A917553" s="13" t="s">
        <v>24</v>
      </c>
    </row>
    <row r="917554" spans="1:1" x14ac:dyDescent="0.3">
      <c r="A917554" s="13" t="s">
        <v>82</v>
      </c>
    </row>
    <row r="917555" spans="1:1" x14ac:dyDescent="0.3">
      <c r="A917555" s="13" t="s">
        <v>105</v>
      </c>
    </row>
    <row r="917556" spans="1:1" x14ac:dyDescent="0.3">
      <c r="A917556" s="13" t="s">
        <v>100</v>
      </c>
    </row>
    <row r="917557" spans="1:1" x14ac:dyDescent="0.3">
      <c r="A917557" s="13" t="s">
        <v>101</v>
      </c>
    </row>
    <row r="917558" spans="1:1" x14ac:dyDescent="0.3">
      <c r="A917558" s="13" t="s">
        <v>102</v>
      </c>
    </row>
    <row r="917559" spans="1:1" x14ac:dyDescent="0.3">
      <c r="A917559" s="13" t="s">
        <v>103</v>
      </c>
    </row>
    <row r="917560" spans="1:1" x14ac:dyDescent="0.3">
      <c r="A917560" s="13" t="s">
        <v>104</v>
      </c>
    </row>
    <row r="933890" spans="1:1" x14ac:dyDescent="0.3">
      <c r="A933890" s="13" t="s">
        <v>0</v>
      </c>
    </row>
    <row r="933891" spans="1:1" x14ac:dyDescent="0.3">
      <c r="A933891" s="13" t="s">
        <v>124</v>
      </c>
    </row>
    <row r="933892" spans="1:1" x14ac:dyDescent="0.3">
      <c r="A933892" s="13" t="s">
        <v>1</v>
      </c>
    </row>
    <row r="933893" spans="1:1" x14ac:dyDescent="0.3">
      <c r="A933893" s="13" t="s">
        <v>2</v>
      </c>
    </row>
    <row r="933894" spans="1:1" x14ac:dyDescent="0.3">
      <c r="A933894" s="14" t="s">
        <v>25</v>
      </c>
    </row>
    <row r="933895" spans="1:1" x14ac:dyDescent="0.3">
      <c r="A933895" s="13" t="s">
        <v>125</v>
      </c>
    </row>
    <row r="933896" spans="1:1" x14ac:dyDescent="0.3">
      <c r="A933896" s="13" t="s">
        <v>126</v>
      </c>
    </row>
    <row r="933897" spans="1:1" x14ac:dyDescent="0.3">
      <c r="A933897" s="13" t="s">
        <v>87</v>
      </c>
    </row>
    <row r="933898" spans="1:1" x14ac:dyDescent="0.3">
      <c r="A933898" s="13" t="s">
        <v>22</v>
      </c>
    </row>
    <row r="933899" spans="1:1" x14ac:dyDescent="0.3">
      <c r="A933899" s="13" t="s">
        <v>3</v>
      </c>
    </row>
    <row r="933900" spans="1:1" x14ac:dyDescent="0.3">
      <c r="A933900" s="15" t="s">
        <v>94</v>
      </c>
    </row>
    <row r="933901" spans="1:1" x14ac:dyDescent="0.3">
      <c r="A933901" s="15" t="s">
        <v>93</v>
      </c>
    </row>
    <row r="933902" spans="1:1" x14ac:dyDescent="0.3">
      <c r="A933902" s="15" t="s">
        <v>4</v>
      </c>
    </row>
    <row r="933903" spans="1:1" x14ac:dyDescent="0.3">
      <c r="A933903" s="15" t="s">
        <v>117</v>
      </c>
    </row>
    <row r="933904" spans="1:1" x14ac:dyDescent="0.3">
      <c r="A933904" s="15" t="s">
        <v>5</v>
      </c>
    </row>
    <row r="933905" spans="1:1" x14ac:dyDescent="0.3">
      <c r="A933905" s="15" t="s">
        <v>6</v>
      </c>
    </row>
    <row r="933906" spans="1:1" x14ac:dyDescent="0.3">
      <c r="A933906" s="15" t="s">
        <v>7</v>
      </c>
    </row>
    <row r="933907" spans="1:1" x14ac:dyDescent="0.3">
      <c r="A933907" s="15" t="s">
        <v>8</v>
      </c>
    </row>
    <row r="933908" spans="1:1" x14ac:dyDescent="0.3">
      <c r="A933908" s="15" t="s">
        <v>9</v>
      </c>
    </row>
    <row r="933909" spans="1:1" x14ac:dyDescent="0.3">
      <c r="A933909" s="15" t="s">
        <v>10</v>
      </c>
    </row>
    <row r="933910" spans="1:1" x14ac:dyDescent="0.3">
      <c r="A933910" s="15" t="s">
        <v>11</v>
      </c>
    </row>
    <row r="933911" spans="1:1" x14ac:dyDescent="0.3">
      <c r="A933911" s="15" t="s">
        <v>12</v>
      </c>
    </row>
    <row r="933912" spans="1:1" x14ac:dyDescent="0.3">
      <c r="A933912" s="15" t="s">
        <v>13</v>
      </c>
    </row>
    <row r="933913" spans="1:1" x14ac:dyDescent="0.3">
      <c r="A933913" s="15" t="s">
        <v>14</v>
      </c>
    </row>
    <row r="933914" spans="1:1" x14ac:dyDescent="0.3">
      <c r="A933914" s="13" t="s">
        <v>31</v>
      </c>
    </row>
    <row r="933915" spans="1:1" x14ac:dyDescent="0.3">
      <c r="A933915" s="13" t="s">
        <v>86</v>
      </c>
    </row>
    <row r="933916" spans="1:1" x14ac:dyDescent="0.3">
      <c r="A933916" s="15" t="s">
        <v>30</v>
      </c>
    </row>
    <row r="933917" spans="1:1" x14ac:dyDescent="0.3">
      <c r="A933917" s="15" t="s">
        <v>26</v>
      </c>
    </row>
    <row r="933918" spans="1:1" x14ac:dyDescent="0.3">
      <c r="A933918" s="15" t="s">
        <v>27</v>
      </c>
    </row>
    <row r="933919" spans="1:1" x14ac:dyDescent="0.3">
      <c r="A933919" s="15" t="s">
        <v>28</v>
      </c>
    </row>
    <row r="933920" spans="1:1" x14ac:dyDescent="0.3">
      <c r="A933920" s="15" t="s">
        <v>88</v>
      </c>
    </row>
    <row r="933921" spans="1:1" x14ac:dyDescent="0.3">
      <c r="A933921" s="15" t="s">
        <v>89</v>
      </c>
    </row>
    <row r="933922" spans="1:1" x14ac:dyDescent="0.3">
      <c r="A933922" s="15" t="s">
        <v>184</v>
      </c>
    </row>
    <row r="933923" spans="1:1" x14ac:dyDescent="0.3">
      <c r="A933923" s="15" t="s">
        <v>185</v>
      </c>
    </row>
    <row r="933924" spans="1:1" x14ac:dyDescent="0.3">
      <c r="A933924" s="15" t="s">
        <v>186</v>
      </c>
    </row>
    <row r="933925" spans="1:1" x14ac:dyDescent="0.3">
      <c r="A933925" s="15" t="s">
        <v>187</v>
      </c>
    </row>
    <row r="933926" spans="1:1" x14ac:dyDescent="0.3">
      <c r="A933926" s="15" t="s">
        <v>188</v>
      </c>
    </row>
    <row r="933927" spans="1:1" x14ac:dyDescent="0.3">
      <c r="A933927" s="15" t="s">
        <v>189</v>
      </c>
    </row>
    <row r="933928" spans="1:1" x14ac:dyDescent="0.3">
      <c r="A933928" s="15" t="s">
        <v>190</v>
      </c>
    </row>
    <row r="933929" spans="1:1" x14ac:dyDescent="0.3">
      <c r="A933929" s="14" t="s">
        <v>47</v>
      </c>
    </row>
    <row r="933930" spans="1:1" x14ac:dyDescent="0.3">
      <c r="A933930" s="14" t="s">
        <v>118</v>
      </c>
    </row>
    <row r="933931" spans="1:1" x14ac:dyDescent="0.3">
      <c r="A933931" s="14" t="s">
        <v>85</v>
      </c>
    </row>
    <row r="933932" spans="1:1" x14ac:dyDescent="0.3">
      <c r="A933932" s="13" t="s">
        <v>21</v>
      </c>
    </row>
    <row r="933933" spans="1:1" x14ac:dyDescent="0.3">
      <c r="A933933" s="14" t="s">
        <v>91</v>
      </c>
    </row>
    <row r="933934" spans="1:1" x14ac:dyDescent="0.3">
      <c r="A933934" s="14" t="s">
        <v>92</v>
      </c>
    </row>
    <row r="933935" spans="1:1" x14ac:dyDescent="0.3">
      <c r="A933935" s="14" t="s">
        <v>98</v>
      </c>
    </row>
    <row r="933936" spans="1:1" x14ac:dyDescent="0.3">
      <c r="A933936" s="14" t="s">
        <v>99</v>
      </c>
    </row>
    <row r="933937" spans="1:1" x14ac:dyDescent="0.3">
      <c r="A933937" s="13" t="s">
        <v>24</v>
      </c>
    </row>
    <row r="933938" spans="1:1" x14ac:dyDescent="0.3">
      <c r="A933938" s="13" t="s">
        <v>82</v>
      </c>
    </row>
    <row r="933939" spans="1:1" x14ac:dyDescent="0.3">
      <c r="A933939" s="13" t="s">
        <v>105</v>
      </c>
    </row>
    <row r="933940" spans="1:1" x14ac:dyDescent="0.3">
      <c r="A933940" s="13" t="s">
        <v>100</v>
      </c>
    </row>
    <row r="933941" spans="1:1" x14ac:dyDescent="0.3">
      <c r="A933941" s="13" t="s">
        <v>101</v>
      </c>
    </row>
    <row r="933942" spans="1:1" x14ac:dyDescent="0.3">
      <c r="A933942" s="13" t="s">
        <v>102</v>
      </c>
    </row>
    <row r="933943" spans="1:1" x14ac:dyDescent="0.3">
      <c r="A933943" s="13" t="s">
        <v>103</v>
      </c>
    </row>
    <row r="933944" spans="1:1" x14ac:dyDescent="0.3">
      <c r="A933944" s="13" t="s">
        <v>104</v>
      </c>
    </row>
    <row r="950274" spans="1:1" x14ac:dyDescent="0.3">
      <c r="A950274" s="13" t="s">
        <v>0</v>
      </c>
    </row>
    <row r="950275" spans="1:1" x14ac:dyDescent="0.3">
      <c r="A950275" s="13" t="s">
        <v>124</v>
      </c>
    </row>
    <row r="950276" spans="1:1" x14ac:dyDescent="0.3">
      <c r="A950276" s="13" t="s">
        <v>1</v>
      </c>
    </row>
    <row r="950277" spans="1:1" x14ac:dyDescent="0.3">
      <c r="A950277" s="13" t="s">
        <v>2</v>
      </c>
    </row>
    <row r="950278" spans="1:1" x14ac:dyDescent="0.3">
      <c r="A950278" s="14" t="s">
        <v>25</v>
      </c>
    </row>
    <row r="950279" spans="1:1" x14ac:dyDescent="0.3">
      <c r="A950279" s="13" t="s">
        <v>125</v>
      </c>
    </row>
    <row r="950280" spans="1:1" x14ac:dyDescent="0.3">
      <c r="A950280" s="13" t="s">
        <v>126</v>
      </c>
    </row>
    <row r="950281" spans="1:1" x14ac:dyDescent="0.3">
      <c r="A950281" s="13" t="s">
        <v>87</v>
      </c>
    </row>
    <row r="950282" spans="1:1" x14ac:dyDescent="0.3">
      <c r="A950282" s="13" t="s">
        <v>22</v>
      </c>
    </row>
    <row r="950283" spans="1:1" x14ac:dyDescent="0.3">
      <c r="A950283" s="13" t="s">
        <v>3</v>
      </c>
    </row>
    <row r="950284" spans="1:1" x14ac:dyDescent="0.3">
      <c r="A950284" s="15" t="s">
        <v>94</v>
      </c>
    </row>
    <row r="950285" spans="1:1" x14ac:dyDescent="0.3">
      <c r="A950285" s="15" t="s">
        <v>93</v>
      </c>
    </row>
    <row r="950286" spans="1:1" x14ac:dyDescent="0.3">
      <c r="A950286" s="15" t="s">
        <v>4</v>
      </c>
    </row>
    <row r="950287" spans="1:1" x14ac:dyDescent="0.3">
      <c r="A950287" s="15" t="s">
        <v>117</v>
      </c>
    </row>
    <row r="950288" spans="1:1" x14ac:dyDescent="0.3">
      <c r="A950288" s="15" t="s">
        <v>5</v>
      </c>
    </row>
    <row r="950289" spans="1:1" x14ac:dyDescent="0.3">
      <c r="A950289" s="15" t="s">
        <v>6</v>
      </c>
    </row>
    <row r="950290" spans="1:1" x14ac:dyDescent="0.3">
      <c r="A950290" s="15" t="s">
        <v>7</v>
      </c>
    </row>
    <row r="950291" spans="1:1" x14ac:dyDescent="0.3">
      <c r="A950291" s="15" t="s">
        <v>8</v>
      </c>
    </row>
    <row r="950292" spans="1:1" x14ac:dyDescent="0.3">
      <c r="A950292" s="15" t="s">
        <v>9</v>
      </c>
    </row>
    <row r="950293" spans="1:1" x14ac:dyDescent="0.3">
      <c r="A950293" s="15" t="s">
        <v>10</v>
      </c>
    </row>
    <row r="950294" spans="1:1" x14ac:dyDescent="0.3">
      <c r="A950294" s="15" t="s">
        <v>11</v>
      </c>
    </row>
    <row r="950295" spans="1:1" x14ac:dyDescent="0.3">
      <c r="A950295" s="15" t="s">
        <v>12</v>
      </c>
    </row>
    <row r="950296" spans="1:1" x14ac:dyDescent="0.3">
      <c r="A950296" s="15" t="s">
        <v>13</v>
      </c>
    </row>
    <row r="950297" spans="1:1" x14ac:dyDescent="0.3">
      <c r="A950297" s="15" t="s">
        <v>14</v>
      </c>
    </row>
    <row r="950298" spans="1:1" x14ac:dyDescent="0.3">
      <c r="A950298" s="13" t="s">
        <v>31</v>
      </c>
    </row>
    <row r="950299" spans="1:1" x14ac:dyDescent="0.3">
      <c r="A950299" s="13" t="s">
        <v>86</v>
      </c>
    </row>
    <row r="950300" spans="1:1" x14ac:dyDescent="0.3">
      <c r="A950300" s="15" t="s">
        <v>30</v>
      </c>
    </row>
    <row r="950301" spans="1:1" x14ac:dyDescent="0.3">
      <c r="A950301" s="15" t="s">
        <v>26</v>
      </c>
    </row>
    <row r="950302" spans="1:1" x14ac:dyDescent="0.3">
      <c r="A950302" s="15" t="s">
        <v>27</v>
      </c>
    </row>
    <row r="950303" spans="1:1" x14ac:dyDescent="0.3">
      <c r="A950303" s="15" t="s">
        <v>28</v>
      </c>
    </row>
    <row r="950304" spans="1:1" x14ac:dyDescent="0.3">
      <c r="A950304" s="15" t="s">
        <v>88</v>
      </c>
    </row>
    <row r="950305" spans="1:1" x14ac:dyDescent="0.3">
      <c r="A950305" s="15" t="s">
        <v>89</v>
      </c>
    </row>
    <row r="950306" spans="1:1" x14ac:dyDescent="0.3">
      <c r="A950306" s="15" t="s">
        <v>184</v>
      </c>
    </row>
    <row r="950307" spans="1:1" x14ac:dyDescent="0.3">
      <c r="A950307" s="15" t="s">
        <v>185</v>
      </c>
    </row>
    <row r="950308" spans="1:1" x14ac:dyDescent="0.3">
      <c r="A950308" s="15" t="s">
        <v>186</v>
      </c>
    </row>
    <row r="950309" spans="1:1" x14ac:dyDescent="0.3">
      <c r="A950309" s="15" t="s">
        <v>187</v>
      </c>
    </row>
    <row r="950310" spans="1:1" x14ac:dyDescent="0.3">
      <c r="A950310" s="15" t="s">
        <v>188</v>
      </c>
    </row>
    <row r="950311" spans="1:1" x14ac:dyDescent="0.3">
      <c r="A950311" s="15" t="s">
        <v>189</v>
      </c>
    </row>
    <row r="950312" spans="1:1" x14ac:dyDescent="0.3">
      <c r="A950312" s="15" t="s">
        <v>190</v>
      </c>
    </row>
    <row r="950313" spans="1:1" x14ac:dyDescent="0.3">
      <c r="A950313" s="14" t="s">
        <v>47</v>
      </c>
    </row>
    <row r="950314" spans="1:1" x14ac:dyDescent="0.3">
      <c r="A950314" s="14" t="s">
        <v>118</v>
      </c>
    </row>
    <row r="950315" spans="1:1" x14ac:dyDescent="0.3">
      <c r="A950315" s="14" t="s">
        <v>85</v>
      </c>
    </row>
    <row r="950316" spans="1:1" x14ac:dyDescent="0.3">
      <c r="A950316" s="13" t="s">
        <v>21</v>
      </c>
    </row>
    <row r="950317" spans="1:1" x14ac:dyDescent="0.3">
      <c r="A950317" s="14" t="s">
        <v>91</v>
      </c>
    </row>
    <row r="950318" spans="1:1" x14ac:dyDescent="0.3">
      <c r="A950318" s="14" t="s">
        <v>92</v>
      </c>
    </row>
    <row r="950319" spans="1:1" x14ac:dyDescent="0.3">
      <c r="A950319" s="14" t="s">
        <v>98</v>
      </c>
    </row>
    <row r="950320" spans="1:1" x14ac:dyDescent="0.3">
      <c r="A950320" s="14" t="s">
        <v>99</v>
      </c>
    </row>
    <row r="950321" spans="1:1" x14ac:dyDescent="0.3">
      <c r="A950321" s="13" t="s">
        <v>24</v>
      </c>
    </row>
    <row r="950322" spans="1:1" x14ac:dyDescent="0.3">
      <c r="A950322" s="13" t="s">
        <v>82</v>
      </c>
    </row>
    <row r="950323" spans="1:1" x14ac:dyDescent="0.3">
      <c r="A950323" s="13" t="s">
        <v>105</v>
      </c>
    </row>
    <row r="950324" spans="1:1" x14ac:dyDescent="0.3">
      <c r="A950324" s="13" t="s">
        <v>100</v>
      </c>
    </row>
    <row r="950325" spans="1:1" x14ac:dyDescent="0.3">
      <c r="A950325" s="13" t="s">
        <v>101</v>
      </c>
    </row>
    <row r="950326" spans="1:1" x14ac:dyDescent="0.3">
      <c r="A950326" s="13" t="s">
        <v>102</v>
      </c>
    </row>
    <row r="950327" spans="1:1" x14ac:dyDescent="0.3">
      <c r="A950327" s="13" t="s">
        <v>103</v>
      </c>
    </row>
    <row r="950328" spans="1:1" x14ac:dyDescent="0.3">
      <c r="A950328" s="13" t="s">
        <v>104</v>
      </c>
    </row>
    <row r="966658" spans="1:1" x14ac:dyDescent="0.3">
      <c r="A966658" s="13" t="s">
        <v>0</v>
      </c>
    </row>
    <row r="966659" spans="1:1" x14ac:dyDescent="0.3">
      <c r="A966659" s="13" t="s">
        <v>124</v>
      </c>
    </row>
    <row r="966660" spans="1:1" x14ac:dyDescent="0.3">
      <c r="A966660" s="13" t="s">
        <v>1</v>
      </c>
    </row>
    <row r="966661" spans="1:1" x14ac:dyDescent="0.3">
      <c r="A966661" s="13" t="s">
        <v>2</v>
      </c>
    </row>
    <row r="966662" spans="1:1" x14ac:dyDescent="0.3">
      <c r="A966662" s="14" t="s">
        <v>25</v>
      </c>
    </row>
    <row r="966663" spans="1:1" x14ac:dyDescent="0.3">
      <c r="A966663" s="13" t="s">
        <v>125</v>
      </c>
    </row>
    <row r="966664" spans="1:1" x14ac:dyDescent="0.3">
      <c r="A966664" s="13" t="s">
        <v>126</v>
      </c>
    </row>
    <row r="966665" spans="1:1" x14ac:dyDescent="0.3">
      <c r="A966665" s="13" t="s">
        <v>87</v>
      </c>
    </row>
    <row r="966666" spans="1:1" x14ac:dyDescent="0.3">
      <c r="A966666" s="13" t="s">
        <v>22</v>
      </c>
    </row>
    <row r="966667" spans="1:1" x14ac:dyDescent="0.3">
      <c r="A966667" s="13" t="s">
        <v>3</v>
      </c>
    </row>
    <row r="966668" spans="1:1" x14ac:dyDescent="0.3">
      <c r="A966668" s="15" t="s">
        <v>94</v>
      </c>
    </row>
    <row r="966669" spans="1:1" x14ac:dyDescent="0.3">
      <c r="A966669" s="15" t="s">
        <v>93</v>
      </c>
    </row>
    <row r="966670" spans="1:1" x14ac:dyDescent="0.3">
      <c r="A966670" s="15" t="s">
        <v>4</v>
      </c>
    </row>
    <row r="966671" spans="1:1" x14ac:dyDescent="0.3">
      <c r="A966671" s="15" t="s">
        <v>117</v>
      </c>
    </row>
    <row r="966672" spans="1:1" x14ac:dyDescent="0.3">
      <c r="A966672" s="15" t="s">
        <v>5</v>
      </c>
    </row>
    <row r="966673" spans="1:1" x14ac:dyDescent="0.3">
      <c r="A966673" s="15" t="s">
        <v>6</v>
      </c>
    </row>
    <row r="966674" spans="1:1" x14ac:dyDescent="0.3">
      <c r="A966674" s="15" t="s">
        <v>7</v>
      </c>
    </row>
    <row r="966675" spans="1:1" x14ac:dyDescent="0.3">
      <c r="A966675" s="15" t="s">
        <v>8</v>
      </c>
    </row>
    <row r="966676" spans="1:1" x14ac:dyDescent="0.3">
      <c r="A966676" s="15" t="s">
        <v>9</v>
      </c>
    </row>
    <row r="966677" spans="1:1" x14ac:dyDescent="0.3">
      <c r="A966677" s="15" t="s">
        <v>10</v>
      </c>
    </row>
    <row r="966678" spans="1:1" x14ac:dyDescent="0.3">
      <c r="A966678" s="15" t="s">
        <v>11</v>
      </c>
    </row>
    <row r="966679" spans="1:1" x14ac:dyDescent="0.3">
      <c r="A966679" s="15" t="s">
        <v>12</v>
      </c>
    </row>
    <row r="966680" spans="1:1" x14ac:dyDescent="0.3">
      <c r="A966680" s="15" t="s">
        <v>13</v>
      </c>
    </row>
    <row r="966681" spans="1:1" x14ac:dyDescent="0.3">
      <c r="A966681" s="15" t="s">
        <v>14</v>
      </c>
    </row>
    <row r="966682" spans="1:1" x14ac:dyDescent="0.3">
      <c r="A966682" s="13" t="s">
        <v>31</v>
      </c>
    </row>
    <row r="966683" spans="1:1" x14ac:dyDescent="0.3">
      <c r="A966683" s="13" t="s">
        <v>86</v>
      </c>
    </row>
    <row r="966684" spans="1:1" x14ac:dyDescent="0.3">
      <c r="A966684" s="15" t="s">
        <v>30</v>
      </c>
    </row>
    <row r="966685" spans="1:1" x14ac:dyDescent="0.3">
      <c r="A966685" s="15" t="s">
        <v>26</v>
      </c>
    </row>
    <row r="966686" spans="1:1" x14ac:dyDescent="0.3">
      <c r="A966686" s="15" t="s">
        <v>27</v>
      </c>
    </row>
    <row r="966687" spans="1:1" x14ac:dyDescent="0.3">
      <c r="A966687" s="15" t="s">
        <v>28</v>
      </c>
    </row>
    <row r="966688" spans="1:1" x14ac:dyDescent="0.3">
      <c r="A966688" s="15" t="s">
        <v>88</v>
      </c>
    </row>
    <row r="966689" spans="1:1" x14ac:dyDescent="0.3">
      <c r="A966689" s="15" t="s">
        <v>89</v>
      </c>
    </row>
    <row r="966690" spans="1:1" x14ac:dyDescent="0.3">
      <c r="A966690" s="15" t="s">
        <v>184</v>
      </c>
    </row>
    <row r="966691" spans="1:1" x14ac:dyDescent="0.3">
      <c r="A966691" s="15" t="s">
        <v>185</v>
      </c>
    </row>
    <row r="966692" spans="1:1" x14ac:dyDescent="0.3">
      <c r="A966692" s="15" t="s">
        <v>186</v>
      </c>
    </row>
    <row r="966693" spans="1:1" x14ac:dyDescent="0.3">
      <c r="A966693" s="15" t="s">
        <v>187</v>
      </c>
    </row>
    <row r="966694" spans="1:1" x14ac:dyDescent="0.3">
      <c r="A966694" s="15" t="s">
        <v>188</v>
      </c>
    </row>
    <row r="966695" spans="1:1" x14ac:dyDescent="0.3">
      <c r="A966695" s="15" t="s">
        <v>189</v>
      </c>
    </row>
    <row r="966696" spans="1:1" x14ac:dyDescent="0.3">
      <c r="A966696" s="15" t="s">
        <v>190</v>
      </c>
    </row>
    <row r="966697" spans="1:1" x14ac:dyDescent="0.3">
      <c r="A966697" s="14" t="s">
        <v>47</v>
      </c>
    </row>
    <row r="966698" spans="1:1" x14ac:dyDescent="0.3">
      <c r="A966698" s="14" t="s">
        <v>118</v>
      </c>
    </row>
    <row r="966699" spans="1:1" x14ac:dyDescent="0.3">
      <c r="A966699" s="14" t="s">
        <v>85</v>
      </c>
    </row>
    <row r="966700" spans="1:1" x14ac:dyDescent="0.3">
      <c r="A966700" s="13" t="s">
        <v>21</v>
      </c>
    </row>
    <row r="966701" spans="1:1" x14ac:dyDescent="0.3">
      <c r="A966701" s="14" t="s">
        <v>91</v>
      </c>
    </row>
    <row r="966702" spans="1:1" x14ac:dyDescent="0.3">
      <c r="A966702" s="14" t="s">
        <v>92</v>
      </c>
    </row>
    <row r="966703" spans="1:1" x14ac:dyDescent="0.3">
      <c r="A966703" s="14" t="s">
        <v>98</v>
      </c>
    </row>
    <row r="966704" spans="1:1" x14ac:dyDescent="0.3">
      <c r="A966704" s="14" t="s">
        <v>99</v>
      </c>
    </row>
    <row r="966705" spans="1:1" x14ac:dyDescent="0.3">
      <c r="A966705" s="13" t="s">
        <v>24</v>
      </c>
    </row>
    <row r="966706" spans="1:1" x14ac:dyDescent="0.3">
      <c r="A966706" s="13" t="s">
        <v>82</v>
      </c>
    </row>
    <row r="966707" spans="1:1" x14ac:dyDescent="0.3">
      <c r="A966707" s="13" t="s">
        <v>105</v>
      </c>
    </row>
    <row r="966708" spans="1:1" x14ac:dyDescent="0.3">
      <c r="A966708" s="13" t="s">
        <v>100</v>
      </c>
    </row>
    <row r="966709" spans="1:1" x14ac:dyDescent="0.3">
      <c r="A966709" s="13" t="s">
        <v>101</v>
      </c>
    </row>
    <row r="966710" spans="1:1" x14ac:dyDescent="0.3">
      <c r="A966710" s="13" t="s">
        <v>102</v>
      </c>
    </row>
    <row r="966711" spans="1:1" x14ac:dyDescent="0.3">
      <c r="A966711" s="13" t="s">
        <v>103</v>
      </c>
    </row>
    <row r="966712" spans="1:1" x14ac:dyDescent="0.3">
      <c r="A966712" s="13" t="s">
        <v>104</v>
      </c>
    </row>
    <row r="983042" spans="1:1" x14ac:dyDescent="0.3">
      <c r="A983042" s="13" t="s">
        <v>0</v>
      </c>
    </row>
    <row r="983043" spans="1:1" x14ac:dyDescent="0.3">
      <c r="A983043" s="13" t="s">
        <v>124</v>
      </c>
    </row>
    <row r="983044" spans="1:1" x14ac:dyDescent="0.3">
      <c r="A983044" s="13" t="s">
        <v>1</v>
      </c>
    </row>
    <row r="983045" spans="1:1" x14ac:dyDescent="0.3">
      <c r="A983045" s="13" t="s">
        <v>2</v>
      </c>
    </row>
    <row r="983046" spans="1:1" x14ac:dyDescent="0.3">
      <c r="A983046" s="14" t="s">
        <v>25</v>
      </c>
    </row>
    <row r="983047" spans="1:1" x14ac:dyDescent="0.3">
      <c r="A983047" s="13" t="s">
        <v>125</v>
      </c>
    </row>
    <row r="983048" spans="1:1" x14ac:dyDescent="0.3">
      <c r="A983048" s="13" t="s">
        <v>126</v>
      </c>
    </row>
    <row r="983049" spans="1:1" x14ac:dyDescent="0.3">
      <c r="A983049" s="13" t="s">
        <v>87</v>
      </c>
    </row>
    <row r="983050" spans="1:1" x14ac:dyDescent="0.3">
      <c r="A983050" s="13" t="s">
        <v>22</v>
      </c>
    </row>
    <row r="983051" spans="1:1" x14ac:dyDescent="0.3">
      <c r="A983051" s="13" t="s">
        <v>3</v>
      </c>
    </row>
    <row r="983052" spans="1:1" x14ac:dyDescent="0.3">
      <c r="A983052" s="15" t="s">
        <v>94</v>
      </c>
    </row>
    <row r="983053" spans="1:1" x14ac:dyDescent="0.3">
      <c r="A983053" s="15" t="s">
        <v>93</v>
      </c>
    </row>
    <row r="983054" spans="1:1" x14ac:dyDescent="0.3">
      <c r="A983054" s="15" t="s">
        <v>4</v>
      </c>
    </row>
    <row r="983055" spans="1:1" x14ac:dyDescent="0.3">
      <c r="A983055" s="15" t="s">
        <v>117</v>
      </c>
    </row>
    <row r="983056" spans="1:1" x14ac:dyDescent="0.3">
      <c r="A983056" s="15" t="s">
        <v>5</v>
      </c>
    </row>
    <row r="983057" spans="1:1" x14ac:dyDescent="0.3">
      <c r="A983057" s="15" t="s">
        <v>6</v>
      </c>
    </row>
    <row r="983058" spans="1:1" x14ac:dyDescent="0.3">
      <c r="A983058" s="15" t="s">
        <v>7</v>
      </c>
    </row>
    <row r="983059" spans="1:1" x14ac:dyDescent="0.3">
      <c r="A983059" s="15" t="s">
        <v>8</v>
      </c>
    </row>
    <row r="983060" spans="1:1" x14ac:dyDescent="0.3">
      <c r="A983060" s="15" t="s">
        <v>9</v>
      </c>
    </row>
    <row r="983061" spans="1:1" x14ac:dyDescent="0.3">
      <c r="A983061" s="15" t="s">
        <v>10</v>
      </c>
    </row>
    <row r="983062" spans="1:1" x14ac:dyDescent="0.3">
      <c r="A983062" s="15" t="s">
        <v>11</v>
      </c>
    </row>
    <row r="983063" spans="1:1" x14ac:dyDescent="0.3">
      <c r="A983063" s="15" t="s">
        <v>12</v>
      </c>
    </row>
    <row r="983064" spans="1:1" x14ac:dyDescent="0.3">
      <c r="A983064" s="15" t="s">
        <v>13</v>
      </c>
    </row>
    <row r="983065" spans="1:1" x14ac:dyDescent="0.3">
      <c r="A983065" s="15" t="s">
        <v>14</v>
      </c>
    </row>
    <row r="983066" spans="1:1" x14ac:dyDescent="0.3">
      <c r="A983066" s="13" t="s">
        <v>31</v>
      </c>
    </row>
    <row r="983067" spans="1:1" x14ac:dyDescent="0.3">
      <c r="A983067" s="13" t="s">
        <v>86</v>
      </c>
    </row>
    <row r="983068" spans="1:1" x14ac:dyDescent="0.3">
      <c r="A983068" s="15" t="s">
        <v>30</v>
      </c>
    </row>
    <row r="983069" spans="1:1" x14ac:dyDescent="0.3">
      <c r="A983069" s="15" t="s">
        <v>26</v>
      </c>
    </row>
    <row r="983070" spans="1:1" x14ac:dyDescent="0.3">
      <c r="A983070" s="15" t="s">
        <v>27</v>
      </c>
    </row>
    <row r="983071" spans="1:1" x14ac:dyDescent="0.3">
      <c r="A983071" s="15" t="s">
        <v>28</v>
      </c>
    </row>
    <row r="983072" spans="1:1" x14ac:dyDescent="0.3">
      <c r="A983072" s="15" t="s">
        <v>88</v>
      </c>
    </row>
    <row r="983073" spans="1:1" x14ac:dyDescent="0.3">
      <c r="A983073" s="15" t="s">
        <v>89</v>
      </c>
    </row>
    <row r="983074" spans="1:1" x14ac:dyDescent="0.3">
      <c r="A983074" s="15" t="s">
        <v>184</v>
      </c>
    </row>
    <row r="983075" spans="1:1" x14ac:dyDescent="0.3">
      <c r="A983075" s="15" t="s">
        <v>185</v>
      </c>
    </row>
    <row r="983076" spans="1:1" x14ac:dyDescent="0.3">
      <c r="A983076" s="15" t="s">
        <v>186</v>
      </c>
    </row>
    <row r="983077" spans="1:1" x14ac:dyDescent="0.3">
      <c r="A983077" s="15" t="s">
        <v>187</v>
      </c>
    </row>
    <row r="983078" spans="1:1" x14ac:dyDescent="0.3">
      <c r="A983078" s="15" t="s">
        <v>188</v>
      </c>
    </row>
    <row r="983079" spans="1:1" x14ac:dyDescent="0.3">
      <c r="A983079" s="15" t="s">
        <v>189</v>
      </c>
    </row>
    <row r="983080" spans="1:1" x14ac:dyDescent="0.3">
      <c r="A983080" s="15" t="s">
        <v>190</v>
      </c>
    </row>
    <row r="983081" spans="1:1" x14ac:dyDescent="0.3">
      <c r="A983081" s="14" t="s">
        <v>47</v>
      </c>
    </row>
    <row r="983082" spans="1:1" x14ac:dyDescent="0.3">
      <c r="A983082" s="14" t="s">
        <v>118</v>
      </c>
    </row>
    <row r="983083" spans="1:1" x14ac:dyDescent="0.3">
      <c r="A983083" s="14" t="s">
        <v>85</v>
      </c>
    </row>
    <row r="983084" spans="1:1" x14ac:dyDescent="0.3">
      <c r="A983084" s="13" t="s">
        <v>21</v>
      </c>
    </row>
    <row r="983085" spans="1:1" x14ac:dyDescent="0.3">
      <c r="A983085" s="14" t="s">
        <v>91</v>
      </c>
    </row>
    <row r="983086" spans="1:1" x14ac:dyDescent="0.3">
      <c r="A983086" s="14" t="s">
        <v>92</v>
      </c>
    </row>
    <row r="983087" spans="1:1" x14ac:dyDescent="0.3">
      <c r="A983087" s="14" t="s">
        <v>98</v>
      </c>
    </row>
    <row r="983088" spans="1:1" x14ac:dyDescent="0.3">
      <c r="A983088" s="14" t="s">
        <v>99</v>
      </c>
    </row>
    <row r="983089" spans="1:1" x14ac:dyDescent="0.3">
      <c r="A983089" s="13" t="s">
        <v>24</v>
      </c>
    </row>
    <row r="983090" spans="1:1" x14ac:dyDescent="0.3">
      <c r="A983090" s="13" t="s">
        <v>82</v>
      </c>
    </row>
    <row r="983091" spans="1:1" x14ac:dyDescent="0.3">
      <c r="A983091" s="13" t="s">
        <v>105</v>
      </c>
    </row>
    <row r="983092" spans="1:1" x14ac:dyDescent="0.3">
      <c r="A983092" s="13" t="s">
        <v>100</v>
      </c>
    </row>
    <row r="983093" spans="1:1" x14ac:dyDescent="0.3">
      <c r="A983093" s="13" t="s">
        <v>101</v>
      </c>
    </row>
    <row r="983094" spans="1:1" x14ac:dyDescent="0.3">
      <c r="A983094" s="13" t="s">
        <v>102</v>
      </c>
    </row>
    <row r="983095" spans="1:1" x14ac:dyDescent="0.3">
      <c r="A983095" s="13" t="s">
        <v>103</v>
      </c>
    </row>
    <row r="983096" spans="1:1" x14ac:dyDescent="0.3">
      <c r="A983096" s="13" t="s">
        <v>104</v>
      </c>
    </row>
    <row r="999426" spans="1:1" x14ac:dyDescent="0.3">
      <c r="A999426" s="13" t="s">
        <v>0</v>
      </c>
    </row>
    <row r="999427" spans="1:1" x14ac:dyDescent="0.3">
      <c r="A999427" s="13" t="s">
        <v>124</v>
      </c>
    </row>
    <row r="999428" spans="1:1" x14ac:dyDescent="0.3">
      <c r="A999428" s="13" t="s">
        <v>1</v>
      </c>
    </row>
    <row r="999429" spans="1:1" x14ac:dyDescent="0.3">
      <c r="A999429" s="13" t="s">
        <v>2</v>
      </c>
    </row>
    <row r="999430" spans="1:1" x14ac:dyDescent="0.3">
      <c r="A999430" s="14" t="s">
        <v>25</v>
      </c>
    </row>
    <row r="999431" spans="1:1" x14ac:dyDescent="0.3">
      <c r="A999431" s="13" t="s">
        <v>125</v>
      </c>
    </row>
    <row r="999432" spans="1:1" x14ac:dyDescent="0.3">
      <c r="A999432" s="13" t="s">
        <v>126</v>
      </c>
    </row>
    <row r="999433" spans="1:1" x14ac:dyDescent="0.3">
      <c r="A999433" s="13" t="s">
        <v>87</v>
      </c>
    </row>
    <row r="999434" spans="1:1" x14ac:dyDescent="0.3">
      <c r="A999434" s="13" t="s">
        <v>22</v>
      </c>
    </row>
    <row r="999435" spans="1:1" x14ac:dyDescent="0.3">
      <c r="A999435" s="13" t="s">
        <v>3</v>
      </c>
    </row>
    <row r="999436" spans="1:1" x14ac:dyDescent="0.3">
      <c r="A999436" s="15" t="s">
        <v>94</v>
      </c>
    </row>
    <row r="999437" spans="1:1" x14ac:dyDescent="0.3">
      <c r="A999437" s="15" t="s">
        <v>93</v>
      </c>
    </row>
    <row r="999438" spans="1:1" x14ac:dyDescent="0.3">
      <c r="A999438" s="15" t="s">
        <v>4</v>
      </c>
    </row>
    <row r="999439" spans="1:1" x14ac:dyDescent="0.3">
      <c r="A999439" s="15" t="s">
        <v>117</v>
      </c>
    </row>
    <row r="999440" spans="1:1" x14ac:dyDescent="0.3">
      <c r="A999440" s="15" t="s">
        <v>5</v>
      </c>
    </row>
    <row r="999441" spans="1:1" x14ac:dyDescent="0.3">
      <c r="A999441" s="15" t="s">
        <v>6</v>
      </c>
    </row>
    <row r="999442" spans="1:1" x14ac:dyDescent="0.3">
      <c r="A999442" s="15" t="s">
        <v>7</v>
      </c>
    </row>
    <row r="999443" spans="1:1" x14ac:dyDescent="0.3">
      <c r="A999443" s="15" t="s">
        <v>8</v>
      </c>
    </row>
    <row r="999444" spans="1:1" x14ac:dyDescent="0.3">
      <c r="A999444" s="15" t="s">
        <v>9</v>
      </c>
    </row>
    <row r="999445" spans="1:1" x14ac:dyDescent="0.3">
      <c r="A999445" s="15" t="s">
        <v>10</v>
      </c>
    </row>
    <row r="999446" spans="1:1" x14ac:dyDescent="0.3">
      <c r="A999446" s="15" t="s">
        <v>11</v>
      </c>
    </row>
    <row r="999447" spans="1:1" x14ac:dyDescent="0.3">
      <c r="A999447" s="15" t="s">
        <v>12</v>
      </c>
    </row>
    <row r="999448" spans="1:1" x14ac:dyDescent="0.3">
      <c r="A999448" s="15" t="s">
        <v>13</v>
      </c>
    </row>
    <row r="999449" spans="1:1" x14ac:dyDescent="0.3">
      <c r="A999449" s="15" t="s">
        <v>14</v>
      </c>
    </row>
    <row r="999450" spans="1:1" x14ac:dyDescent="0.3">
      <c r="A999450" s="13" t="s">
        <v>31</v>
      </c>
    </row>
    <row r="999451" spans="1:1" x14ac:dyDescent="0.3">
      <c r="A999451" s="13" t="s">
        <v>86</v>
      </c>
    </row>
    <row r="999452" spans="1:1" x14ac:dyDescent="0.3">
      <c r="A999452" s="15" t="s">
        <v>30</v>
      </c>
    </row>
    <row r="999453" spans="1:1" x14ac:dyDescent="0.3">
      <c r="A999453" s="15" t="s">
        <v>26</v>
      </c>
    </row>
    <row r="999454" spans="1:1" x14ac:dyDescent="0.3">
      <c r="A999454" s="15" t="s">
        <v>27</v>
      </c>
    </row>
    <row r="999455" spans="1:1" x14ac:dyDescent="0.3">
      <c r="A999455" s="15" t="s">
        <v>28</v>
      </c>
    </row>
    <row r="999456" spans="1:1" x14ac:dyDescent="0.3">
      <c r="A999456" s="15" t="s">
        <v>88</v>
      </c>
    </row>
    <row r="999457" spans="1:1" x14ac:dyDescent="0.3">
      <c r="A999457" s="15" t="s">
        <v>89</v>
      </c>
    </row>
    <row r="999458" spans="1:1" x14ac:dyDescent="0.3">
      <c r="A999458" s="15" t="s">
        <v>184</v>
      </c>
    </row>
    <row r="999459" spans="1:1" x14ac:dyDescent="0.3">
      <c r="A999459" s="15" t="s">
        <v>185</v>
      </c>
    </row>
    <row r="999460" spans="1:1" x14ac:dyDescent="0.3">
      <c r="A999460" s="15" t="s">
        <v>186</v>
      </c>
    </row>
    <row r="999461" spans="1:1" x14ac:dyDescent="0.3">
      <c r="A999461" s="15" t="s">
        <v>187</v>
      </c>
    </row>
    <row r="999462" spans="1:1" x14ac:dyDescent="0.3">
      <c r="A999462" s="15" t="s">
        <v>188</v>
      </c>
    </row>
    <row r="999463" spans="1:1" x14ac:dyDescent="0.3">
      <c r="A999463" s="15" t="s">
        <v>189</v>
      </c>
    </row>
    <row r="999464" spans="1:1" x14ac:dyDescent="0.3">
      <c r="A999464" s="15" t="s">
        <v>190</v>
      </c>
    </row>
    <row r="999465" spans="1:1" x14ac:dyDescent="0.3">
      <c r="A999465" s="14" t="s">
        <v>47</v>
      </c>
    </row>
    <row r="999466" spans="1:1" x14ac:dyDescent="0.3">
      <c r="A999466" s="14" t="s">
        <v>118</v>
      </c>
    </row>
    <row r="999467" spans="1:1" x14ac:dyDescent="0.3">
      <c r="A999467" s="14" t="s">
        <v>85</v>
      </c>
    </row>
    <row r="999468" spans="1:1" x14ac:dyDescent="0.3">
      <c r="A999468" s="13" t="s">
        <v>21</v>
      </c>
    </row>
    <row r="999469" spans="1:1" x14ac:dyDescent="0.3">
      <c r="A999469" s="14" t="s">
        <v>91</v>
      </c>
    </row>
    <row r="999470" spans="1:1" x14ac:dyDescent="0.3">
      <c r="A999470" s="14" t="s">
        <v>92</v>
      </c>
    </row>
    <row r="999471" spans="1:1" x14ac:dyDescent="0.3">
      <c r="A999471" s="14" t="s">
        <v>98</v>
      </c>
    </row>
    <row r="999472" spans="1:1" x14ac:dyDescent="0.3">
      <c r="A999472" s="14" t="s">
        <v>99</v>
      </c>
    </row>
    <row r="999473" spans="1:1" x14ac:dyDescent="0.3">
      <c r="A999473" s="13" t="s">
        <v>24</v>
      </c>
    </row>
    <row r="999474" spans="1:1" x14ac:dyDescent="0.3">
      <c r="A999474" s="13" t="s">
        <v>82</v>
      </c>
    </row>
    <row r="999475" spans="1:1" x14ac:dyDescent="0.3">
      <c r="A999475" s="13" t="s">
        <v>105</v>
      </c>
    </row>
    <row r="999476" spans="1:1" x14ac:dyDescent="0.3">
      <c r="A999476" s="13" t="s">
        <v>100</v>
      </c>
    </row>
    <row r="999477" spans="1:1" x14ac:dyDescent="0.3">
      <c r="A999477" s="13" t="s">
        <v>101</v>
      </c>
    </row>
    <row r="999478" spans="1:1" x14ac:dyDescent="0.3">
      <c r="A999478" s="13" t="s">
        <v>102</v>
      </c>
    </row>
    <row r="999479" spans="1:1" x14ac:dyDescent="0.3">
      <c r="A999479" s="13" t="s">
        <v>103</v>
      </c>
    </row>
    <row r="999480" spans="1:1" x14ac:dyDescent="0.3">
      <c r="A999480" s="13" t="s">
        <v>104</v>
      </c>
    </row>
    <row r="1015810" spans="1:1" x14ac:dyDescent="0.3">
      <c r="A1015810" s="13" t="s">
        <v>0</v>
      </c>
    </row>
    <row r="1015811" spans="1:1" x14ac:dyDescent="0.3">
      <c r="A1015811" s="13" t="s">
        <v>124</v>
      </c>
    </row>
    <row r="1015812" spans="1:1" x14ac:dyDescent="0.3">
      <c r="A1015812" s="13" t="s">
        <v>1</v>
      </c>
    </row>
    <row r="1015813" spans="1:1" x14ac:dyDescent="0.3">
      <c r="A1015813" s="13" t="s">
        <v>2</v>
      </c>
    </row>
    <row r="1015814" spans="1:1" x14ac:dyDescent="0.3">
      <c r="A1015814" s="14" t="s">
        <v>25</v>
      </c>
    </row>
    <row r="1015815" spans="1:1" x14ac:dyDescent="0.3">
      <c r="A1015815" s="13" t="s">
        <v>125</v>
      </c>
    </row>
    <row r="1015816" spans="1:1" x14ac:dyDescent="0.3">
      <c r="A1015816" s="13" t="s">
        <v>126</v>
      </c>
    </row>
    <row r="1015817" spans="1:1" x14ac:dyDescent="0.3">
      <c r="A1015817" s="13" t="s">
        <v>87</v>
      </c>
    </row>
    <row r="1015818" spans="1:1" x14ac:dyDescent="0.3">
      <c r="A1015818" s="13" t="s">
        <v>22</v>
      </c>
    </row>
    <row r="1015819" spans="1:1" x14ac:dyDescent="0.3">
      <c r="A1015819" s="13" t="s">
        <v>3</v>
      </c>
    </row>
    <row r="1015820" spans="1:1" x14ac:dyDescent="0.3">
      <c r="A1015820" s="15" t="s">
        <v>94</v>
      </c>
    </row>
    <row r="1015821" spans="1:1" x14ac:dyDescent="0.3">
      <c r="A1015821" s="15" t="s">
        <v>93</v>
      </c>
    </row>
    <row r="1015822" spans="1:1" x14ac:dyDescent="0.3">
      <c r="A1015822" s="15" t="s">
        <v>4</v>
      </c>
    </row>
    <row r="1015823" spans="1:1" x14ac:dyDescent="0.3">
      <c r="A1015823" s="15" t="s">
        <v>117</v>
      </c>
    </row>
    <row r="1015824" spans="1:1" x14ac:dyDescent="0.3">
      <c r="A1015824" s="15" t="s">
        <v>5</v>
      </c>
    </row>
    <row r="1015825" spans="1:1" x14ac:dyDescent="0.3">
      <c r="A1015825" s="15" t="s">
        <v>6</v>
      </c>
    </row>
    <row r="1015826" spans="1:1" x14ac:dyDescent="0.3">
      <c r="A1015826" s="15" t="s">
        <v>7</v>
      </c>
    </row>
    <row r="1015827" spans="1:1" x14ac:dyDescent="0.3">
      <c r="A1015827" s="15" t="s">
        <v>8</v>
      </c>
    </row>
    <row r="1015828" spans="1:1" x14ac:dyDescent="0.3">
      <c r="A1015828" s="15" t="s">
        <v>9</v>
      </c>
    </row>
    <row r="1015829" spans="1:1" x14ac:dyDescent="0.3">
      <c r="A1015829" s="15" t="s">
        <v>10</v>
      </c>
    </row>
    <row r="1015830" spans="1:1" x14ac:dyDescent="0.3">
      <c r="A1015830" s="15" t="s">
        <v>11</v>
      </c>
    </row>
    <row r="1015831" spans="1:1" x14ac:dyDescent="0.3">
      <c r="A1015831" s="15" t="s">
        <v>12</v>
      </c>
    </row>
    <row r="1015832" spans="1:1" x14ac:dyDescent="0.3">
      <c r="A1015832" s="15" t="s">
        <v>13</v>
      </c>
    </row>
    <row r="1015833" spans="1:1" x14ac:dyDescent="0.3">
      <c r="A1015833" s="15" t="s">
        <v>14</v>
      </c>
    </row>
    <row r="1015834" spans="1:1" x14ac:dyDescent="0.3">
      <c r="A1015834" s="13" t="s">
        <v>31</v>
      </c>
    </row>
    <row r="1015835" spans="1:1" x14ac:dyDescent="0.3">
      <c r="A1015835" s="13" t="s">
        <v>86</v>
      </c>
    </row>
    <row r="1015836" spans="1:1" x14ac:dyDescent="0.3">
      <c r="A1015836" s="15" t="s">
        <v>30</v>
      </c>
    </row>
    <row r="1015837" spans="1:1" x14ac:dyDescent="0.3">
      <c r="A1015837" s="15" t="s">
        <v>26</v>
      </c>
    </row>
    <row r="1015838" spans="1:1" x14ac:dyDescent="0.3">
      <c r="A1015838" s="15" t="s">
        <v>27</v>
      </c>
    </row>
    <row r="1015839" spans="1:1" x14ac:dyDescent="0.3">
      <c r="A1015839" s="15" t="s">
        <v>28</v>
      </c>
    </row>
    <row r="1015840" spans="1:1" x14ac:dyDescent="0.3">
      <c r="A1015840" s="15" t="s">
        <v>88</v>
      </c>
    </row>
    <row r="1015841" spans="1:1" x14ac:dyDescent="0.3">
      <c r="A1015841" s="15" t="s">
        <v>89</v>
      </c>
    </row>
    <row r="1015842" spans="1:1" x14ac:dyDescent="0.3">
      <c r="A1015842" s="15" t="s">
        <v>184</v>
      </c>
    </row>
    <row r="1015843" spans="1:1" x14ac:dyDescent="0.3">
      <c r="A1015843" s="15" t="s">
        <v>185</v>
      </c>
    </row>
    <row r="1015844" spans="1:1" x14ac:dyDescent="0.3">
      <c r="A1015844" s="15" t="s">
        <v>186</v>
      </c>
    </row>
    <row r="1015845" spans="1:1" x14ac:dyDescent="0.3">
      <c r="A1015845" s="15" t="s">
        <v>187</v>
      </c>
    </row>
    <row r="1015846" spans="1:1" x14ac:dyDescent="0.3">
      <c r="A1015846" s="15" t="s">
        <v>188</v>
      </c>
    </row>
    <row r="1015847" spans="1:1" x14ac:dyDescent="0.3">
      <c r="A1015847" s="15" t="s">
        <v>189</v>
      </c>
    </row>
    <row r="1015848" spans="1:1" x14ac:dyDescent="0.3">
      <c r="A1015848" s="15" t="s">
        <v>190</v>
      </c>
    </row>
    <row r="1015849" spans="1:1" x14ac:dyDescent="0.3">
      <c r="A1015849" s="14" t="s">
        <v>47</v>
      </c>
    </row>
    <row r="1015850" spans="1:1" x14ac:dyDescent="0.3">
      <c r="A1015850" s="14" t="s">
        <v>118</v>
      </c>
    </row>
    <row r="1015851" spans="1:1" x14ac:dyDescent="0.3">
      <c r="A1015851" s="14" t="s">
        <v>85</v>
      </c>
    </row>
    <row r="1015852" spans="1:1" x14ac:dyDescent="0.3">
      <c r="A1015852" s="13" t="s">
        <v>21</v>
      </c>
    </row>
    <row r="1015853" spans="1:1" x14ac:dyDescent="0.3">
      <c r="A1015853" s="14" t="s">
        <v>91</v>
      </c>
    </row>
    <row r="1015854" spans="1:1" x14ac:dyDescent="0.3">
      <c r="A1015854" s="14" t="s">
        <v>92</v>
      </c>
    </row>
    <row r="1015855" spans="1:1" x14ac:dyDescent="0.3">
      <c r="A1015855" s="14" t="s">
        <v>98</v>
      </c>
    </row>
    <row r="1015856" spans="1:1" x14ac:dyDescent="0.3">
      <c r="A1015856" s="14" t="s">
        <v>99</v>
      </c>
    </row>
    <row r="1015857" spans="1:1" x14ac:dyDescent="0.3">
      <c r="A1015857" s="13" t="s">
        <v>24</v>
      </c>
    </row>
    <row r="1015858" spans="1:1" x14ac:dyDescent="0.3">
      <c r="A1015858" s="13" t="s">
        <v>82</v>
      </c>
    </row>
    <row r="1015859" spans="1:1" x14ac:dyDescent="0.3">
      <c r="A1015859" s="13" t="s">
        <v>105</v>
      </c>
    </row>
    <row r="1015860" spans="1:1" x14ac:dyDescent="0.3">
      <c r="A1015860" s="13" t="s">
        <v>100</v>
      </c>
    </row>
    <row r="1015861" spans="1:1" x14ac:dyDescent="0.3">
      <c r="A1015861" s="13" t="s">
        <v>101</v>
      </c>
    </row>
    <row r="1015862" spans="1:1" x14ac:dyDescent="0.3">
      <c r="A1015862" s="13" t="s">
        <v>102</v>
      </c>
    </row>
    <row r="1015863" spans="1:1" x14ac:dyDescent="0.3">
      <c r="A1015863" s="13" t="s">
        <v>103</v>
      </c>
    </row>
    <row r="1015864" spans="1:1" x14ac:dyDescent="0.3">
      <c r="A1015864" s="13" t="s">
        <v>104</v>
      </c>
    </row>
    <row r="1032194" spans="1:1" x14ac:dyDescent="0.3">
      <c r="A1032194" s="13" t="s">
        <v>0</v>
      </c>
    </row>
    <row r="1032195" spans="1:1" x14ac:dyDescent="0.3">
      <c r="A1032195" s="13" t="s">
        <v>124</v>
      </c>
    </row>
    <row r="1032196" spans="1:1" x14ac:dyDescent="0.3">
      <c r="A1032196" s="13" t="s">
        <v>1</v>
      </c>
    </row>
    <row r="1032197" spans="1:1" x14ac:dyDescent="0.3">
      <c r="A1032197" s="13" t="s">
        <v>2</v>
      </c>
    </row>
    <row r="1032198" spans="1:1" x14ac:dyDescent="0.3">
      <c r="A1032198" s="14" t="s">
        <v>25</v>
      </c>
    </row>
    <row r="1032199" spans="1:1" x14ac:dyDescent="0.3">
      <c r="A1032199" s="13" t="s">
        <v>125</v>
      </c>
    </row>
    <row r="1032200" spans="1:1" x14ac:dyDescent="0.3">
      <c r="A1032200" s="13" t="s">
        <v>126</v>
      </c>
    </row>
    <row r="1032201" spans="1:1" x14ac:dyDescent="0.3">
      <c r="A1032201" s="13" t="s">
        <v>87</v>
      </c>
    </row>
    <row r="1032202" spans="1:1" x14ac:dyDescent="0.3">
      <c r="A1032202" s="13" t="s">
        <v>22</v>
      </c>
    </row>
    <row r="1032203" spans="1:1" x14ac:dyDescent="0.3">
      <c r="A1032203" s="13" t="s">
        <v>3</v>
      </c>
    </row>
    <row r="1032204" spans="1:1" x14ac:dyDescent="0.3">
      <c r="A1032204" s="15" t="s">
        <v>94</v>
      </c>
    </row>
    <row r="1032205" spans="1:1" x14ac:dyDescent="0.3">
      <c r="A1032205" s="15" t="s">
        <v>93</v>
      </c>
    </row>
    <row r="1032206" spans="1:1" x14ac:dyDescent="0.3">
      <c r="A1032206" s="15" t="s">
        <v>4</v>
      </c>
    </row>
    <row r="1032207" spans="1:1" x14ac:dyDescent="0.3">
      <c r="A1032207" s="15" t="s">
        <v>117</v>
      </c>
    </row>
    <row r="1032208" spans="1:1" x14ac:dyDescent="0.3">
      <c r="A1032208" s="15" t="s">
        <v>5</v>
      </c>
    </row>
    <row r="1032209" spans="1:1" x14ac:dyDescent="0.3">
      <c r="A1032209" s="15" t="s">
        <v>6</v>
      </c>
    </row>
    <row r="1032210" spans="1:1" x14ac:dyDescent="0.3">
      <c r="A1032210" s="15" t="s">
        <v>7</v>
      </c>
    </row>
    <row r="1032211" spans="1:1" x14ac:dyDescent="0.3">
      <c r="A1032211" s="15" t="s">
        <v>8</v>
      </c>
    </row>
    <row r="1032212" spans="1:1" x14ac:dyDescent="0.3">
      <c r="A1032212" s="15" t="s">
        <v>9</v>
      </c>
    </row>
    <row r="1032213" spans="1:1" x14ac:dyDescent="0.3">
      <c r="A1032213" s="15" t="s">
        <v>10</v>
      </c>
    </row>
    <row r="1032214" spans="1:1" x14ac:dyDescent="0.3">
      <c r="A1032214" s="15" t="s">
        <v>11</v>
      </c>
    </row>
    <row r="1032215" spans="1:1" x14ac:dyDescent="0.3">
      <c r="A1032215" s="15" t="s">
        <v>12</v>
      </c>
    </row>
    <row r="1032216" spans="1:1" x14ac:dyDescent="0.3">
      <c r="A1032216" s="15" t="s">
        <v>13</v>
      </c>
    </row>
    <row r="1032217" spans="1:1" x14ac:dyDescent="0.3">
      <c r="A1032217" s="15" t="s">
        <v>14</v>
      </c>
    </row>
    <row r="1032218" spans="1:1" x14ac:dyDescent="0.3">
      <c r="A1032218" s="13" t="s">
        <v>31</v>
      </c>
    </row>
    <row r="1032219" spans="1:1" x14ac:dyDescent="0.3">
      <c r="A1032219" s="13" t="s">
        <v>86</v>
      </c>
    </row>
    <row r="1032220" spans="1:1" x14ac:dyDescent="0.3">
      <c r="A1032220" s="15" t="s">
        <v>30</v>
      </c>
    </row>
    <row r="1032221" spans="1:1" x14ac:dyDescent="0.3">
      <c r="A1032221" s="15" t="s">
        <v>26</v>
      </c>
    </row>
    <row r="1032222" spans="1:1" x14ac:dyDescent="0.3">
      <c r="A1032222" s="15" t="s">
        <v>27</v>
      </c>
    </row>
    <row r="1032223" spans="1:1" x14ac:dyDescent="0.3">
      <c r="A1032223" s="15" t="s">
        <v>28</v>
      </c>
    </row>
    <row r="1032224" spans="1:1" x14ac:dyDescent="0.3">
      <c r="A1032224" s="15" t="s">
        <v>88</v>
      </c>
    </row>
    <row r="1032225" spans="1:1" x14ac:dyDescent="0.3">
      <c r="A1032225" s="15" t="s">
        <v>89</v>
      </c>
    </row>
    <row r="1032226" spans="1:1" x14ac:dyDescent="0.3">
      <c r="A1032226" s="15" t="s">
        <v>184</v>
      </c>
    </row>
    <row r="1032227" spans="1:1" x14ac:dyDescent="0.3">
      <c r="A1032227" s="15" t="s">
        <v>185</v>
      </c>
    </row>
    <row r="1032228" spans="1:1" x14ac:dyDescent="0.3">
      <c r="A1032228" s="15" t="s">
        <v>186</v>
      </c>
    </row>
    <row r="1032229" spans="1:1" x14ac:dyDescent="0.3">
      <c r="A1032229" s="15" t="s">
        <v>187</v>
      </c>
    </row>
    <row r="1032230" spans="1:1" x14ac:dyDescent="0.3">
      <c r="A1032230" s="15" t="s">
        <v>188</v>
      </c>
    </row>
    <row r="1032231" spans="1:1" x14ac:dyDescent="0.3">
      <c r="A1032231" s="15" t="s">
        <v>189</v>
      </c>
    </row>
    <row r="1032232" spans="1:1" x14ac:dyDescent="0.3">
      <c r="A1032232" s="15" t="s">
        <v>190</v>
      </c>
    </row>
    <row r="1032233" spans="1:1" x14ac:dyDescent="0.3">
      <c r="A1032233" s="14" t="s">
        <v>47</v>
      </c>
    </row>
    <row r="1032234" spans="1:1" x14ac:dyDescent="0.3">
      <c r="A1032234" s="14" t="s">
        <v>118</v>
      </c>
    </row>
    <row r="1032235" spans="1:1" x14ac:dyDescent="0.3">
      <c r="A1032235" s="14" t="s">
        <v>85</v>
      </c>
    </row>
    <row r="1032236" spans="1:1" x14ac:dyDescent="0.3">
      <c r="A1032236" s="13" t="s">
        <v>21</v>
      </c>
    </row>
    <row r="1032237" spans="1:1" x14ac:dyDescent="0.3">
      <c r="A1032237" s="14" t="s">
        <v>91</v>
      </c>
    </row>
    <row r="1032238" spans="1:1" x14ac:dyDescent="0.3">
      <c r="A1032238" s="14" t="s">
        <v>92</v>
      </c>
    </row>
    <row r="1032239" spans="1:1" x14ac:dyDescent="0.3">
      <c r="A1032239" s="14" t="s">
        <v>98</v>
      </c>
    </row>
    <row r="1032240" spans="1:1" x14ac:dyDescent="0.3">
      <c r="A1032240" s="14" t="s">
        <v>99</v>
      </c>
    </row>
    <row r="1032241" spans="1:1" x14ac:dyDescent="0.3">
      <c r="A1032241" s="13" t="s">
        <v>24</v>
      </c>
    </row>
    <row r="1032242" spans="1:1" x14ac:dyDescent="0.3">
      <c r="A1032242" s="13" t="s">
        <v>82</v>
      </c>
    </row>
    <row r="1032243" spans="1:1" x14ac:dyDescent="0.3">
      <c r="A1032243" s="13" t="s">
        <v>105</v>
      </c>
    </row>
    <row r="1032244" spans="1:1" x14ac:dyDescent="0.3">
      <c r="A1032244" s="13" t="s">
        <v>100</v>
      </c>
    </row>
    <row r="1032245" spans="1:1" x14ac:dyDescent="0.3">
      <c r="A1032245" s="13" t="s">
        <v>101</v>
      </c>
    </row>
    <row r="1032246" spans="1:1" x14ac:dyDescent="0.3">
      <c r="A1032246" s="13" t="s">
        <v>102</v>
      </c>
    </row>
    <row r="1032247" spans="1:1" x14ac:dyDescent="0.3">
      <c r="A1032247" s="13" t="s">
        <v>103</v>
      </c>
    </row>
    <row r="1032248" spans="1:1" x14ac:dyDescent="0.3">
      <c r="A1032248" s="13" t="s">
        <v>104</v>
      </c>
    </row>
    <row r="1032249" spans="1:1" x14ac:dyDescent="0.3">
      <c r="A1032249" s="3" t="s">
        <v>381</v>
      </c>
    </row>
    <row r="1032250" spans="1:1" x14ac:dyDescent="0.3">
      <c r="A1032250" s="3" t="s">
        <v>382</v>
      </c>
    </row>
    <row r="1032251" spans="1:1" x14ac:dyDescent="0.3">
      <c r="A1032251" s="3" t="s">
        <v>383</v>
      </c>
    </row>
    <row r="1032252" spans="1:1" x14ac:dyDescent="0.3">
      <c r="A1032252" s="3" t="s">
        <v>384</v>
      </c>
    </row>
    <row r="1032253" spans="1:1" x14ac:dyDescent="0.3">
      <c r="A1032253" s="3" t="s">
        <v>385</v>
      </c>
    </row>
  </sheetData>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C0AD99-F24D-4127-AB09-EB52DDA5DD4C}">
  <dimension ref="A1:H23"/>
  <sheetViews>
    <sheetView topLeftCell="A2" workbookViewId="0">
      <selection activeCell="F25" sqref="F25"/>
    </sheetView>
  </sheetViews>
  <sheetFormatPr defaultRowHeight="14.4" x14ac:dyDescent="0.3"/>
  <sheetData>
    <row r="1" spans="1:8" x14ac:dyDescent="0.3">
      <c r="A1" t="s">
        <v>1083</v>
      </c>
    </row>
    <row r="2" spans="1:8" x14ac:dyDescent="0.3">
      <c r="A2" s="11" t="s">
        <v>1077</v>
      </c>
      <c r="B2" s="11"/>
      <c r="C2" s="11"/>
      <c r="D2" s="11"/>
      <c r="E2" s="3"/>
      <c r="F2" s="3"/>
      <c r="G2" s="5"/>
      <c r="H2" s="6"/>
    </row>
    <row r="3" spans="1:8" x14ac:dyDescent="0.3">
      <c r="A3" s="11" t="s">
        <v>1060</v>
      </c>
      <c r="B3" s="11"/>
      <c r="C3" s="11"/>
      <c r="D3" s="11"/>
      <c r="E3" s="3"/>
      <c r="F3" s="3">
        <v>2.75</v>
      </c>
      <c r="G3" s="5"/>
      <c r="H3" s="6"/>
    </row>
    <row r="4" spans="1:8" x14ac:dyDescent="0.3">
      <c r="A4" s="11" t="s">
        <v>1061</v>
      </c>
      <c r="B4" s="11"/>
      <c r="C4" s="11"/>
      <c r="D4" s="11"/>
      <c r="E4" s="3"/>
      <c r="F4" s="3">
        <v>23.74</v>
      </c>
      <c r="G4" s="5"/>
      <c r="H4" s="6"/>
    </row>
    <row r="5" spans="1:8" x14ac:dyDescent="0.3">
      <c r="A5" s="11" t="s">
        <v>1062</v>
      </c>
      <c r="B5" s="11"/>
      <c r="C5" s="11"/>
      <c r="D5" s="11"/>
      <c r="E5" s="3"/>
      <c r="F5" s="3">
        <v>27.98</v>
      </c>
      <c r="G5" s="5"/>
      <c r="H5" s="6"/>
    </row>
    <row r="6" spans="1:8" x14ac:dyDescent="0.3">
      <c r="A6" s="11" t="s">
        <v>1063</v>
      </c>
      <c r="B6" s="11"/>
      <c r="C6" s="11"/>
      <c r="D6" s="11"/>
      <c r="E6" s="3"/>
      <c r="F6" s="3">
        <v>23</v>
      </c>
      <c r="G6" s="5"/>
      <c r="H6" s="6"/>
    </row>
    <row r="7" spans="1:8" x14ac:dyDescent="0.3">
      <c r="A7" s="11" t="s">
        <v>1064</v>
      </c>
      <c r="B7" s="11"/>
      <c r="C7" s="11"/>
      <c r="D7" s="11"/>
      <c r="E7" s="3"/>
      <c r="F7" s="3">
        <v>53.8</v>
      </c>
      <c r="G7" s="5"/>
      <c r="H7" s="6"/>
    </row>
    <row r="8" spans="1:8" x14ac:dyDescent="0.3">
      <c r="A8" s="11" t="s">
        <v>1065</v>
      </c>
      <c r="B8" s="11"/>
      <c r="C8" s="11"/>
      <c r="D8" s="11"/>
      <c r="E8" s="3"/>
      <c r="F8" s="3">
        <v>15</v>
      </c>
      <c r="G8" s="5"/>
      <c r="H8" s="6"/>
    </row>
    <row r="9" spans="1:8" x14ac:dyDescent="0.3">
      <c r="A9" s="11" t="s">
        <v>1066</v>
      </c>
      <c r="B9" s="11"/>
      <c r="C9" s="11"/>
      <c r="D9" s="11"/>
      <c r="E9" s="3"/>
      <c r="F9" s="3">
        <v>61.45</v>
      </c>
      <c r="G9" s="5"/>
      <c r="H9" s="6"/>
    </row>
    <row r="10" spans="1:8" x14ac:dyDescent="0.3">
      <c r="A10" s="11" t="s">
        <v>1067</v>
      </c>
      <c r="B10" s="11"/>
      <c r="C10" s="11"/>
      <c r="D10" s="11"/>
      <c r="E10" s="3"/>
      <c r="F10" s="3">
        <f>33.55+2</f>
        <v>35.549999999999997</v>
      </c>
      <c r="G10" s="5"/>
      <c r="H10" s="6"/>
    </row>
    <row r="11" spans="1:8" x14ac:dyDescent="0.3">
      <c r="A11" s="11" t="s">
        <v>1068</v>
      </c>
      <c r="B11" s="11"/>
      <c r="C11" s="11"/>
      <c r="D11" s="11"/>
      <c r="E11" s="3"/>
      <c r="F11" s="3">
        <v>27.03</v>
      </c>
      <c r="G11" s="5"/>
      <c r="H11" s="6"/>
    </row>
    <row r="12" spans="1:8" x14ac:dyDescent="0.3">
      <c r="A12" s="11" t="s">
        <v>1074</v>
      </c>
      <c r="B12" s="11"/>
      <c r="C12" s="11"/>
      <c r="D12" s="11"/>
      <c r="E12" s="3"/>
      <c r="F12" s="3">
        <v>14.78</v>
      </c>
      <c r="G12" s="5"/>
      <c r="H12" s="6"/>
    </row>
    <row r="13" spans="1:8" x14ac:dyDescent="0.3">
      <c r="A13" s="11" t="s">
        <v>1075</v>
      </c>
      <c r="B13" s="11"/>
      <c r="C13" s="11"/>
      <c r="D13" s="11"/>
      <c r="E13" s="3"/>
      <c r="F13" s="3">
        <v>16.73</v>
      </c>
      <c r="G13" s="5"/>
      <c r="H13" s="6"/>
    </row>
    <row r="14" spans="1:8" x14ac:dyDescent="0.3">
      <c r="A14" s="11" t="s">
        <v>1076</v>
      </c>
      <c r="B14" s="11"/>
      <c r="C14" s="11"/>
      <c r="D14" s="11"/>
      <c r="E14" s="3"/>
      <c r="F14" s="3">
        <v>28</v>
      </c>
      <c r="G14" s="5"/>
      <c r="H14" s="6"/>
    </row>
    <row r="15" spans="1:8" x14ac:dyDescent="0.3">
      <c r="A15" s="11"/>
      <c r="B15" s="11"/>
      <c r="C15" s="11"/>
      <c r="D15" s="11"/>
      <c r="E15" s="3"/>
      <c r="F15" s="3"/>
      <c r="G15" s="5"/>
      <c r="H15" s="6"/>
    </row>
    <row r="16" spans="1:8" x14ac:dyDescent="0.3">
      <c r="A16" s="11"/>
      <c r="B16" s="11"/>
      <c r="C16" s="11"/>
      <c r="D16" s="11"/>
      <c r="E16" s="3"/>
      <c r="F16" s="3"/>
      <c r="G16" s="5">
        <f>SUM(F3:F14)</f>
        <v>329.80999999999995</v>
      </c>
      <c r="H16" s="6"/>
    </row>
    <row r="17" spans="1:8" x14ac:dyDescent="0.3">
      <c r="A17" s="11" t="s">
        <v>1078</v>
      </c>
      <c r="B17" s="11"/>
      <c r="C17" s="11"/>
      <c r="D17" s="11"/>
      <c r="E17" s="3"/>
      <c r="F17" s="3"/>
      <c r="G17" s="5"/>
      <c r="H17" s="6"/>
    </row>
    <row r="18" spans="1:8" x14ac:dyDescent="0.3">
      <c r="A18" s="11" t="s">
        <v>1079</v>
      </c>
      <c r="B18" s="11"/>
      <c r="C18" s="11"/>
      <c r="D18" s="11"/>
      <c r="E18" s="3"/>
      <c r="F18" s="3">
        <v>124</v>
      </c>
      <c r="G18" s="5"/>
      <c r="H18" s="6"/>
    </row>
    <row r="19" spans="1:8" x14ac:dyDescent="0.3">
      <c r="A19" s="11" t="s">
        <v>1080</v>
      </c>
      <c r="B19" s="11"/>
      <c r="C19" s="11"/>
      <c r="D19" s="11"/>
      <c r="E19" s="3"/>
      <c r="F19" s="3">
        <v>31.81</v>
      </c>
      <c r="G19" s="5"/>
      <c r="H19" s="6"/>
    </row>
    <row r="20" spans="1:8" x14ac:dyDescent="0.3">
      <c r="A20" s="11" t="s">
        <v>1081</v>
      </c>
      <c r="B20" s="11"/>
      <c r="C20" s="11"/>
      <c r="D20" s="11"/>
      <c r="E20" s="3"/>
      <c r="F20" s="3">
        <v>27.91</v>
      </c>
      <c r="G20" s="5"/>
      <c r="H20" s="6"/>
    </row>
    <row r="21" spans="1:8" x14ac:dyDescent="0.3">
      <c r="A21" s="11"/>
      <c r="B21" s="11"/>
      <c r="C21" s="11"/>
      <c r="D21" s="11"/>
      <c r="E21" s="3"/>
      <c r="F21" s="3"/>
      <c r="G21" s="5">
        <f>SUM(F18:F20)</f>
        <v>183.72</v>
      </c>
      <c r="H21" s="6"/>
    </row>
    <row r="22" spans="1:8" x14ac:dyDescent="0.3">
      <c r="A22" s="11" t="s">
        <v>1082</v>
      </c>
      <c r="B22" s="11"/>
      <c r="C22" s="11"/>
      <c r="D22" s="11"/>
      <c r="E22" s="3"/>
      <c r="F22" s="3">
        <v>445.06</v>
      </c>
      <c r="G22" s="5">
        <v>445.06</v>
      </c>
      <c r="H22" s="6"/>
    </row>
    <row r="23" spans="1:8" x14ac:dyDescent="0.3">
      <c r="A23" s="11"/>
      <c r="B23" s="11"/>
      <c r="C23" s="11"/>
      <c r="D23" s="11"/>
      <c r="E23" s="3"/>
      <c r="F23" s="3" t="s">
        <v>1084</v>
      </c>
      <c r="G23" s="5"/>
      <c r="H23" s="6">
        <f>SUM(G16:G22)</f>
        <v>958.58999999999992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NutritionalData</vt:lpstr>
      <vt:lpstr>researchMeasures</vt:lpstr>
      <vt:lpstr>Sheet1</vt:lpstr>
      <vt:lpstr>dataDictionary</vt:lpstr>
      <vt:lpstr>vacationRedondo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Janis Corona</dc:creator>
  <cp:lastModifiedBy>Janis Corona</cp:lastModifiedBy>
  <dcterms:created xsi:type="dcterms:W3CDTF">2015-06-05T18:17:20Z</dcterms:created>
  <dcterms:modified xsi:type="dcterms:W3CDTF">2021-09-24T03:14:09Z</dcterms:modified>
</cp:coreProperties>
</file>