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1CEA8839-1856-43E5-A546-F6D10780C570}"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77" i="1" l="1"/>
  <c r="M277" i="1"/>
  <c r="L278" i="1"/>
  <c r="M278" i="1"/>
  <c r="L279" i="1"/>
  <c r="M279" i="1"/>
  <c r="L280" i="1"/>
  <c r="M280" i="1"/>
  <c r="L281" i="1"/>
  <c r="M281" i="1"/>
  <c r="L282" i="1"/>
  <c r="M282" i="1"/>
  <c r="L283" i="1"/>
  <c r="M283" i="1"/>
  <c r="AH282" i="1"/>
  <c r="AG282" i="1"/>
  <c r="AF282" i="1"/>
  <c r="AE282" i="1"/>
  <c r="AD282" i="1"/>
  <c r="AC282" i="1"/>
  <c r="AB282" i="1"/>
  <c r="C644" i="4"/>
  <c r="D644" i="4"/>
  <c r="E644" i="4"/>
  <c r="F644" i="4"/>
  <c r="G644" i="4"/>
  <c r="H644" i="4"/>
  <c r="B644" i="4"/>
  <c r="AN282" i="1"/>
  <c r="AH281" i="1"/>
  <c r="AG281" i="1"/>
  <c r="AF281" i="1"/>
  <c r="AL281" i="1" s="1"/>
  <c r="AE281" i="1"/>
  <c r="AK281" i="1" s="1"/>
  <c r="AD281" i="1"/>
  <c r="AJ281" i="1" s="1"/>
  <c r="AC281" i="1"/>
  <c r="AB281" i="1"/>
  <c r="AM281" i="1" s="1"/>
  <c r="AH280" i="1"/>
  <c r="AG280" i="1"/>
  <c r="AF280" i="1"/>
  <c r="AE280" i="1"/>
  <c r="AD280" i="1"/>
  <c r="AC280" i="1"/>
  <c r="AB280" i="1"/>
  <c r="AI280" i="1" s="1"/>
  <c r="AB279" i="1"/>
  <c r="AL279" i="1" s="1"/>
  <c r="AC279" i="1"/>
  <c r="AD279" i="1"/>
  <c r="AE279" i="1"/>
  <c r="AF279" i="1"/>
  <c r="AH279" i="1"/>
  <c r="AG279" i="1"/>
  <c r="AH278" i="1"/>
  <c r="AG278" i="1"/>
  <c r="AF278" i="1"/>
  <c r="AE278" i="1"/>
  <c r="AD278" i="1"/>
  <c r="AC278" i="1"/>
  <c r="AI278" i="1" s="1"/>
  <c r="AB278" i="1"/>
  <c r="AJ278" i="1" s="1"/>
  <c r="AH277" i="1"/>
  <c r="AG277" i="1"/>
  <c r="AF277" i="1"/>
  <c r="AE277" i="1"/>
  <c r="AD277" i="1"/>
  <c r="AC277" i="1"/>
  <c r="AB277" i="1"/>
  <c r="AJ277" i="1" s="1"/>
  <c r="AH276" i="1"/>
  <c r="AG276" i="1"/>
  <c r="AF276" i="1"/>
  <c r="AE276" i="1"/>
  <c r="AD276" i="1"/>
  <c r="AC276" i="1"/>
  <c r="AB276" i="1"/>
  <c r="H642" i="4"/>
  <c r="G642" i="4"/>
  <c r="F642" i="4"/>
  <c r="E642" i="4"/>
  <c r="D642" i="4"/>
  <c r="C642" i="4"/>
  <c r="B642" i="4"/>
  <c r="AI276" i="1"/>
  <c r="AJ276" i="1"/>
  <c r="AK276" i="1"/>
  <c r="AI277" i="1"/>
  <c r="AM278" i="1"/>
  <c r="AN278" i="1"/>
  <c r="AI279" i="1"/>
  <c r="AJ279" i="1"/>
  <c r="AK279" i="1"/>
  <c r="AM280" i="1"/>
  <c r="AN280" i="1"/>
  <c r="H637" i="4"/>
  <c r="G637" i="4"/>
  <c r="F637" i="4"/>
  <c r="E637" i="4"/>
  <c r="D637" i="4"/>
  <c r="C637" i="4"/>
  <c r="B637" i="4"/>
  <c r="H634" i="4"/>
  <c r="G634" i="4"/>
  <c r="F634" i="4"/>
  <c r="E634" i="4"/>
  <c r="D634" i="4"/>
  <c r="C634" i="4"/>
  <c r="B634" i="4"/>
  <c r="AH275" i="1"/>
  <c r="AG275" i="1"/>
  <c r="AF275" i="1"/>
  <c r="AE275" i="1"/>
  <c r="AD275" i="1"/>
  <c r="AJ275" i="1" s="1"/>
  <c r="AC275" i="1"/>
  <c r="AI275" i="1" s="1"/>
  <c r="AB275" i="1"/>
  <c r="M276" i="1" s="1"/>
  <c r="L276" i="1"/>
  <c r="AH274" i="1"/>
  <c r="AG274" i="1"/>
  <c r="AF274" i="1"/>
  <c r="AE274" i="1"/>
  <c r="AD274" i="1"/>
  <c r="AC274" i="1"/>
  <c r="AB274" i="1"/>
  <c r="AM274" i="1" s="1"/>
  <c r="AH273" i="1"/>
  <c r="AG273" i="1"/>
  <c r="AF273" i="1"/>
  <c r="AE273" i="1"/>
  <c r="AK273" i="1" s="1"/>
  <c r="AD273" i="1"/>
  <c r="AJ273" i="1" s="1"/>
  <c r="AC273" i="1"/>
  <c r="AB273" i="1"/>
  <c r="AL273" i="1" s="1"/>
  <c r="AH272" i="1"/>
  <c r="AG272" i="1"/>
  <c r="AF272" i="1"/>
  <c r="AE272" i="1"/>
  <c r="AD272" i="1"/>
  <c r="AC272" i="1"/>
  <c r="AB272" i="1"/>
  <c r="H629" i="4"/>
  <c r="G629" i="4"/>
  <c r="F629" i="4"/>
  <c r="E629" i="4"/>
  <c r="D629" i="4"/>
  <c r="C629" i="4"/>
  <c r="B629" i="4"/>
  <c r="AI273" i="1"/>
  <c r="AK274" i="1"/>
  <c r="AL274" i="1"/>
  <c r="L272" i="1"/>
  <c r="M272" i="1"/>
  <c r="L273" i="1"/>
  <c r="L274" i="1"/>
  <c r="L275" i="1"/>
  <c r="AH271" i="1"/>
  <c r="AN271" i="1" s="1"/>
  <c r="AG271" i="1"/>
  <c r="AF271" i="1"/>
  <c r="AE271" i="1"/>
  <c r="AD271" i="1"/>
  <c r="AJ271" i="1" s="1"/>
  <c r="AC271" i="1"/>
  <c r="AB271" i="1"/>
  <c r="AI271" i="1"/>
  <c r="AK271" i="1"/>
  <c r="AL271" i="1"/>
  <c r="AM271" i="1"/>
  <c r="L271" i="1"/>
  <c r="M271" i="1"/>
  <c r="AH270" i="1"/>
  <c r="AG270" i="1"/>
  <c r="AF270" i="1"/>
  <c r="AE270" i="1"/>
  <c r="AD270" i="1"/>
  <c r="AC270" i="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N268" i="1" s="1"/>
  <c r="AH267" i="1"/>
  <c r="AG267" i="1"/>
  <c r="AF267" i="1"/>
  <c r="AE267" i="1"/>
  <c r="AD267" i="1"/>
  <c r="AC267" i="1"/>
  <c r="AB267" i="1"/>
  <c r="M268" i="1" s="1"/>
  <c r="C624" i="4"/>
  <c r="D624" i="4"/>
  <c r="E624" i="4"/>
  <c r="F624" i="4"/>
  <c r="G624" i="4"/>
  <c r="H624" i="4"/>
  <c r="B624" i="4"/>
  <c r="L269" i="1"/>
  <c r="L270" i="1"/>
  <c r="M270" i="1"/>
  <c r="AJ269" i="1"/>
  <c r="AK269" i="1"/>
  <c r="AN269" i="1"/>
  <c r="AI270" i="1"/>
  <c r="AY268" i="1"/>
  <c r="BG268" i="1"/>
  <c r="L268" i="1"/>
  <c r="AH266" i="1"/>
  <c r="AG266" i="1"/>
  <c r="AF266" i="1"/>
  <c r="AE266" i="1"/>
  <c r="AD266" i="1"/>
  <c r="AC266" i="1"/>
  <c r="AB266" i="1"/>
  <c r="AI266" i="1" s="1"/>
  <c r="AH265" i="1"/>
  <c r="AG265" i="1"/>
  <c r="AF265" i="1"/>
  <c r="AE265" i="1"/>
  <c r="AD265" i="1"/>
  <c r="AC265" i="1"/>
  <c r="AB265" i="1"/>
  <c r="AK265" i="1" s="1"/>
  <c r="AL265" i="1"/>
  <c r="AN265" i="1"/>
  <c r="L266" i="1"/>
  <c r="M266" i="1"/>
  <c r="L267" i="1"/>
  <c r="L265" i="1"/>
  <c r="M265" i="1"/>
  <c r="AH264" i="1"/>
  <c r="AG264" i="1"/>
  <c r="AF264" i="1"/>
  <c r="AE264" i="1"/>
  <c r="AD264" i="1"/>
  <c r="AC264" i="1"/>
  <c r="AI264" i="1" s="1"/>
  <c r="AB264" i="1"/>
  <c r="AJ264" i="1"/>
  <c r="L264" i="1"/>
  <c r="M264" i="1"/>
  <c r="AI263" i="1"/>
  <c r="AJ263" i="1"/>
  <c r="AK263" i="1"/>
  <c r="AL263" i="1"/>
  <c r="AM263" i="1"/>
  <c r="AN263" i="1"/>
  <c r="AH263" i="1"/>
  <c r="AG263" i="1"/>
  <c r="AF263" i="1"/>
  <c r="AE263" i="1"/>
  <c r="AD263" i="1"/>
  <c r="AC263" i="1"/>
  <c r="AB263" i="1"/>
  <c r="AH262" i="1"/>
  <c r="AG262" i="1"/>
  <c r="AF262" i="1"/>
  <c r="AE262" i="1"/>
  <c r="AD262" i="1"/>
  <c r="AC262" i="1"/>
  <c r="AB262" i="1"/>
  <c r="L263" i="1"/>
  <c r="M263" i="1"/>
  <c r="C620" i="4"/>
  <c r="D620" i="4"/>
  <c r="E620" i="4"/>
  <c r="F620" i="4"/>
  <c r="G620" i="4"/>
  <c r="H620" i="4"/>
  <c r="B620" i="4"/>
  <c r="L262" i="1"/>
  <c r="M262" i="1"/>
  <c r="AH261" i="1"/>
  <c r="AG261" i="1"/>
  <c r="AF261" i="1"/>
  <c r="AE261" i="1"/>
  <c r="AD261" i="1"/>
  <c r="AC261" i="1"/>
  <c r="AB261" i="1"/>
  <c r="AH260" i="1"/>
  <c r="AG260" i="1"/>
  <c r="AI259" i="1"/>
  <c r="AI260" i="1"/>
  <c r="AE260" i="1"/>
  <c r="AK260" i="1" s="1"/>
  <c r="AD260" i="1"/>
  <c r="AC260" i="1"/>
  <c r="AB260" i="1"/>
  <c r="AH259" i="1"/>
  <c r="AG259" i="1"/>
  <c r="AF259" i="1"/>
  <c r="AL259" i="1" s="1"/>
  <c r="AE259" i="1"/>
  <c r="AD259" i="1"/>
  <c r="AJ259" i="1" s="1"/>
  <c r="AC259" i="1"/>
  <c r="AB259" i="1"/>
  <c r="AF260" i="1"/>
  <c r="AK259" i="1"/>
  <c r="AM259" i="1"/>
  <c r="AN259" i="1"/>
  <c r="L261" i="1"/>
  <c r="M261" i="1"/>
  <c r="L260" i="1"/>
  <c r="M260" i="1"/>
  <c r="L259" i="1"/>
  <c r="M259" i="1"/>
  <c r="AH256" i="1"/>
  <c r="AG256" i="1"/>
  <c r="AF256" i="1"/>
  <c r="AE256" i="1"/>
  <c r="AK256" i="1" s="1"/>
  <c r="AD256" i="1"/>
  <c r="AC256" i="1"/>
  <c r="AB256" i="1"/>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I282" i="1" l="1"/>
  <c r="AM282" i="1"/>
  <c r="AL282" i="1"/>
  <c r="AK282" i="1"/>
  <c r="AJ282" i="1"/>
  <c r="AI281" i="1"/>
  <c r="AN281" i="1"/>
  <c r="AL280" i="1"/>
  <c r="AK280" i="1"/>
  <c r="AJ280" i="1"/>
  <c r="AM279" i="1"/>
  <c r="AN279" i="1"/>
  <c r="AK278" i="1"/>
  <c r="AL278" i="1"/>
  <c r="AN277" i="1"/>
  <c r="AM277" i="1"/>
  <c r="AL277" i="1"/>
  <c r="AK277" i="1"/>
  <c r="AL276" i="1"/>
  <c r="AN276" i="1"/>
  <c r="AM276" i="1"/>
  <c r="AN275" i="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<sst xmlns="http://schemas.openxmlformats.org/spreadsheetml/2006/main" count="5418" uniqueCount="1440">
  <si>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</si>
  <si>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</si>
  <si>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</si>
  <si>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</si>
  <si>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</si>
  <si>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</si>
  <si>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</si>
  <si>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</si>
  <si>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</si>
  <si>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</si>
  <si>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</si>
  <si>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</si>
  <si>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</si>
  <si>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</si>
  <si>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</si>
  <si>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</si>
  <si>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</si>
  <si>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</si>
  <si>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</si>
  <si>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</si>
  <si>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</si>
  <si>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</si>
  <si>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</si>
  <si>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</si>
  <si>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</si>
  <si>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</si>
  <si>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</si>
  <si>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</si>
  <si>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</si>
  <si>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</si>
  <si>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</si>
  <si>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</si>
  <si>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</si>
  <si>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</si>
  <si>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</si>
  <si>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</si>
  <si>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</si>
  <si>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</si>
  <si>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</si>
  <si>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</si>
  <si>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</si>
  <si>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</si>
  <si>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</si>
  <si>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</si>
  <si>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</si>
  <si>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</si>
  <si>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</si>
  <si>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</si>
  <si>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</si>
  <si>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</si>
  <si>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</si>
  <si>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</si>
  <si>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</si>
  <si>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</si>
  <si>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</si>
  <si>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</si>
  <si>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</si>
  <si>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</si>
  <si>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</si>
  <si>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</si>
  <si>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</si>
  <si>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</si>
  <si>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</si>
  <si>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</si>
  <si>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</si>
  <si>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</si>
  <si>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</si>
  <si>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</si>
  <si>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</si>
  <si>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</si>
  <si>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</si>
  <si>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</si>
  <si>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</si>
  <si>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</si>
  <si>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</si>
  <si>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</si>
  <si>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</si>
  <si>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</si>
  <si>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</si>
  <si>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</si>
  <si>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</si>
  <si>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</si>
  <si>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</si>
  <si>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</si>
  <si>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</si>
  <si>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</si>
  <si>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</si>
  <si>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</si>
  <si>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</si>
  <si>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</si>
  <si>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</si>
  <si>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</si>
  <si>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</si>
  <si>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</si>
  <si>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</si>
  <si>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</si>
  <si>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</si>
  <si>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</si>
  <si>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</si>
  <si>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</si>
  <si>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</si>
  <si>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</si>
  <si>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</si>
  <si>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</si>
  <si>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</si>
  <si>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</si>
  <si>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</si>
  <si>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</si>
  <si>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</si>
  <si>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</si>
  <si>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</si>
  <si>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</si>
  <si>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</si>
  <si>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</si>
  <si>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</si>
  <si>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</si>
  <si>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</si>
  <si>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</si>
  <si>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</si>
  <si>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</si>
  <si>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</si>
  <si>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</si>
  <si>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</si>
  <si>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</si>
  <si>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</si>
  <si>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</si>
  <si>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</si>
  <si>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</si>
  <si>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</si>
  <si>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</si>
  <si>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</si>
  <si>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</si>
  <si>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</si>
  <si>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</si>
  <si>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</si>
  <si>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</si>
  <si>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</si>
  <si>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</si>
  <si>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</si>
  <si>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</si>
  <si>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</si>
  <si>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</si>
  <si>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</si>
  <si>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</si>
  <si>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</si>
  <si>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</si>
  <si>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</si>
  <si>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</si>
  <si>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</si>
  <si>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</si>
  <si>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</si>
  <si>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</si>
  <si>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</si>
  <si>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</si>
  <si>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</si>
  <si>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</si>
  <si>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</si>
  <si>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</si>
  <si>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</si>
  <si>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</si>
  <si>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</si>
  <si>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</si>
  <si>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</si>
  <si>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</si>
  <si>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</si>
  <si>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</si>
  <si>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</si>
  <si>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</si>
  <si>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</si>
  <si>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</si>
  <si>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</si>
  <si>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</si>
  <si>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</si>
  <si>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</si>
  <si>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</si>
  <si>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</si>
  <si>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</si>
  <si>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</si>
  <si>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</si>
  <si>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</si>
  <si>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</si>
  <si>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</si>
  <si>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</si>
  <si>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</si>
  <si>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</si>
  <si>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</si>
  <si>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</si>
  <si>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</si>
  <si>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</si>
  <si>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</si>
  <si>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</si>
  <si>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</si>
  <si>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</si>
  <si>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</si>
  <si>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</si>
  <si>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</si>
  <si>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</si>
  <si>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</si>
  <si>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</si>
  <si>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</si>
  <si>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</si>
  <si>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</si>
  <si>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</si>
  <si>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</si>
  <si>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</si>
  <si>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</si>
  <si>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</si>
  <si>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</si>
  <si>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</si>
  <si>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</si>
  <si>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</si>
  <si>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</si>
  <si>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</si>
  <si>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</si>
  <si>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</si>
  <si>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</si>
  <si>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</si>
  <si>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</si>
  <si>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</si>
  <si>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</si>
  <si>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</si>
  <si>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</si>
  <si>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</si>
  <si>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</si>
  <si>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</si>
  <si>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</si>
  <si>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</si>
  <si>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</si>
  <si>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</si>
  <si>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</si>
  <si>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</si>
  <si>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</si>
  <si>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</si>
  <si>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</si>
  <si>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</si>
  <si>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</si>
  <si>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</si>
  <si>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</si>
  <si>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</si>
  <si>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</si>
  <si>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</si>
  <si>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</si>
  <si>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</si>
  <si>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</si>
  <si>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</si>
  <si>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</si>
  <si>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</si>
  <si>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</si>
  <si>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</si>
  <si>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</si>
  <si>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</si>
  <si>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</si>
  <si>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</si>
  <si>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</si>
  <si>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</si>
  <si>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</si>
  <si>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</si>
  <si>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</si>
  <si>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</si>
  <si>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</si>
  <si>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</si>
  <si>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</si>
  <si>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</si>
  <si>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</si>
  <si>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</si>
  <si>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</si>
  <si>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</si>
  <si>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</si>
  <si>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</si>
  <si>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</si>
  <si>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</si>
  <si>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</si>
  <si>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</si>
  <si>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</si>
  <si>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</si>
  <si>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</si>
  <si>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</si>
  <si>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</si>
  <si>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</si>
  <si>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</si>
  <si>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</si>
  <si>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</si>
  <si>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</si>
  <si>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</si>
  <si>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</si>
  <si>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</si>
  <si>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</si>
  <si>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</si>
  <si>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</si>
  <si>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</si>
  <si>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</si>
  <si>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</si>
  <si>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</si>
  <si>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</si>
  <si>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</si>
  <si>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</si>
  <si>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</si>
  <si>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</si>
  <si>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</si>
  <si>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</si>
  <si>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</si>
  <si>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</si>
  <si>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</si>
  <si>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</si>
  <si>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</si>
  <si>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</si>
  <si>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</si>
  <si>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</si>
  <si>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</si>
  <si>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</si>
  <si>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</si>
  <si>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</si>
  <si>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</si>
  <si>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</si>
  <si>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</si>
  <si>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</si>
  <si>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</si>
  <si>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</si>
  <si>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</si>
  <si>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</si>
  <si>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</si>
  <si>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</si>
  <si>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</si>
  <si>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</si>
  <si>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</si>
  <si>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</si>
  <si>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</si>
  <si>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</si>
  <si>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</si>
  <si>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</si>
  <si>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</si>
  <si>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</si>
  <si>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</si>
  <si>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</si>
  <si>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</si>
  <si>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</si>
  <si>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</si>
  <si>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</si>
  <si>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</si>
  <si>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</si>
  <si>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</si>
  <si>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</si>
  <si>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</si>
  <si>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</si>
  <si>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</si>
  <si>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</si>
  <si>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</si>
  <si>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</si>
  <si>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</si>
  <si>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</si>
  <si>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</si>
  <si>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</si>
  <si>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</si>
  <si>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</si>
  <si>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</si>
  <si>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</si>
  <si>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</si>
  <si>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</si>
  <si>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</si>
  <si>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</si>
  <si>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</si>
  <si>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</si>
  <si>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</si>
  <si>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</si>
  <si>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</si>
  <si>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</si>
  <si>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</si>
  <si>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</si>
  <si>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</si>
  <si>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</si>
  <si>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</si>
  <si>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</si>
  <si>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</si>
  <si>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</si>
  <si>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</si>
  <si>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</si>
  <si>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</si>
  <si>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</si>
  <si>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</si>
  <si>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</si>
  <si>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</si>
  <si>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</si>
  <si>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</si>
  <si>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</si>
  <si>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</si>
  <si>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</si>
  <si>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</si>
  <si>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</si>
  <si>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</si>
  <si>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</si>
  <si>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</si>
  <si>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</si>
  <si>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</si>
  <si>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</si>
  <si>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</si>
  <si>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</si>
  <si>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</si>
  <si>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</si>
  <si>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</si>
  <si>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</si>
  <si>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</si>
  <si>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</si>
  <si>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</si>
  <si>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</si>
  <si>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</si>
  <si>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</si>
  <si>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</si>
  <si>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</si>
  <si>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</si>
  <si>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</si>
  <si>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</si>
  <si>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</si>
  <si>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</si>
  <si>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</si>
  <si>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</si>
  <si>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</si>
  <si>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</si>
  <si>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</si>
  <si>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</si>
  <si>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</si>
  <si>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</si>
  <si>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</si>
  <si>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</si>
  <si>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</si>
  <si>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</si>
  <si>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</si>
  <si>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</si>
  <si>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</si>
  <si>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</si>
  <si>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</si>
  <si>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</si>
  <si>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</si>
  <si>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</si>
  <si>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</si>
  <si>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</si>
  <si>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</si>
  <si>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</si>
  <si>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</si>
  <si>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</si>
  <si>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</si>
  <si>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</si>
  <si>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</si>
  <si>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</si>
  <si>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</si>
  <si>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</si>
  <si>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</si>
  <si>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</si>
  <si>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</si>
  <si>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</si>
  <si>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</si>
  <si>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</si>
  <si>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</si>
  <si>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</si>
  <si>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</si>
  <si>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</si>
  <si>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</si>
  <si>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</si>
  <si>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</si>
  <si>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</si>
  <si>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</si>
  <si>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</si>
  <si>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</si>
  <si>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</si>
  <si>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</si>
  <si>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</si>
  <si>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</si>
  <si>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</si>
  <si>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</si>
  <si>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</si>
  <si>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</si>
  <si>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</si>
  <si>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</si>
  <si>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</si>
  <si>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</si>
  <si>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</si>
  <si>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</si>
  <si>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</si>
  <si>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</si>
  <si>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</si>
  <si>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</si>
  <si>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</si>
  <si>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</si>
  <si>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</si>
  <si>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</si>
  <si>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</si>
  <si>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</si>
  <si>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</si>
  <si>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</si>
  <si>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</si>
  <si>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</si>
  <si>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</si>
  <si>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</si>
  <si>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</si>
  <si>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</si>
  <si>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</si>
  <si>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</si>
  <si>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</si>
  <si>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</si>
  <si>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</si>
  <si>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</si>
  <si>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</si>
  <si>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</si>
  <si>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</si>
  <si>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</si>
  <si>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</si>
  <si>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</si>
  <si>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</si>
  <si>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</si>
  <si>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</si>
  <si>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</si>
  <si>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</si>
  <si>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</si>
  <si>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</si>
  <si>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</si>
  <si>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</si>
  <si>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</si>
  <si>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</si>
  <si>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</si>
  <si>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</si>
  <si>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</si>
  <si>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</si>
  <si>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</si>
  <si>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</si>
  <si>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</si>
  <si>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</si>
  <si>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</si>
  <si>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</si>
  <si>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</si>
  <si>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</si>
  <si>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</si>
  <si>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</si>
  <si>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</si>
  <si>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</si>
  <si>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</si>
  <si>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</si>
  <si>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</si>
  <si>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</si>
  <si>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</si>
  <si>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</si>
  <si>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</si>
  <si>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</si>
  <si>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</si>
  <si>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</si>
  <si>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</si>
  <si>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</si>
  <si>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</si>
  <si>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</si>
  <si>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</si>
  <si>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</si>
  <si>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</si>
  <si>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</si>
  <si>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</si>
  <si>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</si>
  <si>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</si>
  <si>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</si>
  <si>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</si>
  <si>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</si>
  <si>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</si>
  <si>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</si>
  <si>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</si>
  <si>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</si>
  <si>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</si>
  <si>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</si>
  <si>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</si>
  <si>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</si>
  <si>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</si>
  <si>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</si>
  <si>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</si>
  <si>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</si>
  <si>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</si>
  <si>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</si>
  <si>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</si>
  <si>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</si>
  <si>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</si>
  <si>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</si>
  <si>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</si>
  <si>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</si>
  <si>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</si>
  <si>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</si>
  <si>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</si>
  <si>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</si>
  <si>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</si>
  <si>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</si>
  <si>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</si>
  <si>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</si>
  <si>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</si>
  <si>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</si>
  <si>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</si>
  <si>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</si>
  <si>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</si>
  <si>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</si>
  <si>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</si>
  <si>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</si>
  <si>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</si>
  <si>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</si>
  <si>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</si>
  <si>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</si>
  <si>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</si>
  <si>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</si>
  <si>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</si>
  <si>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</si>
  <si>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</si>
  <si>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</si>
  <si>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</si>
  <si>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</si>
  <si>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</si>
  <si>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</si>
  <si>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</si>
  <si>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</si>
  <si>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</si>
  <si>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</si>
  <si>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</si>
  <si>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</si>
  <si>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</si>
  <si>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</si>
  <si>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</si>
  <si>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</si>
  <si>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</si>
  <si>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</si>
  <si>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</si>
  <si>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</si>
  <si>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</si>
  <si>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</si>
  <si>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</si>
  <si>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</si>
  <si>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</si>
  <si>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</si>
  <si>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</si>
  <si>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</si>
  <si>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</si>
  <si>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</si>
  <si>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</si>
  <si>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</si>
  <si>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</si>
  <si>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</si>
  <si>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</si>
  <si>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</si>
  <si>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</si>
  <si>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</si>
  <si>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</si>
  <si>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</si>
  <si>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</si>
  <si>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</si>
  <si>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</si>
  <si>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</si>
  <si>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</si>
  <si>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</si>
  <si>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</si>
  <si>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</si>
  <si>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</si>
  <si>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</si>
  <si>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</si>
  <si>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</si>
  <si>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</si>
  <si>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</si>
  <si>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</si>
  <si>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</si>
  <si>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</si>
  <si>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</si>
  <si>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</si>
  <si>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</si>
  <si>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</si>
  <si>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</si>
  <si>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</si>
  <si>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</si>
  <si>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</si>
  <si>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</si>
  <si>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</si>
  <si>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</si>
  <si>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</si>
  <si>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</si>
  <si>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</si>
  <si>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</si>
  <si>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</si>
  <si>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</si>
  <si>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</si>
  <si>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</si>
  <si>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</si>
  <si>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</si>
  <si>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</si>
  <si>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</si>
  <si>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</si>
  <si>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</si>
  <si>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</si>
  <si>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</si>
  <si>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</si>
  <si>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</si>
  <si>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</si>
  <si>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</si>
  <si>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</si>
  <si>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</si>
  <si>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</si>
  <si>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</si>
  <si>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</si>
  <si>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</si>
  <si>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</si>
  <si>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</si>
  <si>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</si>
  <si>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</si>
  <si>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</si>
  <si>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</si>
  <si>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</si>
  <si>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</si>
  <si>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</si>
  <si>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</si>
  <si>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</si>
  <si>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</si>
  <si>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</si>
  <si>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</si>
  <si>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</si>
  <si>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</si>
  <si>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</si>
  <si>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</si>
  <si>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</si>
  <si>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</si>
  <si>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</si>
  <si>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</si>
  <si>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</si>
  <si>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</si>
  <si>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</si>
  <si>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</si>
  <si>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</si>
  <si>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</si>
  <si>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</si>
  <si>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</si>
  <si>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</si>
  <si>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</si>
  <si>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</si>
  <si>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</si>
  <si>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</si>
  <si>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</si>
  <si>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</si>
  <si>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</si>
  <si>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</si>
  <si>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</si>
  <si>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</si>
  <si>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</si>
  <si>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</si>
  <si>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</si>
  <si>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</si>
  <si>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</si>
  <si>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</si>
  <si>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</si>
  <si>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</si>
  <si>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</si>
  <si>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</si>
  <si>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</si>
  <si>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</si>
  <si>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</si>
  <si>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</si>
  <si>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</si>
  <si>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</si>
  <si>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</si>
  <si>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</si>
  <si>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</si>
  <si>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</si>
  <si>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</si>
  <si>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</si>
  <si>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</si>
  <si>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</si>
  <si>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</si>
  <si>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</si>
  <si>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</si>
  <si>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</si>
  <si>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</si>
  <si>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</si>
  <si>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</si>
  <si>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</si>
  <si>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</si>
  <si>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</si>
  <si>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</si>
  <si>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</si>
  <si>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</si>
  <si>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</si>
  <si>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</si>
  <si>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</si>
  <si>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</si>
  <si>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</si>
  <si>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</si>
  <si>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</si>
  <si>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</si>
  <si>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</si>
  <si>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</si>
  <si>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</si>
  <si>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</si>
  <si>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</si>
  <si>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</si>
  <si>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</si>
  <si>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</si>
  <si>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</si>
  <si>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</si>
  <si>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</si>
  <si>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</si>
  <si>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</si>
  <si>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</si>
  <si>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</si>
  <si>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</si>
  <si>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</si>
  <si>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</si>
  <si>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</si>
  <si>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</si>
  <si>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</si>
  <si>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</si>
  <si>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</si>
  <si>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</si>
  <si>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</si>
  <si>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</si>
  <si>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</si>
  <si>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</si>
  <si>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</si>
  <si>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</si>
  <si>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</si>
  <si>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</si>
  <si>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</si>
  <si>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</si>
  <si>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</si>
  <si>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</si>
  <si>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</si>
  <si>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</si>
  <si>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</si>
  <si>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</si>
  <si>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</si>
  <si>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</si>
  <si>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</si>
  <si>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</si>
  <si>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</si>
  <si>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</si>
  <si>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</si>
  <si>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</si>
  <si>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</si>
  <si>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</si>
  <si>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</si>
  <si>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</si>
  <si>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</si>
  <si>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</si>
  <si>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</si>
  <si>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</si>
  <si>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</si>
  <si>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</si>
  <si>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</si>
  <si>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</si>
  <si>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</si>
  <si>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</si>
  <si>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</si>
  <si>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</si>
  <si>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</si>
  <si>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</si>
  <si>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</si>
  <si>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</si>
  <si>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</si>
  <si>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</si>
  <si>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</si>
  <si>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</si>
  <si>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</si>
  <si>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</si>
  <si>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</si>
  <si>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</si>
  <si>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</si>
  <si>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</si>
  <si>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</si>
  <si>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</si>
  <si>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</si>
  <si>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</si>
  <si>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</si>
  <si>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</si>
  <si>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</si>
  <si>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</si>
  <si>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</si>
  <si>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</si>
  <si>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</si>
  <si>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</si>
  <si>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</si>
  <si>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</si>
  <si>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</si>
  <si>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</si>
  <si>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</si>
  <si>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</si>
  <si>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</si>
  <si>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</si>
  <si>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</si>
  <si>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</si>
  <si>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</si>
  <si>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</si>
  <si>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</si>
  <si>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</si>
  <si>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</si>
  <si>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</si>
  <si>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</si>
  <si>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</si>
  <si>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</si>
  <si>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</si>
  <si>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</si>
  <si>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</si>
  <si>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</si>
  <si>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</si>
  <si>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</si>
  <si>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</si>
  <si>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</si>
  <si>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</si>
  <si>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</si>
  <si>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</si>
  <si>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</si>
  <si>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</si>
  <si>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</si>
  <si>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</si>
  <si>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</si>
  <si>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</si>
  <si>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</si>
  <si>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</si>
  <si>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</si>
  <si>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</si>
  <si>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</si>
  <si>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</si>
  <si>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</si>
  <si>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</si>
  <si>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</si>
  <si>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</si>
  <si>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</si>
  <si>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</si>
  <si>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</si>
  <si>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</si>
  <si>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</si>
  <si>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</si>
  <si>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</si>
  <si>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</si>
  <si>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</si>
  <si>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</si>
  <si>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</si>
  <si>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</si>
  <si>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</si>
  <si>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</si>
  <si>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</si>
  <si>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</si>
  <si>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</si>
  <si>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</si>
  <si>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</si>
  <si>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</si>
  <si>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</si>
  <si>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</si>
  <si>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</si>
  <si>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</si>
  <si>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</si>
  <si>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</si>
  <si>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</si>
  <si>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</si>
  <si>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</si>
  <si>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</si>
  <si>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</si>
  <si>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</si>
  <si>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</si>
  <si>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</si>
  <si>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</si>
  <si>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</si>
  <si>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</si>
  <si>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</si>
  <si>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</si>
  <si>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</si>
  <si>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</si>
  <si>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</si>
  <si>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</si>
  <si>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</si>
  <si>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</si>
  <si>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</si>
  <si>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</si>
  <si>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</si>
  <si>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</si>
  <si>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</si>
  <si>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</si>
  <si>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</si>
  <si>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</si>
  <si>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</si>
  <si>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</si>
  <si>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</si>
  <si>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</si>
  <si>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</si>
  <si>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</si>
  <si>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</si>
  <si>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</si>
  <si>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</si>
  <si>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</si>
  <si>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</si>
  <si>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</si>
  <si>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</si>
  <si>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</si>
  <si>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</si>
  <si>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</si>
  <si>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</si>
  <si>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</si>
  <si>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</si>
  <si>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</si>
  <si>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</si>
  <si>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</si>
  <si>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</si>
  <si>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</si>
  <si>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</si>
  <si>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</si>
  <si>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</si>
  <si>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</si>
  <si>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</si>
  <si>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</si>
  <si>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</si>
  <si>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</si>
  <si>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</si>
  <si>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</si>
  <si>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</si>
  <si>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</si>
  <si>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</si>
  <si>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</si>
  <si>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</si>
  <si>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</si>
  <si>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</si>
  <si>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</si>
  <si>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</si>
  <si>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</si>
  <si>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</si>
  <si>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</si>
  <si>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</si>
  <si>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</si>
  <si>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</si>
  <si>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</si>
  <si>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</si>
  <si>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</si>
  <si>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</si>
  <si>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</si>
  <si>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</si>
  <si>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</si>
  <si>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</si>
  <si>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</si>
  <si>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</si>
  <si>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</si>
  <si>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</si>
  <si>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</si>
  <si>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</si>
  <si>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</si>
  <si>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</si>
  <si>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</si>
  <si>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</si>
  <si>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</si>
  <si>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</si>
  <si>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</si>
  <si>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</si>
  <si>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</si>
  <si>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</si>
  <si>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</si>
  <si>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</si>
  <si>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</si>
  <si>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</si>
  <si>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</si>
  <si>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</si>
  <si>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</si>
  <si>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</si>
  <si>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</si>
  <si>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</si>
  <si>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</si>
  <si>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</si>
  <si>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</si>
  <si>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</si>
  <si>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</si>
  <si>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</si>
  <si>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</si>
  <si>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</si>
  <si>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</si>
  <si>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</si>
  <si>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</si>
  <si>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</si>
  <si>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</si>
  <si>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</si>
  <si>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</si>
  <si>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</si>
  <si>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</si>
  <si>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</si>
  <si>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</si>
  <si>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</si>
  <si>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</si>
  <si>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</si>
  <si>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</si>
  <si>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</si>
  <si>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</si>
  <si>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</si>
  <si>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</si>
  <si>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</si>
  <si>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</si>
  <si>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</si>
  <si>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</si>
  <si>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</si>
  <si>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</si>
  <si>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</si>
  <si>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</si>
  <si>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</si>
  <si>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</si>
  <si>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</si>
  <si>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</si>
  <si>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</si>
  <si>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</si>
  <si>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</si>
  <si>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</si>
  <si>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</si>
  <si>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</si>
  <si>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</si>
  <si>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</si>
  <si>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</si>
  <si>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</si>
  <si>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</si>
  <si>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</si>
  <si>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</si>
  <si>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</si>
  <si>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</si>
  <si>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</si>
  <si>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</si>
  <si>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</si>
  <si>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</si>
  <si>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</si>
  <si>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</si>
  <si>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</si>
  <si>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</si>
  <si>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</si>
  <si>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</si>
  <si>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</si>
  <si>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</si>
  <si>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</si>
  <si>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</si>
  <si>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</si>
  <si>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</si>
  <si>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</si>
  <si>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</si>
  <si>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</si>
  <si>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</si>
  <si>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</si>
  <si>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</si>
  <si>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</si>
  <si>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</si>
  <si>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</si>
  <si>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</si>
  <si>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</si>
  <si>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</si>
  <si>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</si>
  <si>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</si>
  <si>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</si>
  <si>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</si>
  <si>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</si>
  <si>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</si>
  <si>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</si>
  <si>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</si>
  <si>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</si>
  <si>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</si>
  <si>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</si>
  <si>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</si>
  <si>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</si>
  <si>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</si>
  <si>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</si>
  <si>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</si>
  <si>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</si>
  <si>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</si>
  <si>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</si>
  <si>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</si>
  <si>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</si>
  <si>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</si>
  <si>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</si>
  <si>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</si>
  <si>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</si>
  <si>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</si>
  <si>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</si>
  <si>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</si>
  <si>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</si>
  <si>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</si>
  <si>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</si>
  <si>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</si>
  <si>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</si>
  <si>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</si>
  <si>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</si>
  <si>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</si>
  <si>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</si>
  <si>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</si>
  <si>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</si>
  <si>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</si>
  <si>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</si>
  <si>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</si>
  <si>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</si>
  <si>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</si>
  <si>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</si>
  <si>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</si>
  <si>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</si>
  <si>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</si>
  <si>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</si>
  <si>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</si>
  <si>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</si>
  <si>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</si>
  <si>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</si>
  <si>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</si>
  <si>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</si>
  <si>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</si>
  <si>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</si>
  <si>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</si>
  <si>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</si>
  <si>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</si>
  <si>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</si>
  <si>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</si>
  <si>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</si>
  <si>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</si>
  <si>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</si>
  <si>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</si>
  <si>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</si>
  <si>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</si>
  <si>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</si>
  <si>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</si>
  <si>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</si>
  <si>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</si>
  <si>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</si>
  <si>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</si>
  <si>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</si>
  <si>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</si>
  <si>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</si>
  <si>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</si>
  <si>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</si>
  <si>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</si>
  <si>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</si>
  <si>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</si>
  <si>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</si>
  <si>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</si>
  <si>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</si>
  <si>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</si>
  <si>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</si>
  <si>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</si>
  <si>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</si>
  <si>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</si>
  <si>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</si>
  <si>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</si>
  <si>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</si>
  <si>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</si>
  <si>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</si>
  <si>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</si>
  <si>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</si>
  <si>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</si>
  <si>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</si>
  <si>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</si>
  <si>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</si>
  <si>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</si>
  <si>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</si>
  <si>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</si>
  <si>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</si>
  <si>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</si>
  <si>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</si>
  <si>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</si>
  <si>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</si>
  <si>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</si>
  <si>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</si>
  <si>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</si>
  <si>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</si>
  <si>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</si>
  <si>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</si>
  <si>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</si>
  <si>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</si>
  <si>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</si>
  <si>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</si>
  <si>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</si>
  <si>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</si>
  <si>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</si>
  <si>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</si>
  <si>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</si>
  <si>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</si>
  <si>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</si>
  <si>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</si>
  <si>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</si>
  <si>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</si>
  <si>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</si>
  <si>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</si>
  <si>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</si>
  <si>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</si>
  <si>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</si>
  <si>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</si>
  <si>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</si>
  <si>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</si>
  <si>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</si>
  <si>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</si>
  <si>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</si>
  <si>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</si>
  <si>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</si>
  <si>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</si>
  <si>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</si>
  <si>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</si>
  <si>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</si>
  <si>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</si>
  <si>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</si>
  <si>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</si>
  <si>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</si>
  <si>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</si>
  <si>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</si>
  <si>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</si>
  <si>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</si>
  <si>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</si>
  <si>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</si>
  <si>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</si>
  <si>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</si>
  <si>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</si>
  <si>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</si>
  <si>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</si>
  <si>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</si>
  <si>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</si>
  <si>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</si>
  <si>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</si>
  <si>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</si>
  <si>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</si>
  <si>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</si>
  <si>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</si>
  <si>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</si>
  <si>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</si>
  <si>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</si>
  <si>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</si>
  <si>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</si>
  <si>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</si>
  <si>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</si>
  <si>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</si>
  <si>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</si>
  <si>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</si>
  <si>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</si>
  <si>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</si>
  <si>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</si>
  <si>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</si>
  <si>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</si>
  <si>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</si>
  <si>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</si>
  <si>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</si>
  <si>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</si>
  <si>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</si>
  <si>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</si>
  <si>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</si>
  <si>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</si>
  <si>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</si>
  <si>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</si>
  <si>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</si>
  <si>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</si>
  <si>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</si>
  <si>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</si>
  <si>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</si>
  <si>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</si>
  <si>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</si>
  <si>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</si>
  <si>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</si>
  <si>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</si>
  <si>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</si>
  <si>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</si>
  <si>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</si>
  <si>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</si>
  <si>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</si>
  <si>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</si>
  <si>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</si>
  <si>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</si>
  <si>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</si>
  <si>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</si>
  <si>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</si>
  <si>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</si>
  <si>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</si>
  <si>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</si>
  <si>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</si>
  <si>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</si>
  <si>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</si>
  <si>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</si>
  <si>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</si>
  <si>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</si>
  <si>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</si>
  <si>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</si>
  <si>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</si>
  <si>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</si>
  <si>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</si>
  <si>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</si>
  <si>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</si>
  <si>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</si>
  <si>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</si>
  <si>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</si>
  <si>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</si>
  <si>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</si>
  <si>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</si>
  <si>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</si>
  <si>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</si>
  <si>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</si>
  <si>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</si>
  <si>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</si>
  <si>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</si>
  <si>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</si>
  <si>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</si>
  <si>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</si>
  <si>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</si>
  <si>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</si>
  <si>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</si>
  <si>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</si>
  <si>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</si>
  <si>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</si>
  <si>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</si>
  <si>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</si>
  <si>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</si>
  <si>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</si>
  <si>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</si>
  <si>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</si>
  <si>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</si>
  <si>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</si>
  <si>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</si>
  <si>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</si>
  <si>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</si>
  <si>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</si>
  <si>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</si>
  <si>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</si>
  <si>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</si>
  <si>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</si>
  <si>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</si>
  <si>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</si>
  <si>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</si>
  <si>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</si>
  <si>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pistachios from Ralphs, serving is 1/2 cup with shells or 8 g w/o shells, </t>
  </si>
  <si>
    <t>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Didn't workout and stayed at home working on Kahoots for CTAP and it was on epithelium tissue from 2 weeks ago mostly. There wasn't any information that I saw next to the Kahoots and I thought it was on this week's material. I didn't know what it was on. You can only take it once, but I took it again as JC and took the screen shots. I didn't do well at all. The team leaders were the ones who logged in like they announced on discord and got them all about the same answered correctly. I missed quite a bit, a little less than half of the quesions. They showed the images from the slides that we just spin through after spending about a good 30 seconds at the most on as he talks super fast and runs through information on each slide faster than you can draw in notes that he draws on the slide. When I am in a course like that I would rather just watch prerecorded videos to pause and write the notes and thats most likely why I do really well in the GA1 course. FABS1 I am doing pretty good too, but he spends time on each slide and allows us to write down anything he draws or jots on each slide and ask questions before moving on. Still have a draw it to know it. For early dinner before work had the other half of the Red Barron's cheese pizza and a 6th cup of coffee I had with the pizza after my nap and before the kahoots quiz for attendance. The decaf was coffee was actually on the way to work. Went to work and had a full schedule then got home and had a regular cup of white whine of the korbel champagne over ice. Was dehydrated at work and had a bottle of water after work. Was talking so much in last session wtih a regular my throat got itchy and I had to cough but I was wearing my face mask all day. So coughed in my mask. While finishing my wine and watching the latest Hulu flick of Only Murderers in the Building I had an everything bagel with cream cheese. Afterwards had 1/2 cup pistachios before bed at 11 pm.</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</si>
  <si>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1/2 Red Baron Cheese pizza
(640	28	14	26	68	4	1420)
everything bagel
(260	5	0.5	13	44	5	350)
2 servings cream cheese
(100	8	5	2	4	0	170)
1/2 cup pistachiios
(160.00	13.00	1.50	6.00	8.00	3.00	135.00)
=526+260+260+80+0+0+640+300+640+260+100+160
=23+18+5+5+0+0+28+18+28+5+8+13
=0+5+1+4+0+0+14+10+14+1+5+2
=0+20+13+6+0+0+26+6+26+13+2+6
=75+5+44+1+0+0+68+34+68+44+4+8
=0+2+5+0+0+0+4+2+4+5+0+3
=225+350+350+190+55+156+1420+100+1420+350+170+135
</t>
  </si>
  <si>
    <t>Woke up at 5 am but got out of bed when alarm went off at 530 am, the roommate was getting back from work at 5 am. Had a cup of coffee made my lunch for work a long day. No creamer used in 1st 3 cups coffee. Measurements taken after 2 cups coffee and before breakfast and before a BM. I had a generic Stater Bros Everything Bagel with 2-4 tbs cream cheese. Packed a grilled cheese of 2 american slices cheese and a generic everything bagel to go. The cheese from the roommate's. Had 2 serving Lays potato chips, and 1.5 servings or cups pistachios with the lunch bagel grilled cheese. Had a 4th and 5th cup regular coffee and cup decaf all with peppermint coffee mate creamer about 8 tbs, at home had a quesadilla with 1/2 cup mozz cheese and made with Target brand tortillas. Also had 2 servings the champagne, last of it while completing the merging of the group contributions to FABS project 1 but didn't get David's 1-3 layers of back muscles. Due Monday. But have quizzes and midterm to study for. I was relaxing by 815 pm after doing dishes and feeding outdoor cats. Looking over the midterm material but need to study for the skeletal muscles and back muscles for FABS quiz Monday morning and CTAP quiz Mon afternoon, and midterm GA1 Tue then fly to Moms funeral. Stopped by Dad to let him know where to send flowers and how she died without a fighting chance and that I wouldn't go to a hospital and suggest he doesn't either as they set them up to die and that he get vaccinated. He said everything was good with his tax return too. So that's good. I texted him the address of church for Mom's funeral. He looked somewhat depressed and like I just woke him up. Cody is with him being his bloodhound door alarm sound. He's a cute dog. The 2nd bloodhound that didn't seem quite all there that Dad has had since I've known him. Maybe bloodhounds aren't that all there or appear to be lacking in intelligence. He seems like a sweetheart dog nonetheless. For dinner later after completing collaborating all the group files to one except David's, and starting the DITKI musculoskeletal histology, had a quesadilla with 1/2 cup mozz inside and outside. Went to bed around 1015 pm</t>
  </si>
  <si>
    <t xml:space="preserve">Woke up at 530 am, had a cup coffee no creamer, then a 2nd with creamer, a sm BM, then took measurments and had an everything bagel with creamcheese and my 3 multivitamin gummies. Did the normal routine of Growly's meds and feeding the babies and kitten outside. It is starting to use the cat house as roommate put it onback porch and I removed or displaced the plastic on door to the side. Completed FABS group assignment additions and emailed to group members to revise if they see something needing to be fixed. 3rd cup coffee with creamer by 730 am, at work during day and on way home after work had 2 more reg coffees and a decaf all with creamer, 1/2 serving pistachios, 2 serv lays chips, 1 double salmon poke bowl normal way withbrown rice, ponzu, cream cheese wasabi cucumbers ginger sesame seeds. then a serving patron once home from roommate's stash I replaced a month ago. An impossible burger patty on everything bagel pickles and mustard and amercan cheese. swollen ankles by late day, shaveed in am and skin itched at night by 6 pm 6th cup coffee w creamer. probably got about 7 hours sleep bc went to bed around 1030 pm the other night. </t>
  </si>
  <si>
    <t xml:space="preserve">Woke up at 5 am by alarm, last night went to bed around 10 pm. Did normal routine of pets, meds, coffee. Got about 7 hours sleep. No compression socks worn today just a waist trimmer for online classes for quizzes in FABS1 and CTAP. Lg BM after 2nd coffee. Sm BM after 4th cup coffee, 730 am was everything bagel with 4 tbs cream cheese, all coffees had creamer. indigestion today, stressed. midterm week studying for GA1 midterms in lab and LE and quizzes in FABS and CTAP and going to chicago tue and wed returning. 3rd sm BM 1 hr before FABS at 10 am for quiz to start lab. measurements taken at 9am an hour before FABS. 5 cups coffee by 1145 am. lunch at 920 am was impossible patty on evry bagel with 1/4 mozz and 2tbs mustard, total of 15 creamers in all coffees by 12 pm. 3 cups of decaf coffee and 5 cups reg coffee total and 1 bottle dry champagne by end of day. With 21 tbs creamer total in all. Had a quesadilla with 2 flour tortillas G&amp;G brand and 2 slices american cheese, 3/4 shrimp asparu penne bertolli brand and 1/4 cup mozz later in day. </t>
  </si>
  <si>
    <t>white wine bottle dry wine</t>
  </si>
  <si>
    <t xml:space="preserve">Woke up at 4 am by alarm to study for Lab in GA1 midterm at 10 am. Went to be bw 945-10pm about 6 hours sleep. Normal routine of pets, meds, coffee. 4 cups coffee by 730 am , 3 with creamer about 3 tbs each like each cup is. 2 sm pizza only 3/4 eaten burnt cheese used  5 slices border brand colby jack cheese. no waist trimmer today bc travelling by plane, by 9 am had 5th cup coffee and 1 decaf, total of 12 tbs creamer. A lg BM at 530 am after 2nd cup coffee, a 2nd one at around 7 am was tiny, and a 3rd BM by 915 am also sm. Measurements taken after all BMs and breakfast earlier. Went to chicago, didn't bring scale bc coming back tomorrow night after funeral. Didn't get much sleep, got there at 1245 am, big ordeal in Phoenix with plane a mile from gate to take off and the 30 minutes leeway was cut into by 20 minutes due to American not being able to park in gate for 20 minutes. Good thing was able to get on the plane to Chicago, it landed earlier by 40 min than expected. Becky's uncle Jim Dave's brother one of them picked me up, nice guy we went to their other brother, uncle Pete. I knew him also a good guy brother of Dave's they live nicely, well off. He used to stay with Mom and Dave back when I stayed with them a year as a sophomore in HS. Didn't get to sleep until 4 am approx, chatting with Becky. Then woke up at 730 am. Was able to have coffee, had a dunkin donuts bottled one from airport in bag the next day. This day had a same bottle from airport I forgot my instant coffee and had to spend $5 per coffee and got some cheetos 3 serv/bag, got 2 bags. Ate one rest of day as most of it at airport, but got good study time done. However, forgot about preclass quiz in GA1 and forgot another one of those. Did well on midterm at 84-87% approx that was taken earlier in morning. Before leaving for Chicago in airport finished my 6th cup of kpod coffee with creamer and parked in economy lot of $16/day instead of $21/day slightly further but still walking distance. Had the last of Lays chips in van, and at home also had an ev bagel with cream cheese there was a part hard stale scraped off bc smart and final brand on sale. quality terrible. The dunkin coffee was the 7th of day and final coffee of day. </t>
  </si>
  <si>
    <t xml:space="preserve">Woke up at 4 am by alarm and went to bed at 11 pm last night, about 5 hours sleep, felt exhausted, about as exhausted as yesterday but had coffee and was able to study for GA1 LE midterm and take exam but felt sick like indigestion and then had a quiz later in my FABS1 course. Did well on both. about 87% in midterm and 7/8 on quiz in FABS. I forgot all day to take measurements and didn't take any measurements. Realized by next day. Not going to estimate it, this will just be a missing information entry. Had a couple naps. one at 510-530 am for 20 minutes, then studied some more, feeling anxious, this one seems more difficult. Also the hard drive on security cameras isn't working and not recording and I took it apart and put in a 3v battery and it still isn't being recognized. Need a new one. Had some garlic bread in oven from smart &amp; final probably , called joseph campione french garlic bread Hearth baked garlic mini loaf. it was alright. Started my rag, lt not spotty again. Noticed it in pm around 6pm. Drank more water earlier to help with dehydration. No waist trimmer or compression socks worn today. had the entire garlic bread by afternoon, an everything bagel with cream cheese, had 4 cups coffee and 3 with creamer, then a decaf and it had creamer. Then a sm BM that was dehydrated. Had 1/2 bag shrimp scampi noodles, after another afternoon nap at 1140 am -12 pm for 20 minutes started making a CP1 procedures db and notes in it with readings but not feeling great about it and not the type to spend too much time studying if it won't help and lack of sleep is not going to make my recall from memory great either. Had to go bring the roommate his keys bc he locked his inhis car on accident then went to Aldi to get paper towels as we were out and a bottle of argentina red wine and 2 pkgs aldi colby jack cheese. Drank entire bottle by end of day but felt much better and studied and made mydb and watched season finale of only murderes in the bldg. Went to bed around 830 pm and got up at 10 pm but out of bed at 1030 am thinking it was 4 am, so got out of bed to study, until 2 am, went back to bed and got up at 4 am only to be exhausted and go back to sleep and noticed rag was more light. </t>
  </si>
  <si>
    <t>red wine</t>
  </si>
  <si>
    <t>Woke up in Bolingbrooke IL (weather temperature is this city not Corona) for Mom's funeral flew in last night and got to bed at uncle pete's house with becky and uncle jim and kelly wife of pete. Bed time last night was 4 am woke up by phone call from Brooke on their arrival and how dunkin donuts was a waste of money and gross for their brkfst. Mo got sick at the funeral church services later from it. woke up at 730 am. got out of bed washed face with makeup on and brushed teeth and put on dress for funeral I got at Macy's a few weeks ago. and my makeup and brushed hair, had the remaining cheetos from airport for breakfast and the dunkin bottled coffee before going downstairs to chat with those awake like becky. had 2 of their keurig coffees for 3 total none with creamer other than dunkin in bottle as is. funeral services, didn't eat breakfsst new wouldn't have a BM that happens when in unfamiliar territory and stressed and traveling and rooming with others unless sick. Not sick. haven't been drinking water due to not wanting to get up to pee all the time on plane or any restroom. Not good for body to be dehydrated, felt it later at airport. I still looked pregnant with waist trimmer and the aunties thought I was blessed with child. I took waist trimmer off when at airport. uncle jim dropped me off after the outdoor burial services. the casket was closed whole time. we put flowers on the casket as it went into the Earth. Dad's flowers and my clients were there and all beautiful, took some with me and some of beckys family friends flowers they got Mom. It was a small funeral and I think they wanted it that way. at the church my sister becky never met my dad but never liked him for their previous marriage and the way mom still had bad feelings for him and how he snatched us from her unexpectedly taking us as tiny kids to our grandparents and her knowing she wouldn't be seeing us from the sick gut feeling she had. He was a terrible husband to her, for doing that and he never did know how to raise kids. I love him bc he is my dad and learned over time the hurt he caused her but never tried to make up for it and mom carried that with her. He got her flowers that said beloved mother on them and a nice vase of pretty red carnations and roses. Pink roses and violet colors on the beloved mother one. Becky kept them outside the church services in the doorway and I knew why after she said that. She went into her savings to pay for the funeral, embalm mom and ship her and buy the plot. A sm fortune nobody helped her with really and she was resentful of Mo for not offering any help and didn't buy that she is the sole provider of thier  household and that she was down to get her SD birth certificate so she could marry mariano in mexico she leaves this weekend to meet him in mexico city to do that. She needed it to be apostled to make the marriage official and the politics of US keep him from working here for 6 months and he needs to work is an engineer in argentina. A lot of her old neighborhood and high school soccer friends were at the funeral. One was pregnant and she just lost her brother 1-2 years ago from suicide and is familiar with loss. Was able to do alot of needed studying my meninges were sweating and eyes and nose dripping occassionally from all the information crammed into brain. Been making thse db sets to study more fast retrieval studying to and allows me to look up answers to questions on study guides. I do well with study guides and know that the CP1 exams are not only worded odd, but questions from reading materials I don't retain much information from to be quizzed on and hundreds of kindle pages to review, not going to happen, and no scratch paper and no study guide, just everything is fair game bc she has mentioned how she was an air force pilot and went and quit that and an engineer to be a chiropractor and wanted to give up but stayed in it and must want us to feel exactly what she felt. Otherwise I would have scored better on her quizzes and exams. updating this later after taking her midterm LE on this friday a few days after this and got another D on it. Better than zero but not expecting to do well on exams and quizzes that are fair game and tricky questions. Like GA1 and FABS1 we know from redundancy what is likely on exams and quizzes in emphasizing stuff, in her courses it is mentioned and possibly brought up but might not be tested on. Also, I had 2 servings of vitamins, the 1st in am and 2nd on flight back at night as exhausted and thought it might help. Not sure if it did.;</t>
  </si>
  <si>
    <t>Dunkin Donuts bottled coffee from airport Fr vanilla and reg, 1 bottle is 1 serving</t>
  </si>
  <si>
    <t>3 serving cheetos bag from airport</t>
  </si>
  <si>
    <t>Joseph Campione Hearth Baked Garlic Bread, 4 servings per loaf, 1 loaf:</t>
  </si>
  <si>
    <t>Aldi Colby jack cheese 1 slice</t>
  </si>
  <si>
    <t>bag bertolli shrimp scampi &amp; linguini</t>
  </si>
  <si>
    <t>chex mex 3.5 servings per bag, bag</t>
  </si>
  <si>
    <t>borden brand colby jack cheese 1 slice</t>
  </si>
  <si>
    <t>mini cheese pizza 1 pizza Smart&amp;Final brand</t>
  </si>
  <si>
    <t>everything bagel staterbros brand</t>
  </si>
  <si>
    <t>everything bagel smart&amp;final brand</t>
  </si>
  <si>
    <t>Target G&amp;G brand flour tortillas, 2 tortillas:</t>
  </si>
  <si>
    <t xml:space="preserve">8 tbs coffee creamer
(280	12	0	0	40	0	120)
2 servings Lays potato chips
(450.00	30.00	3.00	6.00	45.00	3.00	405.00)
2 servings pistachios
(320	26	3	12	16	6	270)
2 everything bagels
(480	5	1	18	94	6	1200)
3 tbs cream cheese
(100	8	5	2	4	0	170)
2 flour tortillas
(220	5	2	6	38	4	680)
1/2 cup mozz cheese
(160	10	7	12	2	0	380)
2 slices American cheese
(140	10	6	8	2	0	500)
=280+450+320+480+100+220+160+140
=12+30+26+5+8+5+10+10
=0+3+3+1+5+2+7+6
=0+6+12+18+2+6+12+8
=40+45+16+94+4+38+2+2
=0+3+6+6+0+4+0+0
=120+405+270+1200+170+680+380+500
</t>
  </si>
  <si>
    <t xml:space="preserve">15 creamers tbs
(525	22.5	0	0	75	0	225)
2 everything bagels
(480	5	1	18	94	6	1200)
5 tbs cream cheese
(255	25.5	16	5.5	2	0	215)
1 slice american cheese
(70	5	3	4	1	0	250)
double salmon poke bowl
(725	15.325	3.425	27.975	115.65	8.675	2277.5)
tbs mustard
(0.00	0.00	0.00	0.00	0.00	0.00	55.00)
4 pickles
(0	0	0	0	0	0	260)
=525+480+255+70+725+0+0
=22.5+5+25.5+5+15+0+0
=0+1+16+3+3+0+0
=0+18+6+4+28+0+0
=75+94+2+1+116+0+0
=0+6+0+0+9+0+0
=225+1200+215+250+2278+55+260
</t>
  </si>
  <si>
    <t xml:space="preserve">bag shrimpaspg penne bertolli
(850	35	11	29	104	7	1560)
21 tbs creamer
(735	31.5	0	0	105	0	315)
2 flour tortillas
(220	5	2	6	38	4	680)
2 slices american cheese
(140	10	6	8	2	0	500)
1/2 cup mozz
(160	10	7	12	2	0	380)
2 ev bagel
(480	5	1	18	94	6	1200)
3 tbs cream cheese
(153	15.3	9.6	3.3	1.2	0	129)
1 imposs patty
(240.00	14.00	8.00	19.00	9.00	3.00	370.00)
2 tbs mustard
(0	0	0	0	0	0	110)
=850+735+220+140+160+480+153+240+0
=35+32+5+10+10+5+15+14+0
=11+0+2+6+7+1+10+8+0
=29+0+6+8+12+18+3+19+0
=104+105+38+2+2+94+1.2+9+0
=7+0+4+0+0+6+0+3+0
=1560+315+680+500+380+1200+129+370+110
</t>
  </si>
  <si>
    <t xml:space="preserve">2 pizzas smart and final
(800	44	18	38	76	6	1840)
5 slices border brand colby jack cheese
(350	25	15	20	0	0	525)
15 tbs creamer in all coffees before trip
(525	22.5	0	0	75	0	225)
2 serving lays chips
(300	16	1	4	34	2	340)
dunkin donuts coffee
(260	7	4.5	7	41	0	100)
3 servings cheetos
(450	28	4.5	5	42	2	680)
everything bagel
(240	240	240	240	240	240	240)
4 tbs cream cheese
(100	8	5	2	4	0	170)
=800+350+525+300+260+450+240+100
=44+25+23+16+7+28+240+8
=18+15+0+1+5+5+240+5
=38+20+0+4+7+5+240+2
=76+0+75+34+41+42+240+4
=6+0+0+2+0+2+240+0
=1840+525+225+340+100+680+240+170
</t>
  </si>
  <si>
    <t>plain peanuts, 1 cup</t>
  </si>
  <si>
    <t xml:space="preserve">3 dunkin donuts bottled coffee
(780	21	13.5	21	123	0	300)
3 servings cheetos
(450	28	4.5	5	42	2	680)
chex mex bag at airport
(455	12.25	1.75	7	80.5	7	805)
1/4 cup plain peanuts
(206.75	18	2.5	9.5	6	3.25	6.5)
4 slices colby jack cheese border brand
(280	24	14	20	0	0	460)
=780+450+455+207+280
=21+28+13+18+24
=14+5+2+3+14
=21+5+7+10+20
=123+42+81+6+0
=0+2+7+3+0
=300+680+805+7+460
</t>
  </si>
  <si>
    <t xml:space="preserve">1 Joseph Campione heart baked garlic mini loaf
(800	32	12	20	104	4	1040)
1/2 bag shrimpscampinoodles bertolli
(445	21	9.5	16.5	47.5	2.5	1070)
5 slices colby jack cheese Aldi brand
(350	30	17.5	25	0	0	575)
everythig bagel
(240	2	0.5	8	46	2	630)
3 tbs creamcheese
(153	15.3	9.6	3.3	1.2	0	129)
1/4 hershey's symphony xl candy bar
(150	9	5	3	17	1	50)
15 tbs creamer
(525	22.5	0	0	75	0	225)
12 zucchini fries
(375	15	2.5	5	50	2.5	900)
=800+445+350+240+153+150+525+375
=32+21+30+2+15+9+23+15
=12+10+18+1+10+5+0+3
=20+17+25+8+3+3+0+5
=104+48+0+46+1+17+75+50
=4+3+0+2+0+1+0+3
=1040+1070+575+630+129+50+225+900
</t>
  </si>
  <si>
    <t>patrone tequila</t>
  </si>
  <si>
    <t>15 tbs creamer
(525	22.5	0	0	75	0	225)
1/2 bag shrimp scampi noodles
(445	21	9.5	16.5	47.5	2.5	1070)
6 tbs creamer
(210	9	0	0	30	0	90)
ev bagel
(240	2	0.5	8	46	2	630)
4 tbs cream cheese
(100	8	5	2	4	0	170)
12 zucchini fingers
(375	15	2.5	5	50	2.5	900)
1/8 hersheys candy bar
(75	4.5	2.5	1.5	8.5	0.5	25)
2 slices colby jack cheese
(140	12	7	10	0	0	230)
1/2 serving baked Rits crackers (crumbs in bag at break time)
(65	2.5	0.25	1	10.5	1	110)
2 slices colby jack cheese
(140	12	7	10	0	0	230)
=525+445+210+240+100+375+75+140+65+140
=23+21+9+2+8+15+5+12+3+12
=0+10+0+1+5+3+3+7+0+7
=0+17+0+8+2+5+2+10+1+10
=75+48+30+46+4+50+9+0+11+0
=0+3+0+2+0+3+1+0+1+0
=225+1070+90+630+170+900+25+230+110+230</t>
  </si>
  <si>
    <t>Woke up a 5 am again to get out of bed. Probably got about 5 hours sleep altogether from 830 pm-10 pm, 2am-4am, 415 am-5am. Studied from that time until 7am and showered after relaxing and looking at news. The brian laundrie dude's dead. thats good, he killed the gabby petito national news girl. Also LA kicking out homeless but only from public facilities and sidewalks. The population of homeless in LA was more than the city of Corona not too long ago. Took exam, got 66.67%, not surprised to do poorly even with the stress and studying like I said earlier on her exams and fair game material and testing on readings. Not designed to do well in. She said we'd survive the exams. Let me add for now to that. BC stress is the root of all sickness. Had 4 cups of coffee by 1030 am. all with creamer, then breakfast was the rest of the shrimp scampi pasta from last night I saved for roommate but he didn't eat. That was at 10 am. I also had a lg BM after 2nd cup coffee earlier in the morning around 5 30 am, then a sm BM after 3rd cup coffee around 6 am and a 3rd tiny BM before my shower around 7 am. Stress and not sleeping and not being hydrated. Stomach feels better than it did yesterday. Feeling more refreshed or awake by 1030 am without a nap. Watched the 2 1:05 to 1:10 hour long videos in CTAP on blood and special senses. WAs tired but didn't nap. Had 1/2 shrimp scampi left over from yesterday I already noted, the everything bagel w crm chs, 1/8 herseys symphony candy bar, 12 zucchini fingers, 2 slices colby jack Aldi brand cheese, 4 cups reg and 2 cups decaf all w creamer, then cleaned the pet messes from this morning, did the dishes, and fed the outdoor kitty again. Put away my laundry and it was 3:15 pm. Planning on leaving for work by 5 pm with my 5th cup coffee. and creamer. Home after full schedule all new to me clients at work. Had a Patron after doing dishes, feeding outdoor cat and cleaning a pet mess. Have to wake up and be in the shower by 630 am tomorrow for an 8 hour day 8am-5 pm. Went to bed by 1115pm. After eating 2 slices Colby Jack cheese. My rag at work was about medium to med-heavy flow. Nothing unmanageable, but the 90 minutes made me have to change my thin heavy pad after every massgae.</t>
  </si>
  <si>
    <t xml:space="preserve">Woke up at 530 am by alarm to blood clotting dropping and heavy rag flow. Lots of pet messes to clean, fed babies, Growly got his meds, fed kitty outside and already need more wet cat food. I had 2 boxes of canned wet food at the beginning of the week before my trip. Also need more dry cat food. Had 2 cups of coffee with creamer and made an everything bagel to eat with my multivitamins. Going to throw in a few more than the normal 3 bc of my heavy blood flow and feeling sort of dizzy. Might be low or super low on iron. Have a full day today too. Bringing two flour tortillas, 2 slices colby jack cheese, and 1/5 of the hershey's chocolate candy bar in pieces approximately more than 1/8th and less than 1/4. Measurements taken after the bagel with less cream cheese than normal bc last of whipped cream cheese. I have the regular bar one that I have to cut into to spread. I need new calipers. Mine broke yesterday and I didn't think it would affect the measurements or how I take them until trying it out this morning. I will have to wait until I get the same exact ones in or similar. The mm measurements could be off.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</si>
</sst>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xf numFmtId="0" fontId="0" fillId="0" borderId="0" xfId="0" applyFill="1" applyAlignment="1">
      <alignment vertical="top"/>
    </xf>
    <xf numFmtId="14" fontId="0" fillId="0" borderId="0" xfId="0" applyNumberFormat="1" applyFill="1" applyAlignment="1">
      <alignment vertical="top"/>
    </xf>
    <xf numFmtId="18" fontId="0" fillId="0" borderId="0" xfId="0" applyNumberFormat="1" applyFill="1" applyAlignment="1">
      <alignment vertical="top"/>
    </xf>
    <xf numFmtId="1" fontId="0" fillId="0" borderId="0" xfId="0" applyNumberFormat="1" applyFill="1" applyAlignment="1">
      <alignment vertical="top"/>
    </xf>
    <xf numFmtId="2" fontId="0" fillId="0" borderId="0" xfId="0" applyNumberFormat="1" applyFill="1" applyAlignment="1">
      <alignment vertical="top"/>
    </xf>
    <xf numFmtId="0" fontId="0" fillId="0" borderId="0" xfId="0" applyFill="1" applyAlignment="1">
      <alignment vertical="top" wrapText="1"/>
    </xf>
    <xf numFmtId="0" fontId="0" fillId="2" borderId="0" xfId="0" applyFill="1"/>
    <xf numFmtId="2" fontId="0" fillId="2" borderId="0" xfId="0" applyNumberFormat="1" applyFill="1"/>
    <xf numFmtId="2" fontId="0" fillId="2" borderId="0" xfId="0" applyNumberForma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44"/>
  <sheetViews>
    <sheetView workbookViewId="0">
      <pane ySplit="1" topLeftCell="A631" activePane="bottomLeft" state="frozen"/>
      <selection pane="bottomLeft" activeCell="B644" sqref="B644:H64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1190</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1191</v>
      </c>
      <c r="B546">
        <v>410</v>
      </c>
      <c r="C546">
        <v>15</v>
      </c>
      <c r="D546">
        <v>9</v>
      </c>
      <c r="E546">
        <v>10</v>
      </c>
      <c r="F546">
        <v>55</v>
      </c>
      <c r="G546">
        <v>0</v>
      </c>
      <c r="H546">
        <v>650</v>
      </c>
    </row>
    <row r="547" spans="1:8" x14ac:dyDescent="0.3">
      <c r="A547" s="16" t="s">
        <v>1192</v>
      </c>
      <c r="B547">
        <v>100</v>
      </c>
      <c r="C547">
        <v>9</v>
      </c>
      <c r="D547">
        <v>6</v>
      </c>
      <c r="E547">
        <v>2</v>
      </c>
      <c r="F547">
        <v>2</v>
      </c>
      <c r="G547">
        <v>0</v>
      </c>
      <c r="H547">
        <v>150</v>
      </c>
    </row>
    <row r="548" spans="1:8" x14ac:dyDescent="0.3">
      <c r="A548" s="16" t="s">
        <v>1193</v>
      </c>
      <c r="B548">
        <v>70</v>
      </c>
      <c r="C548">
        <v>3.5</v>
      </c>
      <c r="D548">
        <v>0</v>
      </c>
      <c r="E548">
        <v>1</v>
      </c>
      <c r="F548">
        <v>9</v>
      </c>
      <c r="G548">
        <v>1</v>
      </c>
      <c r="H548">
        <v>110</v>
      </c>
    </row>
    <row r="549" spans="1:8" x14ac:dyDescent="0.3">
      <c r="A549" s="16" t="s">
        <v>1198</v>
      </c>
      <c r="B549">
        <v>1040</v>
      </c>
      <c r="C549">
        <v>32</v>
      </c>
      <c r="D549">
        <v>12</v>
      </c>
      <c r="E549">
        <v>44</v>
      </c>
      <c r="F549">
        <v>144</v>
      </c>
      <c r="G549">
        <v>16</v>
      </c>
      <c r="H549">
        <v>1360</v>
      </c>
    </row>
    <row r="550" spans="1:8" x14ac:dyDescent="0.3">
      <c r="A550" s="16" t="s">
        <v>1199</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1202</v>
      </c>
      <c r="B551">
        <f>4*350</f>
        <v>1400</v>
      </c>
      <c r="C551">
        <f>4*15</f>
        <v>60</v>
      </c>
      <c r="D551">
        <f>4*8</f>
        <v>32</v>
      </c>
      <c r="E551">
        <f>4*17</f>
        <v>68</v>
      </c>
      <c r="F551">
        <f>4*37</f>
        <v>148</v>
      </c>
      <c r="G551">
        <f>4*3</f>
        <v>12</v>
      </c>
      <c r="H551">
        <f>4*780</f>
        <v>3120</v>
      </c>
    </row>
    <row r="552" spans="1:8" x14ac:dyDescent="0.3">
      <c r="A552" s="16" t="s">
        <v>1207</v>
      </c>
      <c r="B552">
        <v>150</v>
      </c>
      <c r="C552">
        <v>11</v>
      </c>
      <c r="D552">
        <v>4.5</v>
      </c>
      <c r="E552">
        <v>2</v>
      </c>
      <c r="F552">
        <v>14</v>
      </c>
      <c r="G552">
        <v>1</v>
      </c>
      <c r="H552">
        <v>220</v>
      </c>
    </row>
    <row r="553" spans="1:8" x14ac:dyDescent="0.3">
      <c r="A553" s="16" t="s">
        <v>1208</v>
      </c>
      <c r="B553">
        <v>100</v>
      </c>
      <c r="C553">
        <v>1</v>
      </c>
      <c r="D553">
        <v>0</v>
      </c>
      <c r="E553">
        <v>16</v>
      </c>
      <c r="F553">
        <v>6</v>
      </c>
      <c r="G553">
        <v>4</v>
      </c>
      <c r="H553">
        <v>320</v>
      </c>
    </row>
    <row r="554" spans="1:8" x14ac:dyDescent="0.3">
      <c r="A554" s="16" t="s">
        <v>1209</v>
      </c>
      <c r="B554">
        <v>160</v>
      </c>
      <c r="C554">
        <v>9</v>
      </c>
      <c r="D554">
        <v>2</v>
      </c>
      <c r="E554">
        <v>2</v>
      </c>
      <c r="F554">
        <v>15</v>
      </c>
      <c r="G554">
        <v>1</v>
      </c>
      <c r="H554">
        <v>180</v>
      </c>
    </row>
    <row r="555" spans="1:8" x14ac:dyDescent="0.3">
      <c r="A555" s="16" t="s">
        <v>1216</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1217</v>
      </c>
      <c r="B556">
        <v>130</v>
      </c>
      <c r="C556">
        <v>7</v>
      </c>
      <c r="D556">
        <v>1</v>
      </c>
      <c r="E556">
        <v>2</v>
      </c>
      <c r="F556">
        <v>17</v>
      </c>
      <c r="G556">
        <v>1</v>
      </c>
      <c r="H556">
        <v>450</v>
      </c>
    </row>
    <row r="557" spans="1:8" x14ac:dyDescent="0.3">
      <c r="A557" s="16" t="s">
        <v>1218</v>
      </c>
      <c r="B557">
        <v>80</v>
      </c>
      <c r="C557">
        <v>0</v>
      </c>
      <c r="D557">
        <v>0</v>
      </c>
      <c r="E557">
        <v>0</v>
      </c>
      <c r="F557">
        <v>19</v>
      </c>
      <c r="G557">
        <v>0</v>
      </c>
      <c r="H557">
        <v>30</v>
      </c>
    </row>
    <row r="558" spans="1:8" x14ac:dyDescent="0.3">
      <c r="A558" s="16" t="s">
        <v>1219</v>
      </c>
      <c r="B558">
        <v>120</v>
      </c>
      <c r="C558">
        <v>4</v>
      </c>
      <c r="D558">
        <v>0.5</v>
      </c>
      <c r="E558">
        <v>2</v>
      </c>
      <c r="F558">
        <v>18</v>
      </c>
      <c r="G558">
        <v>1</v>
      </c>
      <c r="H558">
        <v>210</v>
      </c>
    </row>
    <row r="559" spans="1:8" x14ac:dyDescent="0.3">
      <c r="A559" s="16" t="s">
        <v>1220</v>
      </c>
      <c r="B559">
        <v>80</v>
      </c>
      <c r="C559">
        <v>5</v>
      </c>
      <c r="D559">
        <v>1</v>
      </c>
      <c r="E559">
        <v>2</v>
      </c>
      <c r="F559">
        <v>7</v>
      </c>
      <c r="G559">
        <v>1</v>
      </c>
      <c r="H559">
        <v>120</v>
      </c>
    </row>
    <row r="560" spans="1:8" x14ac:dyDescent="0.3">
      <c r="A560" s="16" t="s">
        <v>1222</v>
      </c>
      <c r="B560" s="17">
        <v>140</v>
      </c>
      <c r="C560" s="17">
        <v>9</v>
      </c>
      <c r="D560" s="17">
        <v>1.5</v>
      </c>
      <c r="E560" s="17">
        <v>2</v>
      </c>
      <c r="F560" s="17">
        <v>14</v>
      </c>
      <c r="G560" s="17">
        <v>1</v>
      </c>
      <c r="H560" s="17">
        <v>230</v>
      </c>
    </row>
    <row r="561" spans="1:8" x14ac:dyDescent="0.3">
      <c r="A561" s="16" t="s">
        <v>1223</v>
      </c>
      <c r="B561">
        <v>150</v>
      </c>
      <c r="C561">
        <v>8</v>
      </c>
      <c r="D561">
        <v>1</v>
      </c>
      <c r="E561">
        <v>2</v>
      </c>
      <c r="F561">
        <v>18</v>
      </c>
      <c r="G561">
        <v>1</v>
      </c>
      <c r="H561">
        <v>190</v>
      </c>
    </row>
    <row r="562" spans="1:8" x14ac:dyDescent="0.3">
      <c r="A562" s="16" t="s">
        <v>1224</v>
      </c>
      <c r="B562">
        <v>150</v>
      </c>
      <c r="C562">
        <v>8</v>
      </c>
      <c r="D562">
        <v>1</v>
      </c>
      <c r="E562">
        <v>2</v>
      </c>
      <c r="F562">
        <v>18</v>
      </c>
      <c r="G562">
        <v>1</v>
      </c>
      <c r="H562">
        <v>210</v>
      </c>
    </row>
    <row r="563" spans="1:8" x14ac:dyDescent="0.3">
      <c r="A563" s="16" t="s">
        <v>1229</v>
      </c>
      <c r="B563">
        <v>110</v>
      </c>
      <c r="C563">
        <v>3</v>
      </c>
      <c r="D563">
        <v>0</v>
      </c>
      <c r="E563">
        <v>2</v>
      </c>
      <c r="F563">
        <v>19</v>
      </c>
      <c r="G563">
        <v>1</v>
      </c>
      <c r="H563">
        <v>125</v>
      </c>
    </row>
    <row r="564" spans="1:8" x14ac:dyDescent="0.3">
      <c r="A564" s="16" t="s">
        <v>1230</v>
      </c>
      <c r="B564">
        <v>110</v>
      </c>
      <c r="C564">
        <v>3</v>
      </c>
      <c r="D564">
        <v>0</v>
      </c>
      <c r="E564">
        <v>2</v>
      </c>
      <c r="F564">
        <v>19</v>
      </c>
      <c r="G564">
        <v>1</v>
      </c>
      <c r="H564">
        <v>220</v>
      </c>
    </row>
    <row r="565" spans="1:8" x14ac:dyDescent="0.3">
      <c r="A565" s="16" t="s">
        <v>1231</v>
      </c>
      <c r="B565">
        <v>160</v>
      </c>
      <c r="C565">
        <v>10</v>
      </c>
      <c r="D565">
        <v>1.5</v>
      </c>
      <c r="E565">
        <v>2</v>
      </c>
      <c r="F565">
        <v>15</v>
      </c>
      <c r="G565">
        <v>1</v>
      </c>
      <c r="H565">
        <v>250</v>
      </c>
    </row>
    <row r="566" spans="1:8" x14ac:dyDescent="0.3">
      <c r="A566" s="16" t="s">
        <v>1235</v>
      </c>
      <c r="B566">
        <v>150</v>
      </c>
      <c r="C566">
        <v>1.5</v>
      </c>
      <c r="D566">
        <v>0.5</v>
      </c>
      <c r="E566">
        <v>5</v>
      </c>
      <c r="F566">
        <v>30</v>
      </c>
      <c r="G566">
        <v>1</v>
      </c>
      <c r="H566">
        <v>200</v>
      </c>
    </row>
    <row r="567" spans="1:8" x14ac:dyDescent="0.3">
      <c r="A567" s="16" t="s">
        <v>1246</v>
      </c>
      <c r="B567" s="17">
        <v>150</v>
      </c>
      <c r="C567" s="17">
        <v>8</v>
      </c>
      <c r="D567" s="17">
        <v>4</v>
      </c>
      <c r="E567" s="17">
        <v>3</v>
      </c>
      <c r="F567" s="17">
        <v>16</v>
      </c>
      <c r="G567" s="17">
        <v>1</v>
      </c>
      <c r="H567" s="17">
        <v>25</v>
      </c>
    </row>
    <row r="568" spans="1:8" x14ac:dyDescent="0.3">
      <c r="A568" s="16" t="s">
        <v>1247</v>
      </c>
      <c r="B568">
        <v>370</v>
      </c>
      <c r="C568">
        <v>16</v>
      </c>
      <c r="D568">
        <v>16</v>
      </c>
      <c r="E568">
        <v>0</v>
      </c>
      <c r="F568">
        <v>64</v>
      </c>
      <c r="G568">
        <v>0</v>
      </c>
      <c r="H568">
        <v>5</v>
      </c>
    </row>
    <row r="569" spans="1:8" x14ac:dyDescent="0.3">
      <c r="A569" s="16" t="s">
        <v>1249</v>
      </c>
      <c r="B569" s="17">
        <v>180</v>
      </c>
      <c r="C569" s="17">
        <v>5</v>
      </c>
      <c r="D569" s="17">
        <v>3</v>
      </c>
      <c r="E569" s="17">
        <v>6</v>
      </c>
      <c r="F569" s="17">
        <v>28</v>
      </c>
      <c r="G569" s="17">
        <v>1</v>
      </c>
      <c r="H569" s="17">
        <v>360</v>
      </c>
    </row>
    <row r="570" spans="1:8" x14ac:dyDescent="0.3">
      <c r="A570" s="16" t="s">
        <v>1252</v>
      </c>
      <c r="B570">
        <v>330</v>
      </c>
      <c r="C570">
        <v>18</v>
      </c>
      <c r="D570">
        <v>9</v>
      </c>
      <c r="E570">
        <v>26</v>
      </c>
      <c r="F570">
        <v>16</v>
      </c>
      <c r="G570">
        <v>2</v>
      </c>
      <c r="H570">
        <v>420</v>
      </c>
    </row>
    <row r="571" spans="1:8" x14ac:dyDescent="0.3">
      <c r="A571" s="16" t="s">
        <v>1253</v>
      </c>
      <c r="B571" s="17">
        <v>240</v>
      </c>
      <c r="C571" s="17">
        <v>2</v>
      </c>
      <c r="D571" s="17">
        <v>0.5</v>
      </c>
      <c r="E571" s="17">
        <v>8</v>
      </c>
      <c r="F571" s="17">
        <v>46</v>
      </c>
      <c r="G571" s="17">
        <v>2</v>
      </c>
      <c r="H571" s="17">
        <v>630</v>
      </c>
    </row>
    <row r="572" spans="1:8" x14ac:dyDescent="0.3">
      <c r="A572" s="16" t="s">
        <v>1254</v>
      </c>
      <c r="B572">
        <v>80</v>
      </c>
      <c r="C572">
        <v>5</v>
      </c>
      <c r="D572">
        <v>3.5</v>
      </c>
      <c r="E572">
        <v>6</v>
      </c>
      <c r="F572">
        <v>2</v>
      </c>
      <c r="G572">
        <v>0</v>
      </c>
      <c r="H572">
        <v>190</v>
      </c>
    </row>
    <row r="573" spans="1:8" x14ac:dyDescent="0.3">
      <c r="A573" s="16" t="s">
        <v>1255</v>
      </c>
      <c r="B573" s="17">
        <v>0</v>
      </c>
      <c r="C573" s="17">
        <v>0</v>
      </c>
      <c r="D573" s="17">
        <v>0</v>
      </c>
      <c r="E573" s="17">
        <v>0</v>
      </c>
      <c r="F573" s="17">
        <v>0</v>
      </c>
      <c r="G573" s="17">
        <v>0</v>
      </c>
      <c r="H573" s="17">
        <v>55</v>
      </c>
    </row>
    <row r="574" spans="1:8" x14ac:dyDescent="0.3">
      <c r="A574" s="16" t="s">
        <v>1256</v>
      </c>
      <c r="B574">
        <v>0</v>
      </c>
      <c r="C574">
        <v>0</v>
      </c>
      <c r="D574">
        <v>0</v>
      </c>
      <c r="E574">
        <v>0</v>
      </c>
      <c r="F574">
        <v>1</v>
      </c>
      <c r="G574">
        <v>0</v>
      </c>
      <c r="H574">
        <v>260</v>
      </c>
    </row>
    <row r="575" spans="1:8" x14ac:dyDescent="0.3">
      <c r="A575" s="16" t="s">
        <v>1263</v>
      </c>
      <c r="B575">
        <v>210</v>
      </c>
      <c r="C575">
        <v>12</v>
      </c>
      <c r="D575">
        <v>4.5</v>
      </c>
      <c r="E575">
        <v>6</v>
      </c>
      <c r="F575">
        <v>17</v>
      </c>
      <c r="G575">
        <v>0</v>
      </c>
      <c r="H575">
        <v>350</v>
      </c>
    </row>
    <row r="576" spans="1:8" x14ac:dyDescent="0.3">
      <c r="A576" s="16" t="s">
        <v>1265</v>
      </c>
      <c r="B576">
        <v>5</v>
      </c>
      <c r="C576">
        <v>0</v>
      </c>
      <c r="D576">
        <v>0</v>
      </c>
      <c r="E576">
        <v>0</v>
      </c>
      <c r="F576">
        <v>1</v>
      </c>
      <c r="G576">
        <v>0</v>
      </c>
      <c r="H576">
        <v>400</v>
      </c>
    </row>
    <row r="577" spans="1:8" x14ac:dyDescent="0.3">
      <c r="A577" s="16" t="s">
        <v>1268</v>
      </c>
      <c r="B577">
        <v>80</v>
      </c>
      <c r="C577">
        <v>0</v>
      </c>
      <c r="D577">
        <v>0</v>
      </c>
      <c r="E577">
        <v>1</v>
      </c>
      <c r="F577">
        <v>19</v>
      </c>
      <c r="G577">
        <v>0</v>
      </c>
      <c r="H577">
        <v>20</v>
      </c>
    </row>
    <row r="578" spans="1:8" x14ac:dyDescent="0.3">
      <c r="A578" s="16" t="s">
        <v>1269</v>
      </c>
      <c r="B578">
        <v>140</v>
      </c>
      <c r="C578">
        <v>7</v>
      </c>
      <c r="D578">
        <v>1</v>
      </c>
      <c r="E578">
        <v>0</v>
      </c>
      <c r="F578">
        <v>20</v>
      </c>
      <c r="G578">
        <v>2</v>
      </c>
      <c r="H578">
        <v>15</v>
      </c>
    </row>
    <row r="579" spans="1:8" x14ac:dyDescent="0.3">
      <c r="A579" s="16" t="s">
        <v>1271</v>
      </c>
      <c r="B579" s="17">
        <v>380</v>
      </c>
      <c r="C579" s="17">
        <v>17</v>
      </c>
      <c r="D579" s="17">
        <v>9</v>
      </c>
      <c r="E579" s="17">
        <v>9</v>
      </c>
      <c r="F579" s="17">
        <v>48</v>
      </c>
      <c r="G579" s="17">
        <v>3</v>
      </c>
      <c r="H579" s="17">
        <v>880</v>
      </c>
    </row>
    <row r="580" spans="1:8" x14ac:dyDescent="0.3">
      <c r="A580" s="16" t="s">
        <v>1275</v>
      </c>
      <c r="B580">
        <v>230</v>
      </c>
      <c r="C580">
        <v>1</v>
      </c>
      <c r="D580">
        <v>0.5</v>
      </c>
      <c r="E580">
        <v>8</v>
      </c>
      <c r="F580">
        <v>46</v>
      </c>
      <c r="G580">
        <v>2</v>
      </c>
      <c r="H580">
        <v>400</v>
      </c>
    </row>
    <row r="581" spans="1:8" x14ac:dyDescent="0.3">
      <c r="A581" s="16" t="s">
        <v>1277</v>
      </c>
      <c r="B581">
        <v>150</v>
      </c>
      <c r="C581">
        <v>6</v>
      </c>
      <c r="D581">
        <v>1</v>
      </c>
      <c r="E581">
        <v>2</v>
      </c>
      <c r="F581">
        <v>20</v>
      </c>
      <c r="G581">
        <v>1</v>
      </c>
      <c r="H581">
        <v>360</v>
      </c>
    </row>
    <row r="582" spans="1:8" x14ac:dyDescent="0.3">
      <c r="A582" s="16" t="s">
        <v>1281</v>
      </c>
      <c r="B582">
        <v>220</v>
      </c>
      <c r="C582">
        <v>4.5</v>
      </c>
      <c r="D582">
        <v>2.5</v>
      </c>
      <c r="E582">
        <v>7</v>
      </c>
      <c r="F582">
        <v>39</v>
      </c>
      <c r="G582">
        <v>1</v>
      </c>
      <c r="H582">
        <v>280</v>
      </c>
    </row>
    <row r="583" spans="1:8" x14ac:dyDescent="0.3">
      <c r="A583" s="16" t="s">
        <v>1290</v>
      </c>
      <c r="B583" s="17">
        <v>160</v>
      </c>
      <c r="C583" s="17">
        <v>11</v>
      </c>
      <c r="D583" s="17">
        <v>2</v>
      </c>
      <c r="E583" s="17">
        <v>3</v>
      </c>
      <c r="F583" s="17">
        <v>13</v>
      </c>
      <c r="G583" s="17">
        <v>2</v>
      </c>
      <c r="H583" s="17">
        <v>260</v>
      </c>
    </row>
    <row r="584" spans="1:8" x14ac:dyDescent="0.3">
      <c r="A584" s="16" t="s">
        <v>1292</v>
      </c>
      <c r="B584" s="17">
        <v>19</v>
      </c>
      <c r="C584" s="17">
        <v>0.3</v>
      </c>
      <c r="D584" s="17">
        <v>0.1</v>
      </c>
      <c r="E584" s="17">
        <v>1.8</v>
      </c>
      <c r="F584" s="17">
        <v>3.3</v>
      </c>
      <c r="G584" s="17">
        <v>1.1000000000000001</v>
      </c>
      <c r="H584" s="17">
        <v>8</v>
      </c>
    </row>
    <row r="585" spans="1:8" x14ac:dyDescent="0.3">
      <c r="A585" s="16" t="s">
        <v>1295</v>
      </c>
      <c r="B585">
        <v>200</v>
      </c>
      <c r="C585">
        <v>9</v>
      </c>
      <c r="D585">
        <v>4</v>
      </c>
      <c r="E585">
        <v>9</v>
      </c>
      <c r="F585">
        <v>20</v>
      </c>
      <c r="G585">
        <v>2</v>
      </c>
      <c r="H585">
        <v>80</v>
      </c>
    </row>
    <row r="586" spans="1:8" x14ac:dyDescent="0.3">
      <c r="A586" s="16" t="s">
        <v>1296</v>
      </c>
      <c r="B586">
        <v>110</v>
      </c>
      <c r="C586">
        <v>0</v>
      </c>
      <c r="D586">
        <v>0</v>
      </c>
      <c r="E586">
        <v>12</v>
      </c>
      <c r="F586">
        <v>15</v>
      </c>
      <c r="G586">
        <v>0</v>
      </c>
      <c r="H586">
        <v>60</v>
      </c>
    </row>
    <row r="587" spans="1:8" x14ac:dyDescent="0.3">
      <c r="A587" s="16" t="s">
        <v>1298</v>
      </c>
      <c r="B587">
        <v>260</v>
      </c>
      <c r="C587">
        <v>2.5</v>
      </c>
      <c r="D587">
        <v>0</v>
      </c>
      <c r="E587">
        <v>11</v>
      </c>
      <c r="F587">
        <v>48</v>
      </c>
      <c r="G587">
        <v>3</v>
      </c>
      <c r="H587">
        <v>380</v>
      </c>
    </row>
    <row r="588" spans="1:8" x14ac:dyDescent="0.3">
      <c r="A588" s="16" t="s">
        <v>1303</v>
      </c>
      <c r="B588">
        <v>110</v>
      </c>
      <c r="C588">
        <v>1</v>
      </c>
      <c r="D588">
        <v>0.5</v>
      </c>
      <c r="E588">
        <v>1</v>
      </c>
      <c r="F588">
        <v>24</v>
      </c>
      <c r="G588">
        <v>0</v>
      </c>
      <c r="H588">
        <v>150</v>
      </c>
    </row>
    <row r="589" spans="1:8" x14ac:dyDescent="0.3">
      <c r="A589" s="16" t="s">
        <v>1304</v>
      </c>
      <c r="B589">
        <v>130</v>
      </c>
      <c r="C589">
        <v>5</v>
      </c>
      <c r="D589">
        <v>0</v>
      </c>
      <c r="E589">
        <v>2</v>
      </c>
      <c r="F589">
        <v>20</v>
      </c>
      <c r="G589">
        <v>3</v>
      </c>
      <c r="H589">
        <v>330</v>
      </c>
    </row>
    <row r="590" spans="1:8" x14ac:dyDescent="0.3">
      <c r="A590" s="16" t="s">
        <v>1307</v>
      </c>
      <c r="B590">
        <v>260</v>
      </c>
      <c r="C590">
        <v>5</v>
      </c>
      <c r="D590">
        <v>0.5</v>
      </c>
      <c r="E590">
        <v>13</v>
      </c>
      <c r="F590">
        <v>44</v>
      </c>
      <c r="G590">
        <v>5</v>
      </c>
      <c r="H590">
        <v>350</v>
      </c>
    </row>
    <row r="591" spans="1:8" x14ac:dyDescent="0.3">
      <c r="A591" s="16" t="s">
        <v>1386</v>
      </c>
      <c r="B591">
        <v>140</v>
      </c>
      <c r="C591">
        <v>7</v>
      </c>
      <c r="D591">
        <v>3</v>
      </c>
      <c r="E591">
        <v>2</v>
      </c>
      <c r="F591">
        <v>20</v>
      </c>
      <c r="G591">
        <v>3</v>
      </c>
      <c r="H591">
        <v>310</v>
      </c>
    </row>
    <row r="592" spans="1:8" x14ac:dyDescent="0.3">
      <c r="A592" s="16" t="s">
        <v>1314</v>
      </c>
      <c r="B592">
        <v>110</v>
      </c>
      <c r="C592">
        <v>7</v>
      </c>
      <c r="D592">
        <v>4.5</v>
      </c>
      <c r="E592">
        <v>10</v>
      </c>
      <c r="F592">
        <v>2</v>
      </c>
      <c r="G592">
        <v>0</v>
      </c>
      <c r="H592">
        <v>370</v>
      </c>
    </row>
    <row r="593" spans="1:8" x14ac:dyDescent="0.3">
      <c r="A593" s="16" t="s">
        <v>1315</v>
      </c>
      <c r="B593">
        <v>270</v>
      </c>
      <c r="C593">
        <v>3</v>
      </c>
      <c r="D593">
        <v>0</v>
      </c>
      <c r="E593">
        <v>12</v>
      </c>
      <c r="F593">
        <v>51</v>
      </c>
      <c r="G593">
        <v>3</v>
      </c>
      <c r="H593">
        <v>400</v>
      </c>
    </row>
    <row r="594" spans="1:8" x14ac:dyDescent="0.3">
      <c r="A594" s="16" t="s">
        <v>1316</v>
      </c>
      <c r="B594">
        <v>150</v>
      </c>
      <c r="C594">
        <v>6</v>
      </c>
      <c r="D594">
        <v>3.5</v>
      </c>
      <c r="E594">
        <v>1</v>
      </c>
      <c r="F594">
        <v>24</v>
      </c>
      <c r="G594">
        <v>0</v>
      </c>
      <c r="H594">
        <v>50</v>
      </c>
    </row>
    <row r="595" spans="1:8" x14ac:dyDescent="0.3">
      <c r="A595" s="16" t="s">
        <v>1317</v>
      </c>
      <c r="B595">
        <v>130</v>
      </c>
      <c r="C595">
        <v>5</v>
      </c>
      <c r="D595">
        <v>3</v>
      </c>
      <c r="E595">
        <v>1</v>
      </c>
      <c r="F595">
        <v>19</v>
      </c>
      <c r="G595">
        <v>1</v>
      </c>
      <c r="H595">
        <v>20</v>
      </c>
    </row>
    <row r="596" spans="1:8" x14ac:dyDescent="0.3">
      <c r="A596" s="16" t="s">
        <v>1318</v>
      </c>
      <c r="B596">
        <v>130</v>
      </c>
      <c r="C596">
        <v>6</v>
      </c>
      <c r="D596">
        <v>2.5</v>
      </c>
      <c r="E596">
        <v>2</v>
      </c>
      <c r="F596">
        <v>17</v>
      </c>
      <c r="G596">
        <v>1</v>
      </c>
      <c r="H596">
        <v>65</v>
      </c>
    </row>
    <row r="597" spans="1:8" x14ac:dyDescent="0.3">
      <c r="A597" s="16" t="s">
        <v>1319</v>
      </c>
      <c r="B597">
        <v>150</v>
      </c>
      <c r="C597">
        <v>7</v>
      </c>
      <c r="D597">
        <v>4</v>
      </c>
      <c r="E597">
        <v>1</v>
      </c>
      <c r="F597">
        <v>20</v>
      </c>
      <c r="G597">
        <v>0</v>
      </c>
      <c r="H597">
        <v>60</v>
      </c>
    </row>
    <row r="598" spans="1:8" x14ac:dyDescent="0.3">
      <c r="A598" s="16" t="s">
        <v>1320</v>
      </c>
      <c r="B598">
        <v>130</v>
      </c>
      <c r="C598">
        <v>3.5</v>
      </c>
      <c r="D598">
        <v>2</v>
      </c>
      <c r="E598">
        <v>1</v>
      </c>
      <c r="F598">
        <v>23</v>
      </c>
      <c r="G598">
        <v>0</v>
      </c>
      <c r="H598">
        <v>55</v>
      </c>
    </row>
    <row r="599" spans="1:8" x14ac:dyDescent="0.3">
      <c r="A599" s="16" t="s">
        <v>1321</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1328</v>
      </c>
      <c r="B600" s="17">
        <v>70</v>
      </c>
      <c r="C600" s="17">
        <v>0</v>
      </c>
      <c r="D600" s="17">
        <v>0</v>
      </c>
      <c r="E600" s="17">
        <v>1</v>
      </c>
      <c r="F600" s="17">
        <v>16</v>
      </c>
      <c r="G600" s="17">
        <v>1</v>
      </c>
      <c r="H600" s="17">
        <v>0</v>
      </c>
    </row>
    <row r="601" spans="1:8" x14ac:dyDescent="0.3">
      <c r="A601" s="16" t="s">
        <v>1329</v>
      </c>
      <c r="B601">
        <v>90</v>
      </c>
      <c r="C601">
        <v>0</v>
      </c>
      <c r="D601">
        <v>15</v>
      </c>
      <c r="E601">
        <v>1</v>
      </c>
      <c r="F601">
        <v>21</v>
      </c>
      <c r="G601">
        <v>13</v>
      </c>
      <c r="H601">
        <v>15</v>
      </c>
    </row>
    <row r="602" spans="1:8" x14ac:dyDescent="0.3">
      <c r="A602" s="16" t="s">
        <v>1330</v>
      </c>
      <c r="B602">
        <v>90</v>
      </c>
      <c r="C602">
        <v>0.5</v>
      </c>
      <c r="D602">
        <v>0</v>
      </c>
      <c r="E602">
        <v>0</v>
      </c>
      <c r="F602">
        <v>20</v>
      </c>
      <c r="G602">
        <v>0</v>
      </c>
      <c r="H602">
        <v>15</v>
      </c>
    </row>
    <row r="603" spans="1:8" x14ac:dyDescent="0.3">
      <c r="A603" s="16" t="s">
        <v>1331</v>
      </c>
      <c r="B603">
        <v>270</v>
      </c>
      <c r="C603">
        <v>13</v>
      </c>
      <c r="D603">
        <v>1.5</v>
      </c>
      <c r="E603">
        <v>5</v>
      </c>
      <c r="F603">
        <v>34</v>
      </c>
      <c r="G603">
        <v>2</v>
      </c>
      <c r="H603">
        <v>640</v>
      </c>
    </row>
    <row r="604" spans="1:8" x14ac:dyDescent="0.3">
      <c r="A604" s="16" t="s">
        <v>1332</v>
      </c>
      <c r="B604">
        <v>350</v>
      </c>
      <c r="C604">
        <v>13</v>
      </c>
      <c r="D604">
        <v>5</v>
      </c>
      <c r="E604">
        <v>15</v>
      </c>
      <c r="F604">
        <v>42</v>
      </c>
      <c r="G604">
        <v>3</v>
      </c>
      <c r="H604">
        <v>570</v>
      </c>
    </row>
    <row r="605" spans="1:8" x14ac:dyDescent="0.3">
      <c r="A605" s="16" t="s">
        <v>1337</v>
      </c>
      <c r="B605">
        <v>300</v>
      </c>
      <c r="C605">
        <v>7</v>
      </c>
      <c r="D605">
        <v>4.5</v>
      </c>
      <c r="E605">
        <v>12</v>
      </c>
      <c r="F605">
        <v>47</v>
      </c>
      <c r="G605">
        <v>0</v>
      </c>
      <c r="H605">
        <v>280</v>
      </c>
    </row>
    <row r="606" spans="1:8" x14ac:dyDescent="0.3">
      <c r="A606" s="16" t="s">
        <v>1333</v>
      </c>
      <c r="B606">
        <v>250</v>
      </c>
      <c r="C606">
        <v>12</v>
      </c>
      <c r="D606">
        <v>8</v>
      </c>
      <c r="E606">
        <v>3</v>
      </c>
      <c r="F606">
        <v>31</v>
      </c>
      <c r="G606">
        <v>0</v>
      </c>
      <c r="H606">
        <v>55</v>
      </c>
    </row>
    <row r="607" spans="1:8" x14ac:dyDescent="0.3">
      <c r="A607" s="16" t="s">
        <v>1334</v>
      </c>
      <c r="B607">
        <v>140</v>
      </c>
      <c r="C607">
        <v>8</v>
      </c>
      <c r="D607">
        <v>0.5</v>
      </c>
      <c r="E607">
        <v>2</v>
      </c>
      <c r="F607">
        <v>16</v>
      </c>
      <c r="G607">
        <v>0</v>
      </c>
      <c r="H607">
        <v>140</v>
      </c>
    </row>
    <row r="608" spans="1:8" x14ac:dyDescent="0.3">
      <c r="A608" s="16" t="s">
        <v>1335</v>
      </c>
      <c r="B608">
        <v>95</v>
      </c>
      <c r="C608">
        <v>0.3</v>
      </c>
      <c r="D608">
        <v>0.1</v>
      </c>
      <c r="E608">
        <v>0.5</v>
      </c>
      <c r="F608">
        <v>25</v>
      </c>
      <c r="G608">
        <v>4.4000000000000004</v>
      </c>
      <c r="H608">
        <v>2</v>
      </c>
    </row>
    <row r="609" spans="1:8" x14ac:dyDescent="0.3">
      <c r="A609" s="16" t="s">
        <v>1339</v>
      </c>
      <c r="B609">
        <v>140</v>
      </c>
      <c r="C609">
        <v>6</v>
      </c>
      <c r="D609">
        <v>3.5</v>
      </c>
      <c r="E609">
        <v>4</v>
      </c>
      <c r="F609">
        <v>18</v>
      </c>
      <c r="G609">
        <v>0</v>
      </c>
      <c r="H609">
        <v>65</v>
      </c>
    </row>
    <row r="610" spans="1:8" x14ac:dyDescent="0.3">
      <c r="A610" s="16" t="s">
        <v>1341</v>
      </c>
      <c r="B610">
        <v>160</v>
      </c>
      <c r="C610">
        <v>9</v>
      </c>
      <c r="D610">
        <v>1.5</v>
      </c>
      <c r="E610">
        <v>2</v>
      </c>
      <c r="F610">
        <v>16</v>
      </c>
      <c r="G610">
        <v>1</v>
      </c>
      <c r="H610">
        <v>280</v>
      </c>
    </row>
    <row r="611" spans="1:8" x14ac:dyDescent="0.3">
      <c r="A611" s="16" t="s">
        <v>1342</v>
      </c>
      <c r="B611">
        <v>150</v>
      </c>
      <c r="C611">
        <v>8</v>
      </c>
      <c r="D611">
        <v>1.5</v>
      </c>
      <c r="E611">
        <v>2</v>
      </c>
      <c r="F611">
        <v>16</v>
      </c>
      <c r="G611">
        <v>1</v>
      </c>
      <c r="H611">
        <v>170</v>
      </c>
    </row>
    <row r="612" spans="1:8" x14ac:dyDescent="0.3">
      <c r="A612" s="16" t="s">
        <v>1343</v>
      </c>
      <c r="B612" s="17">
        <v>250</v>
      </c>
      <c r="C612" s="17">
        <v>0</v>
      </c>
      <c r="D612" s="17">
        <v>0</v>
      </c>
      <c r="E612" s="17">
        <v>0</v>
      </c>
      <c r="F612" s="17">
        <v>66</v>
      </c>
      <c r="G612" s="17">
        <v>0</v>
      </c>
      <c r="H612" s="17">
        <v>100</v>
      </c>
    </row>
    <row r="613" spans="1:8" x14ac:dyDescent="0.3">
      <c r="A613" s="16" t="s">
        <v>1344</v>
      </c>
      <c r="B613">
        <v>249</v>
      </c>
      <c r="C613">
        <v>5.9</v>
      </c>
      <c r="D613">
        <v>2.9</v>
      </c>
      <c r="E613">
        <v>11</v>
      </c>
      <c r="F613">
        <v>38</v>
      </c>
      <c r="G613">
        <v>1.5</v>
      </c>
      <c r="H613">
        <v>329</v>
      </c>
    </row>
    <row r="614" spans="1:8" x14ac:dyDescent="0.3">
      <c r="A614" s="16" t="s">
        <v>1345</v>
      </c>
      <c r="B614">
        <v>80</v>
      </c>
      <c r="C614">
        <v>1</v>
      </c>
      <c r="D614">
        <v>0</v>
      </c>
      <c r="E614">
        <v>2</v>
      </c>
      <c r="F614">
        <v>15</v>
      </c>
      <c r="G614">
        <v>1</v>
      </c>
      <c r="H614">
        <v>220</v>
      </c>
    </row>
    <row r="615" spans="1:8" x14ac:dyDescent="0.3">
      <c r="A615" s="16" t="s">
        <v>1354</v>
      </c>
      <c r="B615" s="17">
        <v>290</v>
      </c>
      <c r="C615" s="17">
        <v>3.5</v>
      </c>
      <c r="D615" s="17">
        <v>0.5</v>
      </c>
      <c r="E615" s="17">
        <v>9</v>
      </c>
      <c r="F615" s="17">
        <v>53</v>
      </c>
      <c r="G615" s="17">
        <v>2</v>
      </c>
      <c r="H615" s="17">
        <v>410</v>
      </c>
    </row>
    <row r="616" spans="1:8" x14ac:dyDescent="0.3">
      <c r="A616" s="16" t="s">
        <v>1355</v>
      </c>
      <c r="B616">
        <v>0</v>
      </c>
      <c r="C616">
        <v>0</v>
      </c>
      <c r="D616">
        <v>0</v>
      </c>
      <c r="E616">
        <v>0</v>
      </c>
      <c r="F616">
        <v>0</v>
      </c>
      <c r="G616">
        <v>0</v>
      </c>
      <c r="H616">
        <v>260</v>
      </c>
    </row>
    <row r="617" spans="1:8" x14ac:dyDescent="0.3">
      <c r="A617" s="16" t="s">
        <v>1356</v>
      </c>
      <c r="B617">
        <v>80</v>
      </c>
      <c r="C617">
        <v>0</v>
      </c>
      <c r="D617">
        <v>0</v>
      </c>
      <c r="E617">
        <v>1</v>
      </c>
      <c r="F617">
        <v>19</v>
      </c>
      <c r="G617">
        <v>0</v>
      </c>
      <c r="H617">
        <v>20</v>
      </c>
    </row>
    <row r="618" spans="1:8" x14ac:dyDescent="0.3">
      <c r="A618" s="16" t="s">
        <v>1358</v>
      </c>
      <c r="B618" s="17">
        <v>130</v>
      </c>
      <c r="C618" s="17">
        <v>5</v>
      </c>
      <c r="D618" s="17">
        <v>0.5</v>
      </c>
      <c r="E618" s="17">
        <v>2</v>
      </c>
      <c r="F618" s="17">
        <v>21</v>
      </c>
      <c r="G618" s="17">
        <v>2</v>
      </c>
      <c r="H618" s="17">
        <v>220</v>
      </c>
    </row>
    <row r="619" spans="1:8" x14ac:dyDescent="0.3">
      <c r="A619" s="16" t="s">
        <v>1362</v>
      </c>
      <c r="B619">
        <v>90</v>
      </c>
      <c r="C619">
        <v>6</v>
      </c>
      <c r="D619">
        <v>3.5</v>
      </c>
      <c r="E619">
        <v>7</v>
      </c>
      <c r="F619">
        <v>2</v>
      </c>
      <c r="G619">
        <v>0</v>
      </c>
      <c r="H619">
        <v>210</v>
      </c>
    </row>
    <row r="620" spans="1:8" x14ac:dyDescent="0.3">
      <c r="A620" s="16" t="s">
        <v>1363</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1366</v>
      </c>
      <c r="B621">
        <v>190</v>
      </c>
      <c r="C621">
        <v>11</v>
      </c>
      <c r="D621">
        <v>6</v>
      </c>
      <c r="E621">
        <v>16</v>
      </c>
      <c r="F621">
        <v>7</v>
      </c>
      <c r="G621">
        <v>1</v>
      </c>
      <c r="H621">
        <v>310</v>
      </c>
    </row>
    <row r="622" spans="1:8" x14ac:dyDescent="0.3">
      <c r="A622" s="16" t="s">
        <v>1374</v>
      </c>
      <c r="B622" s="17">
        <v>160</v>
      </c>
      <c r="C622" s="17">
        <v>0</v>
      </c>
      <c r="D622" s="17">
        <v>0</v>
      </c>
      <c r="E622" s="17">
        <v>0</v>
      </c>
      <c r="F622" s="17">
        <v>40</v>
      </c>
      <c r="G622" s="17">
        <v>0</v>
      </c>
      <c r="H622" s="17">
        <v>125</v>
      </c>
    </row>
    <row r="623" spans="1:8" x14ac:dyDescent="0.3">
      <c r="A623" s="16" t="s">
        <v>1377</v>
      </c>
      <c r="B623" s="17">
        <v>210</v>
      </c>
      <c r="C623" s="17">
        <v>12</v>
      </c>
      <c r="D623" s="17">
        <v>9</v>
      </c>
      <c r="E623" s="17">
        <v>24</v>
      </c>
      <c r="F623" s="17">
        <v>3</v>
      </c>
      <c r="G623" s="17">
        <v>0</v>
      </c>
      <c r="H623" s="17">
        <v>540</v>
      </c>
    </row>
    <row r="624" spans="1:8" x14ac:dyDescent="0.3">
      <c r="A624" s="16" t="s">
        <v>1385</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1389</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1394</v>
      </c>
      <c r="B626" s="17">
        <v>90</v>
      </c>
      <c r="C626" s="17">
        <v>7</v>
      </c>
      <c r="D626" s="17">
        <v>4.5</v>
      </c>
      <c r="E626" s="17">
        <v>7</v>
      </c>
      <c r="F626" s="17">
        <v>0</v>
      </c>
      <c r="G626" s="17">
        <v>0</v>
      </c>
      <c r="H626" s="17">
        <v>170</v>
      </c>
    </row>
    <row r="627" spans="1:8" x14ac:dyDescent="0.3">
      <c r="A627" s="16" t="s">
        <v>1395</v>
      </c>
      <c r="B627" s="17">
        <v>200</v>
      </c>
      <c r="C627" s="17">
        <v>2</v>
      </c>
      <c r="D627" s="17">
        <v>0</v>
      </c>
      <c r="E627" s="17">
        <v>8</v>
      </c>
      <c r="F627" s="17">
        <v>38</v>
      </c>
      <c r="G627" s="17">
        <v>4</v>
      </c>
      <c r="H627" s="17">
        <v>400</v>
      </c>
    </row>
    <row r="628" spans="1:8" x14ac:dyDescent="0.3">
      <c r="A628" s="16" t="s">
        <v>1396</v>
      </c>
      <c r="B628" s="17">
        <v>50</v>
      </c>
      <c r="C628" s="17">
        <v>4</v>
      </c>
      <c r="D628" s="17">
        <v>2.5</v>
      </c>
      <c r="E628" s="17">
        <v>1</v>
      </c>
      <c r="F628" s="17">
        <v>2</v>
      </c>
      <c r="G628" s="17">
        <v>0</v>
      </c>
      <c r="H628" s="17">
        <v>85</v>
      </c>
    </row>
    <row r="629" spans="1:8" x14ac:dyDescent="0.3">
      <c r="A629" s="16" t="s">
        <v>1402</v>
      </c>
      <c r="B629">
        <f>320*4</f>
        <v>1280</v>
      </c>
      <c r="C629">
        <f>14*4</f>
        <v>56</v>
      </c>
      <c r="D629">
        <f>7*4</f>
        <v>28</v>
      </c>
      <c r="E629">
        <f>13*4</f>
        <v>52</v>
      </c>
      <c r="F629">
        <f>34*4</f>
        <v>136</v>
      </c>
      <c r="G629">
        <f>2*4</f>
        <v>8</v>
      </c>
      <c r="H629">
        <f>710*4</f>
        <v>2840</v>
      </c>
    </row>
    <row r="630" spans="1:8" x14ac:dyDescent="0.3">
      <c r="A630" s="16" t="s">
        <v>1404</v>
      </c>
      <c r="B630">
        <v>850</v>
      </c>
      <c r="C630">
        <v>35</v>
      </c>
      <c r="D630">
        <v>11</v>
      </c>
      <c r="E630">
        <v>29</v>
      </c>
      <c r="F630">
        <v>104</v>
      </c>
      <c r="G630">
        <v>7</v>
      </c>
      <c r="H630">
        <v>1560</v>
      </c>
    </row>
    <row r="631" spans="1:8" x14ac:dyDescent="0.3">
      <c r="A631" s="16" t="s">
        <v>1407</v>
      </c>
      <c r="B631" s="17">
        <v>160</v>
      </c>
      <c r="C631" s="17">
        <v>13</v>
      </c>
      <c r="D631" s="17">
        <v>1.5</v>
      </c>
      <c r="E631" s="17">
        <v>6</v>
      </c>
      <c r="F631" s="17">
        <v>8</v>
      </c>
      <c r="G631" s="17">
        <v>3</v>
      </c>
      <c r="H631" s="17">
        <v>135</v>
      </c>
    </row>
    <row r="632" spans="1:8" x14ac:dyDescent="0.3">
      <c r="A632" s="16" t="s">
        <v>1418</v>
      </c>
      <c r="B632">
        <v>260</v>
      </c>
      <c r="C632">
        <v>7</v>
      </c>
      <c r="D632">
        <v>4.5</v>
      </c>
      <c r="E632">
        <v>7</v>
      </c>
      <c r="F632">
        <v>41</v>
      </c>
      <c r="G632">
        <v>0</v>
      </c>
      <c r="H632">
        <v>100</v>
      </c>
    </row>
    <row r="633" spans="1:8" x14ac:dyDescent="0.3">
      <c r="A633" s="16" t="s">
        <v>1419</v>
      </c>
      <c r="B633">
        <v>450</v>
      </c>
      <c r="C633">
        <v>28</v>
      </c>
      <c r="D633">
        <v>4.5</v>
      </c>
      <c r="E633">
        <v>5</v>
      </c>
      <c r="F633">
        <v>42</v>
      </c>
      <c r="G633">
        <v>2</v>
      </c>
      <c r="H633">
        <v>680</v>
      </c>
    </row>
    <row r="634" spans="1:8" x14ac:dyDescent="0.3">
      <c r="A634" s="16" t="s">
        <v>1420</v>
      </c>
      <c r="B634">
        <f>4*200</f>
        <v>800</v>
      </c>
      <c r="C634">
        <f>4*8</f>
        <v>32</v>
      </c>
      <c r="D634">
        <f>8*1.5</f>
        <v>12</v>
      </c>
      <c r="E634">
        <f>4*5</f>
        <v>20</v>
      </c>
      <c r="F634">
        <f>4*26</f>
        <v>104</v>
      </c>
      <c r="G634">
        <f>4*1</f>
        <v>4</v>
      </c>
      <c r="H634">
        <f>4*260</f>
        <v>1040</v>
      </c>
    </row>
    <row r="635" spans="1:8" x14ac:dyDescent="0.3">
      <c r="A635" s="16" t="s">
        <v>1421</v>
      </c>
      <c r="B635">
        <v>70</v>
      </c>
      <c r="C635">
        <v>6</v>
      </c>
      <c r="D635">
        <v>3.5</v>
      </c>
      <c r="E635">
        <v>5</v>
      </c>
      <c r="F635">
        <v>0</v>
      </c>
      <c r="G635">
        <v>0</v>
      </c>
      <c r="H635">
        <v>115</v>
      </c>
    </row>
    <row r="636" spans="1:8" x14ac:dyDescent="0.3">
      <c r="A636" s="16" t="s">
        <v>1422</v>
      </c>
      <c r="B636">
        <v>890</v>
      </c>
      <c r="C636">
        <v>42</v>
      </c>
      <c r="D636">
        <v>19</v>
      </c>
      <c r="E636">
        <v>33</v>
      </c>
      <c r="F636">
        <v>95</v>
      </c>
      <c r="G636">
        <v>5</v>
      </c>
      <c r="H636">
        <v>2140</v>
      </c>
    </row>
    <row r="637" spans="1:8" x14ac:dyDescent="0.3">
      <c r="A637" s="16" t="s">
        <v>1423</v>
      </c>
      <c r="B637">
        <f>3.5*130</f>
        <v>455</v>
      </c>
      <c r="C637">
        <f>3.5*3.5</f>
        <v>12.25</v>
      </c>
      <c r="D637">
        <f>3.5*0.5</f>
        <v>1.75</v>
      </c>
      <c r="E637">
        <f>3.5*2</f>
        <v>7</v>
      </c>
      <c r="F637">
        <f>3.5*23</f>
        <v>80.5</v>
      </c>
      <c r="G637">
        <f>3.5*2</f>
        <v>7</v>
      </c>
      <c r="H637">
        <f>3.5*230</f>
        <v>805</v>
      </c>
    </row>
    <row r="638" spans="1:8" x14ac:dyDescent="0.3">
      <c r="A638" s="16" t="s">
        <v>1424</v>
      </c>
      <c r="B638">
        <v>70</v>
      </c>
      <c r="C638">
        <v>5</v>
      </c>
      <c r="D638">
        <v>3</v>
      </c>
      <c r="E638">
        <v>4</v>
      </c>
      <c r="F638">
        <v>0</v>
      </c>
      <c r="G638">
        <v>0</v>
      </c>
      <c r="H638">
        <v>105</v>
      </c>
    </row>
    <row r="639" spans="1:8" x14ac:dyDescent="0.3">
      <c r="A639" s="16" t="s">
        <v>1425</v>
      </c>
      <c r="B639">
        <v>400</v>
      </c>
      <c r="C639">
        <v>22</v>
      </c>
      <c r="D639">
        <v>9</v>
      </c>
      <c r="E639">
        <v>19</v>
      </c>
      <c r="F639">
        <v>38</v>
      </c>
      <c r="G639">
        <v>3</v>
      </c>
      <c r="H639">
        <v>920</v>
      </c>
    </row>
    <row r="640" spans="1:8" x14ac:dyDescent="0.3">
      <c r="A640" s="16" t="s">
        <v>1426</v>
      </c>
      <c r="B640">
        <v>240</v>
      </c>
      <c r="C640">
        <v>2.5</v>
      </c>
      <c r="D640">
        <v>0.5</v>
      </c>
      <c r="E640">
        <v>9</v>
      </c>
      <c r="F640">
        <v>47</v>
      </c>
      <c r="G640">
        <v>3</v>
      </c>
      <c r="H640">
        <v>600</v>
      </c>
    </row>
    <row r="641" spans="1:8" x14ac:dyDescent="0.3">
      <c r="A641" s="16" t="s">
        <v>1427</v>
      </c>
      <c r="B641">
        <v>240</v>
      </c>
      <c r="C641">
        <v>2</v>
      </c>
      <c r="D641">
        <v>0.5</v>
      </c>
      <c r="E641">
        <v>8</v>
      </c>
      <c r="F641">
        <v>46</v>
      </c>
      <c r="G641">
        <v>2</v>
      </c>
      <c r="H641">
        <v>630</v>
      </c>
    </row>
    <row r="642" spans="1:8" x14ac:dyDescent="0.3">
      <c r="A642" s="16" t="s">
        <v>1428</v>
      </c>
      <c r="B642">
        <f>110*2</f>
        <v>220</v>
      </c>
      <c r="C642">
        <f>2.5*2</f>
        <v>5</v>
      </c>
      <c r="D642">
        <f>1*2</f>
        <v>2</v>
      </c>
      <c r="E642">
        <f>3*2</f>
        <v>6</v>
      </c>
      <c r="F642">
        <f>19*2</f>
        <v>38</v>
      </c>
      <c r="G642">
        <f>2*2</f>
        <v>4</v>
      </c>
      <c r="H642">
        <f>340*2</f>
        <v>680</v>
      </c>
    </row>
    <row r="643" spans="1:8" x14ac:dyDescent="0.3">
      <c r="A643" s="16" t="s">
        <v>1433</v>
      </c>
      <c r="B643">
        <v>827</v>
      </c>
      <c r="C643">
        <v>72</v>
      </c>
      <c r="D643">
        <v>10</v>
      </c>
      <c r="E643">
        <v>38</v>
      </c>
      <c r="F643">
        <v>24</v>
      </c>
      <c r="G643">
        <v>13</v>
      </c>
      <c r="H643">
        <v>26</v>
      </c>
    </row>
    <row r="644" spans="1:8" x14ac:dyDescent="0.3">
      <c r="B644">
        <f>B618/2</f>
        <v>65</v>
      </c>
      <c r="C644">
        <f t="shared" ref="C644:H644" si="130">C618/2</f>
        <v>2.5</v>
      </c>
      <c r="D644">
        <f t="shared" si="130"/>
        <v>0.25</v>
      </c>
      <c r="E644">
        <f t="shared" si="130"/>
        <v>1</v>
      </c>
      <c r="F644">
        <f t="shared" si="130"/>
        <v>10.5</v>
      </c>
      <c r="G644">
        <f t="shared" si="130"/>
        <v>1</v>
      </c>
      <c r="H644">
        <f t="shared" si="130"/>
        <v>110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84"/>
  <sheetViews>
    <sheetView tabSelected="1" topLeftCell="Q1" zoomScale="74" zoomScaleNormal="85" workbookViewId="0">
      <pane ySplit="1" topLeftCell="A275" activePane="bottomLeft" state="frozen"/>
      <selection activeCell="O1" sqref="O1"/>
      <selection pane="bottomLeft" activeCell="AA283" sqref="AA283"/>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8" si="400">$AC215/$AB215</f>
        <v>4.5635805911879532E-2</v>
      </c>
      <c r="AJ215" s="6">
        <f t="shared" ref="AJ215:AJ278" si="401">$AD215/$AB215</f>
        <v>1.1503067484662576E-2</v>
      </c>
      <c r="AK215" s="6">
        <f t="shared" ref="AK215:AK278" si="402">$AE215/$AB215</f>
        <v>3.1999442275515898E-2</v>
      </c>
      <c r="AL215" s="6">
        <f t="shared" ref="AL215:AL278" si="403">$AF215/$AB215</f>
        <v>0.12529280535415505</v>
      </c>
      <c r="AM215" s="6">
        <f t="shared" ref="AM215:AM278" si="404">$AG215/$AB215</f>
        <v>1.5184049079754602E-2</v>
      </c>
      <c r="AN215" s="6">
        <f t="shared" ref="AN215:AN278"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1188</v>
      </c>
      <c r="AA222" s="10" t="s">
        <v>1189</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1196</v>
      </c>
      <c r="AA223" s="10" t="s">
        <v>1194</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1195</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1197</v>
      </c>
      <c r="AA224" s="10" t="s">
        <v>1200</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1201</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1204</v>
      </c>
      <c r="AA225" s="10" t="s">
        <v>1205</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1203</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1206</v>
      </c>
      <c r="AA226" s="10" t="s">
        <v>1210</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1201</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1211</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1201</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1213</v>
      </c>
      <c r="AA228" s="10" t="s">
        <v>1214</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1215</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1221</v>
      </c>
      <c r="AA229" s="10" t="s">
        <v>1225</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1215</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1227</v>
      </c>
      <c r="AA230" s="10" t="s">
        <v>1226</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1215</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1233</v>
      </c>
      <c r="AA231" s="10" t="s">
        <v>1232</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1228</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1234</v>
      </c>
      <c r="AA232" s="10" t="s">
        <v>1236</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1228</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1237</v>
      </c>
      <c r="AA233" s="10" t="s">
        <v>1239</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1228</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1240</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1238</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1228</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1244</v>
      </c>
      <c r="AA235" s="10" t="s">
        <v>1243</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1242</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1260</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1245</v>
      </c>
      <c r="AA236" s="10" t="s">
        <v>1248</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1260</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1251</v>
      </c>
      <c r="AA237" s="10" t="s">
        <v>1250</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1258</v>
      </c>
      <c r="AA238" s="10" t="s">
        <v>1257</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1262</v>
      </c>
      <c r="AA239" s="10" t="s">
        <v>1261</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1259</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1267</v>
      </c>
      <c r="AA240" s="10" t="s">
        <v>1266</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1264</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1273</v>
      </c>
      <c r="AA241" s="10" t="s">
        <v>1272</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1270</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1274</v>
      </c>
      <c r="AA242" s="10" t="s">
        <v>1276</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1280</v>
      </c>
      <c r="AA243" s="10" t="s">
        <v>1282</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1279</v>
      </c>
      <c r="AS243" s="7" t="s">
        <v>1278</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A244" s="10" t="s">
        <v>1284</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1283</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1286</v>
      </c>
      <c r="AA245" s="10" t="s">
        <v>1287</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1289</v>
      </c>
      <c r="AA246" s="10" t="s">
        <v>1288</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1297</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1294</v>
      </c>
      <c r="AS247" s="7" t="s">
        <v>1293</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1300</v>
      </c>
      <c r="AA248" s="10" t="s">
        <v>1301</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1299</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1302</v>
      </c>
      <c r="AA249" s="10" t="s">
        <v>1306</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1310</v>
      </c>
      <c r="AA250" s="10" t="s">
        <v>1309</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1308</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1305</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1311</v>
      </c>
      <c r="AA251" s="10" t="s">
        <v>1312</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1313</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1305</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1323</v>
      </c>
      <c r="AA252" s="10" t="s">
        <v>1322</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1325</v>
      </c>
      <c r="AA253" s="10" t="s">
        <v>1324</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1305</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1327</v>
      </c>
      <c r="AA254" s="10" t="s">
        <v>1326</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1336</v>
      </c>
      <c r="AA255" s="10" t="s">
        <v>1338</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1340</v>
      </c>
      <c r="AA256" s="10" t="s">
        <v>1350</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1347</v>
      </c>
      <c r="AA257" s="10" t="s">
        <v>1346</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1305</v>
      </c>
      <c r="BM257" s="7">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1348</v>
      </c>
      <c r="AA258" s="10" t="s">
        <v>1349</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1305</v>
      </c>
      <c r="BM258" s="7">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1351</v>
      </c>
      <c r="AA259" s="10" t="s">
        <v>1353</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7">
        <v>0</v>
      </c>
      <c r="AS259" s="7">
        <v>0</v>
      </c>
      <c r="AT259" s="7">
        <v>0</v>
      </c>
      <c r="AU259" s="7">
        <v>0</v>
      </c>
      <c r="AV259" s="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7">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1352</v>
      </c>
      <c r="AA260" s="10" t="s">
        <v>1357</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7">
        <v>0</v>
      </c>
      <c r="AS260" s="7">
        <v>0</v>
      </c>
      <c r="AT260" s="7">
        <v>0</v>
      </c>
      <c r="AU260" s="7">
        <v>0</v>
      </c>
      <c r="AV260" s="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1305</v>
      </c>
      <c r="BM260" s="7">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0" t="s">
        <v>1360</v>
      </c>
      <c r="AS261" s="7">
        <v>0</v>
      </c>
      <c r="AT261" s="7">
        <v>0</v>
      </c>
      <c r="AU261" s="7">
        <v>0</v>
      </c>
      <c r="AV261" s="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1305</v>
      </c>
      <c r="BM261" s="7">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1365</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7">
        <v>0</v>
      </c>
      <c r="AS262" s="7">
        <v>0</v>
      </c>
      <c r="AT262" s="7">
        <v>0</v>
      </c>
      <c r="AU262" s="7">
        <v>0</v>
      </c>
      <c r="AV262" s="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1305</v>
      </c>
      <c r="BM262" s="7">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1367</v>
      </c>
      <c r="AA263" s="10" t="s">
        <v>1368</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7">
        <v>0</v>
      </c>
      <c r="AS263" s="7">
        <v>0</v>
      </c>
      <c r="AT263" s="7">
        <v>0</v>
      </c>
      <c r="AU263" s="7">
        <v>0</v>
      </c>
      <c r="AV263" s="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1305</v>
      </c>
      <c r="BM263" s="7">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1370</v>
      </c>
      <c r="AA264" s="10" t="s">
        <v>1371</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10" t="s">
        <v>1369</v>
      </c>
      <c r="AS264" s="7">
        <v>0</v>
      </c>
      <c r="AT264" s="7">
        <v>-3</v>
      </c>
      <c r="AU264" s="7">
        <v>0</v>
      </c>
      <c r="AV264" s="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1305</v>
      </c>
      <c r="BM264" s="7">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1372</v>
      </c>
      <c r="AA265" s="10" t="s">
        <v>1375</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0" t="s">
        <v>1379</v>
      </c>
      <c r="AS265" s="7">
        <v>0</v>
      </c>
      <c r="AT265" s="7">
        <v>0</v>
      </c>
      <c r="AU265" s="7">
        <v>0</v>
      </c>
      <c r="AV265" s="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1305</v>
      </c>
      <c r="BM265" s="7">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1373</v>
      </c>
      <c r="AA266" s="10" t="s">
        <v>1376</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7">
        <v>0</v>
      </c>
      <c r="AS266" s="7">
        <v>0</v>
      </c>
      <c r="AT266" s="7">
        <v>0</v>
      </c>
      <c r="AU266" s="7">
        <v>0</v>
      </c>
      <c r="AV266" s="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1305</v>
      </c>
      <c r="BM266" s="7">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1378</v>
      </c>
      <c r="AA267" s="10" t="s">
        <v>1387</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7">
        <v>0</v>
      </c>
      <c r="AS267" s="7">
        <v>0</v>
      </c>
      <c r="AT267" s="7">
        <v>0</v>
      </c>
      <c r="AU267" s="7">
        <v>0</v>
      </c>
      <c r="AV267" s="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1305</v>
      </c>
      <c r="BM267" s="7">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1381</v>
      </c>
      <c r="AA268" s="10" t="s">
        <v>1388</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10" t="s">
        <v>1380</v>
      </c>
      <c r="AS268" s="7">
        <v>0</v>
      </c>
      <c r="AT268" s="7">
        <v>-10</v>
      </c>
      <c r="AU268" s="7">
        <v>0</v>
      </c>
      <c r="AV268" s="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1305</v>
      </c>
      <c r="BM268" s="7">
        <v>1</v>
      </c>
    </row>
    <row r="269" spans="1:65" ht="19.95" customHeight="1" x14ac:dyDescent="0.3">
      <c r="A269" s="3" t="s">
        <v>1382</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1383</v>
      </c>
      <c r="AA269" s="10" t="s">
        <v>1390</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7">
        <v>0</v>
      </c>
      <c r="AS269" s="7">
        <v>0</v>
      </c>
      <c r="AT269" s="7">
        <v>0</v>
      </c>
      <c r="AU269" s="7">
        <v>0</v>
      </c>
      <c r="AV269" s="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1305</v>
      </c>
      <c r="BM269" s="7">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1384</v>
      </c>
      <c r="AA270" s="10" t="s">
        <v>1391</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7">
        <v>0</v>
      </c>
      <c r="AS270" s="7">
        <v>0</v>
      </c>
      <c r="AT270" s="7">
        <v>0</v>
      </c>
      <c r="AU270" s="7">
        <v>0</v>
      </c>
      <c r="AV270" s="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1305</v>
      </c>
      <c r="BM270" s="7">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1393</v>
      </c>
      <c r="AA271" s="10" t="s">
        <v>1397</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7">
        <v>6</v>
      </c>
      <c r="AP271" s="7">
        <v>1</v>
      </c>
      <c r="AQ271" s="7">
        <v>0</v>
      </c>
      <c r="AR271" s="3" t="s">
        <v>1392</v>
      </c>
      <c r="AS271" s="7">
        <v>0</v>
      </c>
      <c r="AT271" s="7">
        <v>0</v>
      </c>
      <c r="AU271" s="7">
        <v>0</v>
      </c>
      <c r="AV271" s="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1305</v>
      </c>
      <c r="BM271" s="7">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1398</v>
      </c>
      <c r="AA272" s="10" t="s">
        <v>1403</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7">
        <v>7</v>
      </c>
      <c r="AP272" s="7">
        <v>1</v>
      </c>
      <c r="AQ272" s="7">
        <v>0</v>
      </c>
      <c r="AR272" s="7">
        <v>0</v>
      </c>
      <c r="AS272" s="7">
        <v>0</v>
      </c>
      <c r="AT272" s="7">
        <v>0</v>
      </c>
      <c r="AU272" s="7">
        <v>0</v>
      </c>
      <c r="AV272" s="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7">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1399</v>
      </c>
      <c r="AA273" s="10" t="s">
        <v>1405</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7">
        <v>7</v>
      </c>
      <c r="AP273" s="7">
        <v>1</v>
      </c>
      <c r="AQ273" s="7">
        <v>0</v>
      </c>
      <c r="AR273" s="7">
        <v>0</v>
      </c>
      <c r="AS273" s="7">
        <v>0</v>
      </c>
      <c r="AT273" s="7">
        <v>0</v>
      </c>
      <c r="AU273" s="7">
        <v>0</v>
      </c>
      <c r="AV273" s="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7">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1401</v>
      </c>
      <c r="AA274" s="10" t="s">
        <v>1406</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7">
        <v>6</v>
      </c>
      <c r="AP274" s="7">
        <v>1</v>
      </c>
      <c r="AQ274" s="7">
        <v>0</v>
      </c>
      <c r="AR274" s="7">
        <v>0</v>
      </c>
      <c r="AS274" s="7">
        <v>0</v>
      </c>
      <c r="AT274" s="7">
        <v>0</v>
      </c>
      <c r="AU274" s="7">
        <v>0</v>
      </c>
      <c r="AV274" s="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1400</v>
      </c>
      <c r="BM274" s="7">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1408</v>
      </c>
      <c r="AA275" s="10" t="s">
        <v>1409</v>
      </c>
      <c r="AB275" s="12">
        <f>526+260+260+80+0+0+640+300+640+260+100+160</f>
        <v>3226</v>
      </c>
      <c r="AC275" s="6">
        <f>23+18+5+5+0+0+28+18+28+5+8+13</f>
        <v>151</v>
      </c>
      <c r="AD275" s="6">
        <f>0+5+1+4+0+0+14+10+14+1+5+2</f>
        <v>56</v>
      </c>
      <c r="AE275" s="6">
        <f>0+20+13+6+0+0+26+6+26+13+2+6</f>
        <v>118</v>
      </c>
      <c r="AF275" s="6">
        <f>75+5+44+1+0+0+68+34+68+44+4+8</f>
        <v>351</v>
      </c>
      <c r="AG275" s="6">
        <f>0+2+5+0+0+0+4+2+4+5+0+3</f>
        <v>25</v>
      </c>
      <c r="AH275" s="6">
        <f>225+350+350+190+55+156+1420+100+1420+350+170+135</f>
        <v>4921</v>
      </c>
      <c r="AI275" s="6">
        <f t="shared" si="400"/>
        <v>4.6807191568505886E-2</v>
      </c>
      <c r="AJ275" s="6">
        <f t="shared" si="401"/>
        <v>1.735895846249225E-2</v>
      </c>
      <c r="AK275" s="6">
        <f t="shared" si="402"/>
        <v>3.6577805331680098E-2</v>
      </c>
      <c r="AL275" s="6">
        <f t="shared" si="403"/>
        <v>0.1088034717916925</v>
      </c>
      <c r="AM275" s="6">
        <f t="shared" si="404"/>
        <v>7.7495350278983261E-3</v>
      </c>
      <c r="AN275" s="6">
        <f t="shared" si="405"/>
        <v>1.5254184748915065</v>
      </c>
      <c r="AO275" s="7">
        <v>6</v>
      </c>
      <c r="AP275" s="7">
        <v>1</v>
      </c>
      <c r="AQ275" s="7">
        <v>0</v>
      </c>
      <c r="AR275" s="7">
        <v>0</v>
      </c>
      <c r="AS275" s="7">
        <v>0</v>
      </c>
      <c r="AT275" s="7">
        <v>0</v>
      </c>
      <c r="AU275" s="7">
        <v>0</v>
      </c>
      <c r="AV275" s="7">
        <v>0</v>
      </c>
      <c r="AW275" s="7">
        <v>31</v>
      </c>
      <c r="AX275" s="7">
        <v>1</v>
      </c>
      <c r="AY275" s="5">
        <v>7.5</v>
      </c>
      <c r="AZ275" s="7">
        <v>0</v>
      </c>
      <c r="BA275" s="7">
        <v>0</v>
      </c>
      <c r="BB275" s="7">
        <v>0</v>
      </c>
      <c r="BC275" s="7">
        <v>1</v>
      </c>
      <c r="BD275" s="7">
        <v>1</v>
      </c>
      <c r="BE275" s="7">
        <v>0</v>
      </c>
      <c r="BF275" s="7">
        <v>1</v>
      </c>
      <c r="BG275" s="7">
        <v>20</v>
      </c>
      <c r="BH275" s="7">
        <v>0</v>
      </c>
      <c r="BI275" s="7">
        <v>0</v>
      </c>
      <c r="BJ275" s="7">
        <v>0</v>
      </c>
      <c r="BK275" s="11">
        <v>1</v>
      </c>
      <c r="BL275" s="7" t="s">
        <v>1400</v>
      </c>
      <c r="BM275" s="7">
        <v>1</v>
      </c>
    </row>
    <row r="276" spans="1:65" ht="19.95" customHeight="1" x14ac:dyDescent="0.3">
      <c r="A276" s="3" t="s">
        <v>19</v>
      </c>
      <c r="B276" s="3">
        <v>19</v>
      </c>
      <c r="C276" s="8">
        <v>44485</v>
      </c>
      <c r="D276" s="9">
        <v>0.25</v>
      </c>
      <c r="E276" s="4">
        <v>52</v>
      </c>
      <c r="F276" s="3">
        <v>0</v>
      </c>
      <c r="G276" s="3">
        <v>0</v>
      </c>
      <c r="H276" s="3">
        <v>0</v>
      </c>
      <c r="I276" s="3">
        <v>0</v>
      </c>
      <c r="J276" s="9">
        <v>0.26597222222222222</v>
      </c>
      <c r="K276" s="3">
        <v>142.19999999999999</v>
      </c>
      <c r="L276" s="11">
        <f t="shared" ref="L276" si="515">K276-K275</f>
        <v>1.5999999999999943</v>
      </c>
      <c r="M276" s="5">
        <f t="shared" ref="M276" si="516">AB275</f>
        <v>3226</v>
      </c>
      <c r="N276" s="11">
        <v>30.5</v>
      </c>
      <c r="O276" s="11">
        <v>32.75</v>
      </c>
      <c r="P276" s="11">
        <v>10.625</v>
      </c>
      <c r="Q276" s="11">
        <v>10.625</v>
      </c>
      <c r="R276" s="11">
        <v>20</v>
      </c>
      <c r="S276" s="11">
        <v>20</v>
      </c>
      <c r="T276" s="11">
        <v>13</v>
      </c>
      <c r="U276" s="11">
        <v>13</v>
      </c>
      <c r="V276" s="11">
        <v>17</v>
      </c>
      <c r="W276" s="11">
        <v>15</v>
      </c>
      <c r="X276" s="11">
        <v>7</v>
      </c>
      <c r="Y276" s="11">
        <v>7</v>
      </c>
      <c r="Z276" s="3" t="s">
        <v>1410</v>
      </c>
      <c r="AA276" s="10" t="s">
        <v>1429</v>
      </c>
      <c r="AB276" s="5">
        <f>280+450+320+480+100+220+160+140</f>
        <v>2150</v>
      </c>
      <c r="AC276" s="6">
        <f>12+30+26+5+8+5+10+10</f>
        <v>106</v>
      </c>
      <c r="AD276" s="6">
        <f>0+3+3+1+5+2+7+6</f>
        <v>27</v>
      </c>
      <c r="AE276" s="6">
        <f>0+6+12+18+2+6+12+8</f>
        <v>64</v>
      </c>
      <c r="AF276" s="6">
        <f>40+45+16+94+4+38+2+2</f>
        <v>241</v>
      </c>
      <c r="AG276" s="6">
        <f>0+3+6+6+0+4+0+0</f>
        <v>19</v>
      </c>
      <c r="AH276" s="6">
        <f>120+405+270+1200+170+680+380+500</f>
        <v>3725</v>
      </c>
      <c r="AI276" s="6">
        <f t="shared" si="400"/>
        <v>4.930232558139535E-2</v>
      </c>
      <c r="AJ276" s="6">
        <f t="shared" si="401"/>
        <v>1.2558139534883722E-2</v>
      </c>
      <c r="AK276" s="6">
        <f t="shared" si="402"/>
        <v>2.9767441860465118E-2</v>
      </c>
      <c r="AL276" s="6">
        <f t="shared" si="403"/>
        <v>0.11209302325581395</v>
      </c>
      <c r="AM276" s="6">
        <f t="shared" si="404"/>
        <v>8.8372093023255816E-3</v>
      </c>
      <c r="AN276" s="6">
        <f t="shared" si="405"/>
        <v>1.7325581395348837</v>
      </c>
      <c r="AO276" s="7">
        <v>5</v>
      </c>
      <c r="AP276" s="7">
        <v>1</v>
      </c>
      <c r="AQ276" s="7">
        <v>0</v>
      </c>
      <c r="AR276" s="7">
        <v>0</v>
      </c>
      <c r="AS276" s="7">
        <v>0</v>
      </c>
      <c r="AT276" s="7">
        <v>0</v>
      </c>
      <c r="AU276" s="7">
        <v>0</v>
      </c>
      <c r="AV276" s="7">
        <v>0</v>
      </c>
      <c r="AW276" s="7">
        <v>31</v>
      </c>
      <c r="AX276" s="7">
        <v>1</v>
      </c>
      <c r="AY276" s="5">
        <v>6.5</v>
      </c>
      <c r="AZ276" s="7">
        <v>0</v>
      </c>
      <c r="BA276" s="7">
        <v>1</v>
      </c>
      <c r="BB276" s="7">
        <v>0</v>
      </c>
      <c r="BC276" s="7">
        <v>1</v>
      </c>
      <c r="BD276" s="7">
        <v>1</v>
      </c>
      <c r="BE276" s="7">
        <v>0</v>
      </c>
      <c r="BF276" s="7">
        <v>0</v>
      </c>
      <c r="BG276" s="7">
        <v>0</v>
      </c>
      <c r="BH276" s="7">
        <v>0</v>
      </c>
      <c r="BI276" s="7">
        <v>0</v>
      </c>
      <c r="BJ276" s="7">
        <v>0</v>
      </c>
      <c r="BK276" s="11">
        <v>2</v>
      </c>
      <c r="BL276" s="7" t="s">
        <v>1400</v>
      </c>
      <c r="BM276" s="7">
        <v>1</v>
      </c>
    </row>
    <row r="277" spans="1:65" ht="19.95" customHeight="1" x14ac:dyDescent="0.3">
      <c r="A277" s="3" t="s">
        <v>23</v>
      </c>
      <c r="B277" s="3">
        <v>20</v>
      </c>
      <c r="C277" s="8">
        <v>44486</v>
      </c>
      <c r="D277" s="9">
        <v>0.25</v>
      </c>
      <c r="E277" s="4">
        <v>50</v>
      </c>
      <c r="F277" s="3">
        <v>0</v>
      </c>
      <c r="G277" s="3">
        <v>0</v>
      </c>
      <c r="H277" s="3">
        <v>0</v>
      </c>
      <c r="I277" s="3">
        <v>0</v>
      </c>
      <c r="J277" s="9">
        <v>0.2986111111111111</v>
      </c>
      <c r="K277" s="3">
        <v>143.19999999999999</v>
      </c>
      <c r="L277" s="11">
        <f t="shared" ref="L277:L283" si="517">K277-K276</f>
        <v>1</v>
      </c>
      <c r="M277" s="5">
        <f t="shared" ref="M277:M283" si="518">AB276</f>
        <v>2150</v>
      </c>
      <c r="N277" s="11">
        <v>30.5</v>
      </c>
      <c r="O277" s="11">
        <v>32.25</v>
      </c>
      <c r="P277" s="11">
        <v>10.625</v>
      </c>
      <c r="Q277" s="11">
        <v>10.75</v>
      </c>
      <c r="R277" s="11">
        <v>20.25</v>
      </c>
      <c r="S277" s="11">
        <v>20.25</v>
      </c>
      <c r="T277" s="11">
        <v>15</v>
      </c>
      <c r="U277" s="11">
        <v>13</v>
      </c>
      <c r="V277" s="11">
        <v>15</v>
      </c>
      <c r="W277" s="11">
        <v>15</v>
      </c>
      <c r="X277" s="11">
        <v>7</v>
      </c>
      <c r="Y277" s="11">
        <v>7</v>
      </c>
      <c r="Z277" s="3" t="s">
        <v>1411</v>
      </c>
      <c r="AA277" s="10" t="s">
        <v>1430</v>
      </c>
      <c r="AB277" s="5">
        <f>525+480+255+70+725+0+0</f>
        <v>2055</v>
      </c>
      <c r="AC277" s="6">
        <f>22.5+5+25.5+5+15+0+0</f>
        <v>73</v>
      </c>
      <c r="AD277" s="6">
        <f>0+1+16+3+3+0+0</f>
        <v>23</v>
      </c>
      <c r="AE277" s="6">
        <f>0+18+6+4+28+0+0</f>
        <v>56</v>
      </c>
      <c r="AF277" s="6">
        <f>75+94+2+1+116+0+0</f>
        <v>288</v>
      </c>
      <c r="AG277" s="6">
        <f>0+6+0+0+9+0+0</f>
        <v>15</v>
      </c>
      <c r="AH277" s="6">
        <f>225+1200+215+250+2278+55+260</f>
        <v>4483</v>
      </c>
      <c r="AI277" s="6">
        <f t="shared" si="400"/>
        <v>3.5523114355231145E-2</v>
      </c>
      <c r="AJ277" s="6">
        <f t="shared" si="401"/>
        <v>1.1192214111922141E-2</v>
      </c>
      <c r="AK277" s="6">
        <f t="shared" si="402"/>
        <v>2.7250608272506083E-2</v>
      </c>
      <c r="AL277" s="6">
        <f t="shared" si="403"/>
        <v>0.14014598540145987</v>
      </c>
      <c r="AM277" s="6">
        <f t="shared" si="404"/>
        <v>7.2992700729927005E-3</v>
      </c>
      <c r="AN277" s="6">
        <f t="shared" si="405"/>
        <v>2.1815085158150853</v>
      </c>
      <c r="AO277" s="7">
        <v>6</v>
      </c>
      <c r="AP277" s="7">
        <v>1</v>
      </c>
      <c r="AQ277" s="7">
        <v>0</v>
      </c>
      <c r="AR277" s="7">
        <v>0</v>
      </c>
      <c r="AS277" s="7">
        <v>0</v>
      </c>
      <c r="AT277" s="7">
        <v>0</v>
      </c>
      <c r="AU277" s="7">
        <v>0</v>
      </c>
      <c r="AV277" s="7">
        <v>0</v>
      </c>
      <c r="AW277" s="7">
        <v>31</v>
      </c>
      <c r="AX277" s="7">
        <v>1</v>
      </c>
      <c r="AY277" s="5">
        <v>7</v>
      </c>
      <c r="AZ277" s="7">
        <v>0</v>
      </c>
      <c r="BA277" s="7">
        <v>0</v>
      </c>
      <c r="BB277" s="7">
        <v>0</v>
      </c>
      <c r="BC277" s="7">
        <v>1</v>
      </c>
      <c r="BD277" s="7">
        <v>1</v>
      </c>
      <c r="BE277" s="7">
        <v>0</v>
      </c>
      <c r="BF277" s="7">
        <v>0</v>
      </c>
      <c r="BG277" s="7">
        <v>0</v>
      </c>
      <c r="BH277" s="7">
        <v>0</v>
      </c>
      <c r="BI277" s="7">
        <v>0</v>
      </c>
      <c r="BJ277" s="7">
        <v>1</v>
      </c>
      <c r="BK277" s="11">
        <v>1</v>
      </c>
      <c r="BL277" s="7" t="s">
        <v>1048</v>
      </c>
      <c r="BM277" s="7">
        <v>1</v>
      </c>
    </row>
    <row r="278" spans="1:65" ht="19.95" customHeight="1" x14ac:dyDescent="0.3">
      <c r="A278" s="3" t="s">
        <v>15</v>
      </c>
      <c r="B278" s="3">
        <v>21</v>
      </c>
      <c r="C278" s="8">
        <v>44487</v>
      </c>
      <c r="D278" s="9">
        <v>0.25</v>
      </c>
      <c r="E278" s="4">
        <v>58</v>
      </c>
      <c r="F278" s="3">
        <v>0</v>
      </c>
      <c r="G278" s="3">
        <v>0</v>
      </c>
      <c r="H278" s="3">
        <v>0</v>
      </c>
      <c r="I278" s="3">
        <v>0</v>
      </c>
      <c r="J278" s="9">
        <v>0.37847222222222227</v>
      </c>
      <c r="K278" s="3">
        <v>143</v>
      </c>
      <c r="L278" s="11">
        <f t="shared" si="517"/>
        <v>-0.19999999999998863</v>
      </c>
      <c r="M278" s="5">
        <f t="shared" si="518"/>
        <v>2055</v>
      </c>
      <c r="N278" s="11">
        <v>30.625</v>
      </c>
      <c r="O278" s="11">
        <v>32.375</v>
      </c>
      <c r="P278" s="11">
        <v>10.625</v>
      </c>
      <c r="Q278" s="11">
        <v>10.625</v>
      </c>
      <c r="R278" s="11">
        <v>19.75</v>
      </c>
      <c r="S278" s="11">
        <v>20.25</v>
      </c>
      <c r="T278" s="11">
        <v>15</v>
      </c>
      <c r="U278" s="11">
        <v>15</v>
      </c>
      <c r="V278" s="11">
        <v>16</v>
      </c>
      <c r="W278" s="11">
        <v>14</v>
      </c>
      <c r="X278" s="11">
        <v>7</v>
      </c>
      <c r="Y278" s="11">
        <v>7</v>
      </c>
      <c r="Z278" s="3" t="s">
        <v>1412</v>
      </c>
      <c r="AA278" s="10" t="s">
        <v>1431</v>
      </c>
      <c r="AB278" s="5">
        <f>850+735+220+140+160+480+153+240+0</f>
        <v>2978</v>
      </c>
      <c r="AC278" s="6">
        <f>35+32+5+10+10+5+15+14+0</f>
        <v>126</v>
      </c>
      <c r="AD278" s="6">
        <f>11+0+2+6+7+1+10+8+0</f>
        <v>45</v>
      </c>
      <c r="AE278" s="6">
        <f>29+0+6+8+12+18+3+19+0</f>
        <v>95</v>
      </c>
      <c r="AF278" s="6">
        <f>104+105+38+2+2+94+1.2+9+0</f>
        <v>355.2</v>
      </c>
      <c r="AG278" s="6">
        <f>7+0+4+0+0+6+0+3+0</f>
        <v>20</v>
      </c>
      <c r="AH278" s="6">
        <f>1560+315+680+500+380+1200+129+370+110</f>
        <v>5244</v>
      </c>
      <c r="AI278" s="6">
        <f t="shared" si="400"/>
        <v>4.2310275352585629E-2</v>
      </c>
      <c r="AJ278" s="6">
        <f t="shared" si="401"/>
        <v>1.5110812625923439E-2</v>
      </c>
      <c r="AK278" s="6">
        <f t="shared" si="402"/>
        <v>3.1900604432505038E-2</v>
      </c>
      <c r="AL278" s="6">
        <f t="shared" si="403"/>
        <v>0.11927468099395568</v>
      </c>
      <c r="AM278" s="6">
        <f t="shared" si="404"/>
        <v>6.7159167226326392E-3</v>
      </c>
      <c r="AN278" s="6">
        <f t="shared" si="405"/>
        <v>1.7609133646742781</v>
      </c>
      <c r="AO278" s="7">
        <v>5</v>
      </c>
      <c r="AP278" s="7">
        <v>3</v>
      </c>
      <c r="AQ278" s="7">
        <v>0</v>
      </c>
      <c r="AR278" s="7">
        <v>0</v>
      </c>
      <c r="AS278" s="7">
        <v>0</v>
      </c>
      <c r="AT278" s="7">
        <v>0</v>
      </c>
      <c r="AU278" s="7">
        <v>0</v>
      </c>
      <c r="AV278" s="7">
        <v>0</v>
      </c>
      <c r="AW278" s="7">
        <v>31</v>
      </c>
      <c r="AX278" s="7">
        <v>0</v>
      </c>
      <c r="AY278" s="5">
        <v>7</v>
      </c>
      <c r="AZ278" s="7">
        <v>0</v>
      </c>
      <c r="BA278" s="7">
        <v>0</v>
      </c>
      <c r="BB278" s="7">
        <v>0</v>
      </c>
      <c r="BC278" s="7">
        <v>1</v>
      </c>
      <c r="BD278" s="7">
        <v>1</v>
      </c>
      <c r="BE278" s="7">
        <v>0</v>
      </c>
      <c r="BF278" s="7">
        <v>0</v>
      </c>
      <c r="BG278" s="7">
        <v>0</v>
      </c>
      <c r="BH278" s="7">
        <v>0</v>
      </c>
      <c r="BI278" s="7">
        <v>1</v>
      </c>
      <c r="BJ278" s="7">
        <v>0</v>
      </c>
      <c r="BK278" s="11">
        <v>3</v>
      </c>
      <c r="BL278" s="7" t="s">
        <v>1413</v>
      </c>
      <c r="BM278" s="7">
        <v>1</v>
      </c>
    </row>
    <row r="279" spans="1:65" ht="19.95" customHeight="1" x14ac:dyDescent="0.3">
      <c r="A279" s="3" t="s">
        <v>16</v>
      </c>
      <c r="B279" s="3">
        <v>22</v>
      </c>
      <c r="C279" s="8">
        <v>44488</v>
      </c>
      <c r="D279" s="9">
        <v>0.25</v>
      </c>
      <c r="E279" s="4">
        <v>46</v>
      </c>
      <c r="F279" s="3">
        <v>0</v>
      </c>
      <c r="G279" s="3">
        <v>0</v>
      </c>
      <c r="H279" s="3">
        <v>0</v>
      </c>
      <c r="I279" s="3">
        <v>0</v>
      </c>
      <c r="J279" s="9">
        <v>0.38819444444444445</v>
      </c>
      <c r="K279" s="3">
        <v>145.19999999999999</v>
      </c>
      <c r="L279" s="11">
        <f t="shared" si="517"/>
        <v>2.1999999999999886</v>
      </c>
      <c r="M279" s="5">
        <f t="shared" si="518"/>
        <v>2978</v>
      </c>
      <c r="N279" s="11">
        <v>31.25</v>
      </c>
      <c r="O279" s="11">
        <v>32.25</v>
      </c>
      <c r="P279" s="11">
        <v>10.75</v>
      </c>
      <c r="Q279" s="11">
        <v>10.75</v>
      </c>
      <c r="R279" s="11">
        <v>20</v>
      </c>
      <c r="S279" s="11">
        <v>20.125</v>
      </c>
      <c r="T279" s="11">
        <v>15</v>
      </c>
      <c r="U279" s="11">
        <v>15</v>
      </c>
      <c r="V279" s="11">
        <v>15</v>
      </c>
      <c r="W279" s="11">
        <v>15</v>
      </c>
      <c r="X279" s="11">
        <v>7</v>
      </c>
      <c r="Y279" s="11">
        <v>7</v>
      </c>
      <c r="Z279" s="3" t="s">
        <v>1414</v>
      </c>
      <c r="AA279" s="10" t="s">
        <v>1432</v>
      </c>
      <c r="AB279" s="12">
        <f>800+350+525+300+260+450+240+100</f>
        <v>3025</v>
      </c>
      <c r="AC279" s="6">
        <f>44+25+23+16+7+28+240+8</f>
        <v>391</v>
      </c>
      <c r="AD279" s="6">
        <f>18+15+0+1+5+5+240+5</f>
        <v>289</v>
      </c>
      <c r="AE279" s="6">
        <f>38+20+0+4+7+5+240+2</f>
        <v>316</v>
      </c>
      <c r="AF279" s="6">
        <f>76+0+75+34+41+42+240+4</f>
        <v>512</v>
      </c>
      <c r="AG279" s="6">
        <f>6+0+0+2+0+2+240+0</f>
        <v>250</v>
      </c>
      <c r="AH279" s="6">
        <f>1840+525+225+340+100+680+240+170</f>
        <v>4120</v>
      </c>
      <c r="AI279" s="6">
        <f t="shared" ref="AI279:AI282" si="519">$AC279/$AB279</f>
        <v>0.12925619834710744</v>
      </c>
      <c r="AJ279" s="6">
        <f t="shared" ref="AJ279:AJ282" si="520">$AD279/$AB279</f>
        <v>9.5537190082644621E-2</v>
      </c>
      <c r="AK279" s="6">
        <f t="shared" ref="AK279:AK282" si="521">$AE279/$AB279</f>
        <v>0.10446280991735538</v>
      </c>
      <c r="AL279" s="6">
        <f t="shared" ref="AL279:AL282" si="522">$AF279/$AB279</f>
        <v>0.16925619834710745</v>
      </c>
      <c r="AM279" s="6">
        <f t="shared" ref="AM279:AM282" si="523">$AG279/$AB279</f>
        <v>8.2644628099173556E-2</v>
      </c>
      <c r="AN279" s="6">
        <f t="shared" ref="AN279:AN282" si="524">$AH279/$AB279</f>
        <v>1.3619834710743801</v>
      </c>
      <c r="AO279" s="7">
        <v>7</v>
      </c>
      <c r="AP279" s="7">
        <v>3</v>
      </c>
      <c r="AQ279" s="7">
        <v>0</v>
      </c>
      <c r="AR279" s="7">
        <v>0</v>
      </c>
      <c r="AS279" s="7">
        <v>0</v>
      </c>
      <c r="AT279" s="7">
        <v>0</v>
      </c>
      <c r="AU279" s="7">
        <v>0</v>
      </c>
      <c r="AV279" s="7">
        <v>0</v>
      </c>
      <c r="AW279" s="7">
        <v>0</v>
      </c>
      <c r="AX279" s="7">
        <v>1</v>
      </c>
      <c r="AY279" s="5">
        <v>6</v>
      </c>
      <c r="AZ279" s="7">
        <v>0</v>
      </c>
      <c r="BA279" s="7">
        <v>1</v>
      </c>
      <c r="BB279" s="7">
        <v>0</v>
      </c>
      <c r="BC279" s="7">
        <v>1</v>
      </c>
      <c r="BD279" s="7">
        <v>1</v>
      </c>
      <c r="BE279" s="7">
        <v>0</v>
      </c>
      <c r="BF279" s="7">
        <v>0</v>
      </c>
      <c r="BG279" s="7">
        <v>0</v>
      </c>
      <c r="BH279" s="7">
        <v>0</v>
      </c>
      <c r="BI279" s="7">
        <v>1</v>
      </c>
      <c r="BJ279" s="7">
        <v>1</v>
      </c>
      <c r="BK279" s="11">
        <v>0</v>
      </c>
      <c r="BL279" s="7">
        <v>0</v>
      </c>
      <c r="BM279" s="7">
        <v>1</v>
      </c>
    </row>
    <row r="280" spans="1:65" ht="19.95" customHeight="1" x14ac:dyDescent="0.3">
      <c r="A280" s="3" t="s">
        <v>17</v>
      </c>
      <c r="B280" s="3">
        <v>23</v>
      </c>
      <c r="C280" s="8">
        <v>44489</v>
      </c>
      <c r="D280" s="9">
        <v>0.33333333333333331</v>
      </c>
      <c r="E280" s="4">
        <v>55</v>
      </c>
      <c r="F280" s="3">
        <v>0</v>
      </c>
      <c r="G280" s="3">
        <v>0</v>
      </c>
      <c r="H280" s="3">
        <v>0</v>
      </c>
      <c r="I280" s="3">
        <v>0</v>
      </c>
      <c r="J280" s="9">
        <v>0.94652777777777775</v>
      </c>
      <c r="K280" s="3">
        <v>140.19999999999999</v>
      </c>
      <c r="L280" s="11">
        <f t="shared" si="517"/>
        <v>-5</v>
      </c>
      <c r="M280" s="5">
        <f t="shared" si="518"/>
        <v>3025</v>
      </c>
      <c r="N280" s="11">
        <v>30</v>
      </c>
      <c r="O280" s="11">
        <v>31.875</v>
      </c>
      <c r="P280" s="11">
        <v>10.625</v>
      </c>
      <c r="Q280" s="11">
        <v>10.875</v>
      </c>
      <c r="R280" s="11">
        <v>19.75</v>
      </c>
      <c r="S280" s="11">
        <v>20</v>
      </c>
      <c r="T280" s="11">
        <v>15</v>
      </c>
      <c r="U280" s="11">
        <v>13</v>
      </c>
      <c r="V280" s="11">
        <v>16</v>
      </c>
      <c r="W280" s="11">
        <v>14</v>
      </c>
      <c r="X280" s="11">
        <v>7</v>
      </c>
      <c r="Y280" s="11">
        <v>7</v>
      </c>
      <c r="Z280" s="3" t="s">
        <v>1417</v>
      </c>
      <c r="AA280" s="10" t="s">
        <v>1434</v>
      </c>
      <c r="AB280" s="5">
        <f>780+450+455+207+280</f>
        <v>2172</v>
      </c>
      <c r="AC280" s="6">
        <f>21+28+13+18+24</f>
        <v>104</v>
      </c>
      <c r="AD280" s="6">
        <f>14+5+2+3+14</f>
        <v>38</v>
      </c>
      <c r="AE280" s="6">
        <f>21+5+7+10+20</f>
        <v>63</v>
      </c>
      <c r="AF280" s="6">
        <f>123+42+81+6+0</f>
        <v>252</v>
      </c>
      <c r="AG280" s="6">
        <f>0+2+7+3+0</f>
        <v>12</v>
      </c>
      <c r="AH280" s="6">
        <f>300+680+805+7+460</f>
        <v>2252</v>
      </c>
      <c r="AI280" s="6">
        <f t="shared" si="519"/>
        <v>4.7882136279926338E-2</v>
      </c>
      <c r="AJ280" s="6">
        <f t="shared" si="520"/>
        <v>1.7495395948434623E-2</v>
      </c>
      <c r="AK280" s="6">
        <f t="shared" si="521"/>
        <v>2.9005524861878452E-2</v>
      </c>
      <c r="AL280" s="6">
        <f t="shared" si="522"/>
        <v>0.11602209944751381</v>
      </c>
      <c r="AM280" s="6">
        <f t="shared" si="523"/>
        <v>5.5248618784530384E-3</v>
      </c>
      <c r="AN280" s="6">
        <f t="shared" si="524"/>
        <v>1.0368324125230202</v>
      </c>
      <c r="AO280" s="7">
        <v>5</v>
      </c>
      <c r="AP280" s="7">
        <v>0</v>
      </c>
      <c r="AQ280" s="7">
        <v>0</v>
      </c>
      <c r="AR280" s="7">
        <v>0</v>
      </c>
      <c r="AS280" s="7">
        <v>0</v>
      </c>
      <c r="AT280" s="7">
        <v>0</v>
      </c>
      <c r="AU280" s="7">
        <v>0</v>
      </c>
      <c r="AV280" s="7">
        <v>0</v>
      </c>
      <c r="AW280" s="7">
        <v>31</v>
      </c>
      <c r="AX280" s="7">
        <v>1</v>
      </c>
      <c r="AY280" s="5">
        <v>2.5</v>
      </c>
      <c r="AZ280" s="7">
        <v>0</v>
      </c>
      <c r="BA280" s="7">
        <v>0</v>
      </c>
      <c r="BB280" s="7">
        <v>0</v>
      </c>
      <c r="BC280" s="7">
        <v>1</v>
      </c>
      <c r="BD280" s="7">
        <v>1</v>
      </c>
      <c r="BE280" s="7">
        <v>0</v>
      </c>
      <c r="BF280" s="7">
        <v>0</v>
      </c>
      <c r="BG280" s="7">
        <v>0</v>
      </c>
      <c r="BH280" s="7">
        <v>0</v>
      </c>
      <c r="BI280" s="7">
        <v>0</v>
      </c>
      <c r="BJ280" s="7">
        <v>1</v>
      </c>
      <c r="BK280" s="11">
        <v>1</v>
      </c>
      <c r="BL280" s="7" t="s">
        <v>1048</v>
      </c>
      <c r="BM280" s="7">
        <v>2</v>
      </c>
    </row>
    <row r="281" spans="1:65" ht="19.95" customHeight="1" x14ac:dyDescent="0.3">
      <c r="A281" s="3" t="s">
        <v>18</v>
      </c>
      <c r="B281" s="3">
        <v>0</v>
      </c>
      <c r="C281" s="8">
        <v>44490</v>
      </c>
      <c r="D281" s="9">
        <v>0.16666666666666666</v>
      </c>
      <c r="E281" s="4">
        <v>49</v>
      </c>
      <c r="F281" s="3">
        <v>0</v>
      </c>
      <c r="G281" s="3">
        <v>0</v>
      </c>
      <c r="H281" s="3">
        <v>0</v>
      </c>
      <c r="I281" s="3">
        <v>0</v>
      </c>
      <c r="J281" s="27"/>
      <c r="K281" s="27"/>
      <c r="L281" s="11">
        <f t="shared" si="517"/>
        <v>-140.19999999999999</v>
      </c>
      <c r="M281" s="5">
        <f t="shared" si="518"/>
        <v>2172</v>
      </c>
      <c r="N281" s="28"/>
      <c r="O281" s="28"/>
      <c r="P281" s="28"/>
      <c r="Q281" s="28"/>
      <c r="R281" s="28"/>
      <c r="S281" s="28"/>
      <c r="T281" s="28"/>
      <c r="U281" s="28"/>
      <c r="V281" s="28"/>
      <c r="W281" s="28"/>
      <c r="X281" s="28"/>
      <c r="Y281" s="28"/>
      <c r="Z281" s="3" t="s">
        <v>1415</v>
      </c>
      <c r="AA281" s="10" t="s">
        <v>1435</v>
      </c>
      <c r="AB281" s="5">
        <f>800+445+350+240+153+150+525+375</f>
        <v>3038</v>
      </c>
      <c r="AC281" s="6">
        <f>32+21+30+2+15+9+23+15</f>
        <v>147</v>
      </c>
      <c r="AD281" s="6">
        <f>12+10+18+1+10+5+0+3</f>
        <v>59</v>
      </c>
      <c r="AE281" s="6">
        <f>20+17+25+8+3+3+0+5</f>
        <v>81</v>
      </c>
      <c r="AF281" s="6">
        <f>104+48+0+46+1+17+75+50</f>
        <v>341</v>
      </c>
      <c r="AG281" s="6">
        <f>4+3+0+2+0+1+0+3</f>
        <v>13</v>
      </c>
      <c r="AH281" s="6">
        <f>1040+1070+575+630+129+50+225+900</f>
        <v>4619</v>
      </c>
      <c r="AI281" s="6">
        <f t="shared" si="519"/>
        <v>4.8387096774193547E-2</v>
      </c>
      <c r="AJ281" s="6">
        <f t="shared" si="520"/>
        <v>1.9420671494404212E-2</v>
      </c>
      <c r="AK281" s="6">
        <f t="shared" si="521"/>
        <v>2.6662277814351546E-2</v>
      </c>
      <c r="AL281" s="6">
        <f t="shared" si="522"/>
        <v>0.11224489795918367</v>
      </c>
      <c r="AM281" s="6">
        <f t="shared" si="523"/>
        <v>4.279131007241606E-3</v>
      </c>
      <c r="AN281" s="6">
        <f t="shared" si="524"/>
        <v>1.5204081632653061</v>
      </c>
      <c r="AO281" s="7">
        <v>4</v>
      </c>
      <c r="AP281" s="7">
        <v>1</v>
      </c>
      <c r="AQ281" s="7">
        <v>1</v>
      </c>
      <c r="AR281" s="7">
        <v>0</v>
      </c>
      <c r="AS281" s="7">
        <v>0</v>
      </c>
      <c r="AT281" s="7">
        <v>0</v>
      </c>
      <c r="AU281" s="7">
        <v>0</v>
      </c>
      <c r="AV281" s="7">
        <v>0</v>
      </c>
      <c r="AW281" s="7">
        <v>0</v>
      </c>
      <c r="AX281" s="7">
        <v>0</v>
      </c>
      <c r="AY281" s="5">
        <v>5</v>
      </c>
      <c r="AZ281" s="7">
        <v>0</v>
      </c>
      <c r="BA281" s="7">
        <v>0</v>
      </c>
      <c r="BB281" s="7">
        <v>0</v>
      </c>
      <c r="BC281" s="7">
        <v>1</v>
      </c>
      <c r="BD281" s="7">
        <v>1</v>
      </c>
      <c r="BE281" s="7">
        <v>0</v>
      </c>
      <c r="BF281" s="7">
        <v>2</v>
      </c>
      <c r="BG281" s="7">
        <v>40</v>
      </c>
      <c r="BH281" s="7">
        <v>0</v>
      </c>
      <c r="BI281" s="7">
        <v>0</v>
      </c>
      <c r="BJ281" s="7">
        <v>1</v>
      </c>
      <c r="BK281" s="11">
        <v>3</v>
      </c>
      <c r="BL281" s="7" t="s">
        <v>1416</v>
      </c>
      <c r="BM281" s="7">
        <v>1</v>
      </c>
    </row>
    <row r="282" spans="1:65" s="21" customFormat="1" ht="40.049999999999997" customHeight="1" x14ac:dyDescent="0.3">
      <c r="A282" s="21" t="s">
        <v>137</v>
      </c>
      <c r="B282" s="21">
        <v>1</v>
      </c>
      <c r="C282" s="22">
        <v>44491</v>
      </c>
      <c r="D282" s="23">
        <v>0.20833333333333334</v>
      </c>
      <c r="E282" s="24">
        <v>51</v>
      </c>
      <c r="F282" s="21">
        <v>0</v>
      </c>
      <c r="G282" s="21">
        <v>0</v>
      </c>
      <c r="H282" s="21">
        <v>0</v>
      </c>
      <c r="I282" s="21">
        <v>0</v>
      </c>
      <c r="J282" s="23">
        <v>0.49374999999999997</v>
      </c>
      <c r="K282" s="21">
        <v>143.19999999999999</v>
      </c>
      <c r="L282" s="11">
        <f t="shared" si="517"/>
        <v>143.19999999999999</v>
      </c>
      <c r="M282" s="5">
        <f t="shared" si="518"/>
        <v>3038</v>
      </c>
      <c r="N282" s="25">
        <v>30.875</v>
      </c>
      <c r="O282" s="25">
        <v>31.875</v>
      </c>
      <c r="P282" s="25">
        <v>10.75</v>
      </c>
      <c r="Q282" s="25">
        <v>10.625</v>
      </c>
      <c r="R282" s="25">
        <v>19.75</v>
      </c>
      <c r="S282" s="25">
        <v>20.375</v>
      </c>
      <c r="T282" s="25">
        <v>15</v>
      </c>
      <c r="U282" s="25">
        <v>14</v>
      </c>
      <c r="V282" s="25">
        <v>17</v>
      </c>
      <c r="W282" s="25">
        <v>16</v>
      </c>
      <c r="X282" s="25">
        <v>7</v>
      </c>
      <c r="Y282" s="25">
        <v>7</v>
      </c>
      <c r="Z282" s="21" t="s">
        <v>1438</v>
      </c>
      <c r="AA282" s="26" t="s">
        <v>1437</v>
      </c>
      <c r="AB282" s="6">
        <f>525+445+210+240+100+375+75+140+65+140</f>
        <v>2315</v>
      </c>
      <c r="AC282" s="6">
        <f>23+21+9+2+8+15+5+12+3+12</f>
        <v>110</v>
      </c>
      <c r="AD282" s="6">
        <f>0+10+0+1+5+3+3+7+0+7</f>
        <v>36</v>
      </c>
      <c r="AE282" s="6">
        <f>0+17+0+8+2+5+2+10+1+10</f>
        <v>55</v>
      </c>
      <c r="AF282" s="6">
        <f>75+48+30+46+4+50+9+0+11+0</f>
        <v>273</v>
      </c>
      <c r="AG282" s="6">
        <f>0+3+0+2+0+3+1+0+1+0</f>
        <v>10</v>
      </c>
      <c r="AH282" s="6">
        <f>225+1070+90+630+170+900+25+230+110+230</f>
        <v>3680</v>
      </c>
      <c r="AI282" s="6">
        <f t="shared" si="519"/>
        <v>4.7516198704103674E-2</v>
      </c>
      <c r="AJ282" s="6">
        <f t="shared" si="520"/>
        <v>1.5550755939524838E-2</v>
      </c>
      <c r="AK282" s="6">
        <f t="shared" si="521"/>
        <v>2.3758099352051837E-2</v>
      </c>
      <c r="AL282" s="6">
        <f t="shared" si="522"/>
        <v>0.11792656587473002</v>
      </c>
      <c r="AM282" s="6">
        <f t="shared" si="523"/>
        <v>4.3196544276457886E-3</v>
      </c>
      <c r="AN282" s="6">
        <f t="shared" si="524"/>
        <v>1.5896328293736501</v>
      </c>
      <c r="AO282" s="7">
        <v>5</v>
      </c>
      <c r="AP282" s="7">
        <v>3</v>
      </c>
      <c r="AQ282" s="7">
        <v>1</v>
      </c>
      <c r="AR282" s="7">
        <v>0</v>
      </c>
      <c r="AS282" s="7">
        <v>0</v>
      </c>
      <c r="AT282" s="7">
        <v>0</v>
      </c>
      <c r="AU282" s="7">
        <v>0</v>
      </c>
      <c r="AV282" s="7">
        <v>0</v>
      </c>
      <c r="AW282" s="7">
        <v>0</v>
      </c>
      <c r="AX282" s="7">
        <v>1</v>
      </c>
      <c r="AY282" s="6">
        <v>5</v>
      </c>
      <c r="AZ282" s="7">
        <v>0</v>
      </c>
      <c r="BA282" s="7">
        <v>0</v>
      </c>
      <c r="BB282" s="7">
        <v>0</v>
      </c>
      <c r="BC282" s="7">
        <v>1</v>
      </c>
      <c r="BD282" s="7">
        <v>1</v>
      </c>
      <c r="BE282" s="7">
        <v>0</v>
      </c>
      <c r="BF282" s="7">
        <v>0</v>
      </c>
      <c r="BG282" s="7">
        <v>0</v>
      </c>
      <c r="BH282" s="7">
        <v>0</v>
      </c>
      <c r="BI282" s="7">
        <v>0</v>
      </c>
      <c r="BJ282" s="7">
        <v>1</v>
      </c>
      <c r="BK282" s="25">
        <v>1</v>
      </c>
      <c r="BL282" s="7" t="s">
        <v>1436</v>
      </c>
      <c r="BM282" s="7">
        <v>1</v>
      </c>
    </row>
    <row r="283" spans="1:65" s="21" customFormat="1" x14ac:dyDescent="0.3">
      <c r="A283" s="21" t="s">
        <v>19</v>
      </c>
      <c r="B283" s="21">
        <v>2</v>
      </c>
      <c r="C283" s="22">
        <v>44492</v>
      </c>
      <c r="D283" s="23">
        <v>0.22916666666666666</v>
      </c>
      <c r="E283" s="24">
        <v>58</v>
      </c>
      <c r="F283" s="21">
        <v>0</v>
      </c>
      <c r="G283" s="21">
        <v>0</v>
      </c>
      <c r="H283" s="21">
        <v>0</v>
      </c>
      <c r="I283" s="21">
        <v>0</v>
      </c>
      <c r="J283" s="23">
        <v>0.2722222222222222</v>
      </c>
      <c r="K283" s="21">
        <v>143.4</v>
      </c>
      <c r="L283" s="11">
        <f t="shared" si="517"/>
        <v>0.20000000000001705</v>
      </c>
      <c r="M283" s="5">
        <f t="shared" si="518"/>
        <v>2315</v>
      </c>
      <c r="N283" s="25">
        <v>30.5</v>
      </c>
      <c r="O283" s="25">
        <v>32.125</v>
      </c>
      <c r="P283" s="25">
        <v>10.625</v>
      </c>
      <c r="Q283" s="25">
        <v>10.75</v>
      </c>
      <c r="R283" s="25">
        <v>20</v>
      </c>
      <c r="S283" s="25">
        <v>20.125</v>
      </c>
      <c r="T283" s="29"/>
      <c r="U283" s="29"/>
      <c r="V283" s="29"/>
      <c r="W283" s="29"/>
      <c r="X283" s="29"/>
      <c r="Y283" s="29"/>
      <c r="Z283" s="21" t="s">
        <v>1439</v>
      </c>
      <c r="AB283" s="6"/>
      <c r="AC283" s="6"/>
      <c r="AD283" s="6"/>
      <c r="AE283" s="6"/>
      <c r="AF283" s="6"/>
      <c r="AG283" s="6"/>
      <c r="AH283" s="6"/>
      <c r="AI283" s="6"/>
      <c r="AJ283" s="6"/>
      <c r="AK283" s="6"/>
      <c r="AL283" s="6"/>
      <c r="AM283" s="6"/>
      <c r="AN283" s="6"/>
      <c r="AO283" s="7">
        <v>5</v>
      </c>
      <c r="AP283" s="7"/>
      <c r="AQ283" s="7">
        <v>1</v>
      </c>
      <c r="AR283" s="21">
        <v>0</v>
      </c>
      <c r="AS283" s="21">
        <v>0</v>
      </c>
      <c r="AT283" s="21">
        <v>0</v>
      </c>
      <c r="AU283" s="7">
        <v>0</v>
      </c>
      <c r="AV283" s="21">
        <v>0</v>
      </c>
      <c r="AW283" s="21">
        <v>1</v>
      </c>
      <c r="AX283" s="21">
        <v>1</v>
      </c>
      <c r="AY283" s="6">
        <v>5</v>
      </c>
      <c r="AZ283" s="21">
        <v>0</v>
      </c>
      <c r="BA283" s="21">
        <v>1</v>
      </c>
      <c r="BB283" s="21">
        <v>0</v>
      </c>
      <c r="BC283" s="21">
        <v>1</v>
      </c>
      <c r="BD283" s="21">
        <v>1</v>
      </c>
      <c r="BE283" s="21">
        <v>0</v>
      </c>
      <c r="BF283" s="21">
        <v>0</v>
      </c>
      <c r="BG283" s="21">
        <v>0</v>
      </c>
      <c r="BH283" s="21">
        <v>0</v>
      </c>
      <c r="BI283" s="21">
        <v>0</v>
      </c>
      <c r="BJ283" s="21">
        <v>0</v>
      </c>
      <c r="BK283" s="25">
        <v>0</v>
      </c>
      <c r="BL283" s="21">
        <v>0</v>
      </c>
      <c r="BM283" s="21">
        <v>1.67</v>
      </c>
    </row>
    <row r="284" spans="1:65" s="21" customFormat="1" x14ac:dyDescent="0.3">
      <c r="C284" s="22"/>
      <c r="E284" s="24"/>
      <c r="L284" s="25"/>
      <c r="M284" s="25"/>
      <c r="N284" s="25"/>
      <c r="O284" s="25"/>
      <c r="P284" s="25"/>
      <c r="Q284" s="25"/>
      <c r="R284" s="25"/>
      <c r="S284" s="25"/>
      <c r="T284" s="25"/>
      <c r="U284" s="25"/>
      <c r="V284" s="25"/>
      <c r="W284" s="25"/>
      <c r="X284" s="25"/>
      <c r="Y284" s="25"/>
      <c r="AB284" s="6"/>
      <c r="AC284" s="6"/>
      <c r="AD284" s="6"/>
      <c r="AE284" s="6"/>
      <c r="AF284" s="6"/>
      <c r="AG284" s="6"/>
      <c r="AH284" s="6"/>
      <c r="AI284" s="6"/>
      <c r="AJ284" s="6"/>
      <c r="AK284" s="6"/>
      <c r="AL284" s="6"/>
      <c r="AM284" s="6"/>
      <c r="AN284" s="6"/>
      <c r="AO284" s="7"/>
      <c r="AP284" s="7"/>
      <c r="AQ284" s="7"/>
      <c r="AU284" s="7"/>
      <c r="AY284" s="6"/>
      <c r="BK284" s="25"/>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7" sqref="B67"/>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2021-10-23T13:38:21Z</dcterms:modified>
</cp:coreProperties>
</file>