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D8C63FF1-FB8D-4990-9889-7FF1A958C0A2}"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dataDictionar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3" i="1" l="1"/>
  <c r="M163" i="1"/>
  <c r="AH162" i="1"/>
  <c r="AN162" i="1" s="1"/>
  <c r="AG162" i="1"/>
  <c r="AF162" i="1"/>
  <c r="AE162" i="1"/>
  <c r="AD162" i="1"/>
  <c r="AC162" i="1"/>
  <c r="AB162" i="1"/>
  <c r="C418" i="4"/>
  <c r="D418" i="4"/>
  <c r="E418" i="4"/>
  <c r="F418" i="4"/>
  <c r="G418" i="4"/>
  <c r="H418" i="4"/>
  <c r="B418" i="4"/>
  <c r="L162" i="1"/>
  <c r="M162" i="1"/>
  <c r="AI161" i="1"/>
  <c r="AJ161" i="1"/>
  <c r="AK161" i="1"/>
  <c r="AL161" i="1"/>
  <c r="AM161" i="1"/>
  <c r="AN161" i="1"/>
  <c r="AH161" i="1"/>
  <c r="AG161" i="1"/>
  <c r="AF161" i="1"/>
  <c r="AE161" i="1"/>
  <c r="AD161" i="1"/>
  <c r="AC161" i="1"/>
  <c r="AB161" i="1"/>
  <c r="L161" i="1"/>
  <c r="M161" i="1"/>
  <c r="AI160" i="1"/>
  <c r="AJ160" i="1"/>
  <c r="AK160" i="1"/>
  <c r="AL160" i="1"/>
  <c r="AM160" i="1"/>
  <c r="AN160" i="1"/>
  <c r="AH160" i="1"/>
  <c r="AG160" i="1"/>
  <c r="AF160" i="1"/>
  <c r="AE160" i="1"/>
  <c r="AD160" i="1"/>
  <c r="AC160" i="1"/>
  <c r="AB160" i="1"/>
  <c r="L160" i="1"/>
  <c r="M160" i="1"/>
  <c r="AH159" i="1"/>
  <c r="AG159" i="1"/>
  <c r="AF159" i="1"/>
  <c r="AE159" i="1"/>
  <c r="AD159" i="1"/>
  <c r="AC159" i="1"/>
  <c r="AB159" i="1"/>
  <c r="AJ159" i="1" s="1"/>
  <c r="AH158" i="1"/>
  <c r="AG158" i="1"/>
  <c r="AM158" i="1" s="1"/>
  <c r="AF158" i="1"/>
  <c r="AE158" i="1"/>
  <c r="AK158" i="1" s="1"/>
  <c r="AD158" i="1"/>
  <c r="AJ158" i="1" s="1"/>
  <c r="AC158" i="1"/>
  <c r="AI158" i="1" s="1"/>
  <c r="AB158" i="1"/>
  <c r="AL158" i="1" s="1"/>
  <c r="L159" i="1"/>
  <c r="M159" i="1"/>
  <c r="AN158" i="1"/>
  <c r="L158" i="1"/>
  <c r="M158" i="1"/>
  <c r="AI157" i="1"/>
  <c r="AJ157" i="1"/>
  <c r="AK157" i="1"/>
  <c r="AL157" i="1"/>
  <c r="AM157" i="1"/>
  <c r="AN157" i="1"/>
  <c r="AH157" i="1"/>
  <c r="AG157" i="1"/>
  <c r="AF157" i="1"/>
  <c r="AE157" i="1"/>
  <c r="AD157" i="1"/>
  <c r="AC157" i="1"/>
  <c r="AB157" i="1"/>
  <c r="H405" i="4"/>
  <c r="G405" i="4"/>
  <c r="F405" i="4"/>
  <c r="E405" i="4"/>
  <c r="D405" i="4"/>
  <c r="C405" i="4"/>
  <c r="B405" i="4"/>
  <c r="L157" i="1"/>
  <c r="M157" i="1"/>
  <c r="AI156" i="1"/>
  <c r="AJ156" i="1"/>
  <c r="AK156" i="1"/>
  <c r="AL156" i="1"/>
  <c r="AM156" i="1"/>
  <c r="AN156" i="1"/>
  <c r="AH156" i="1"/>
  <c r="AG156" i="1"/>
  <c r="AF156" i="1"/>
  <c r="AE156" i="1"/>
  <c r="AD156" i="1"/>
  <c r="AC156" i="1"/>
  <c r="AB156" i="1"/>
  <c r="AH155" i="1"/>
  <c r="AG155" i="1"/>
  <c r="AM155" i="1" s="1"/>
  <c r="AF155" i="1"/>
  <c r="AE155" i="1"/>
  <c r="AD155" i="1"/>
  <c r="AC155" i="1"/>
  <c r="AB155" i="1"/>
  <c r="AJ155" i="1" s="1"/>
  <c r="L156" i="1"/>
  <c r="M156" i="1"/>
  <c r="AI155" i="1"/>
  <c r="AL155" i="1"/>
  <c r="L155" i="1"/>
  <c r="M155" i="1"/>
  <c r="AI154" i="1"/>
  <c r="AJ154" i="1"/>
  <c r="AK154" i="1"/>
  <c r="AL154" i="1"/>
  <c r="AM154" i="1"/>
  <c r="AN154" i="1"/>
  <c r="AH154" i="1"/>
  <c r="AG154" i="1"/>
  <c r="AF154" i="1"/>
  <c r="AE154" i="1"/>
  <c r="AD154" i="1"/>
  <c r="AC154" i="1"/>
  <c r="AB154" i="1"/>
  <c r="C400" i="4"/>
  <c r="D400" i="4"/>
  <c r="E400" i="4"/>
  <c r="F400" i="4"/>
  <c r="G400" i="4"/>
  <c r="H400" i="4"/>
  <c r="B400" i="4"/>
  <c r="L154" i="1"/>
  <c r="M154" i="1"/>
  <c r="AI153" i="1"/>
  <c r="AJ153" i="1"/>
  <c r="AK153" i="1"/>
  <c r="AL153" i="1"/>
  <c r="AM153" i="1"/>
  <c r="AN153" i="1"/>
  <c r="AH153" i="1"/>
  <c r="AG153" i="1"/>
  <c r="AF153" i="1"/>
  <c r="AE153" i="1"/>
  <c r="AD153" i="1"/>
  <c r="AC153" i="1"/>
  <c r="AB153" i="1"/>
  <c r="L153" i="1"/>
  <c r="M153" i="1"/>
  <c r="AI152" i="1"/>
  <c r="AJ152" i="1"/>
  <c r="AK152" i="1"/>
  <c r="AL152" i="1"/>
  <c r="AM152" i="1"/>
  <c r="AN152" i="1"/>
  <c r="AH152" i="1"/>
  <c r="AG152" i="1"/>
  <c r="AF152" i="1"/>
  <c r="AE152" i="1"/>
  <c r="AD152" i="1"/>
  <c r="AC152" i="1"/>
  <c r="AB152" i="1"/>
  <c r="H397" i="4"/>
  <c r="G397" i="4"/>
  <c r="F397" i="4"/>
  <c r="E397" i="4"/>
  <c r="D397" i="4"/>
  <c r="C397" i="4"/>
  <c r="B397" i="4"/>
  <c r="L152" i="1"/>
  <c r="M152" i="1"/>
  <c r="AI151" i="1"/>
  <c r="AJ151" i="1"/>
  <c r="AK151" i="1"/>
  <c r="AL151" i="1"/>
  <c r="AM151" i="1"/>
  <c r="AN151" i="1"/>
  <c r="AH151" i="1"/>
  <c r="AF151" i="1"/>
  <c r="AG151" i="1"/>
  <c r="AE151" i="1"/>
  <c r="AD151" i="1"/>
  <c r="AC151" i="1"/>
  <c r="AB151" i="1"/>
  <c r="L151" i="1"/>
  <c r="M151" i="1"/>
  <c r="AH150" i="1"/>
  <c r="AG150" i="1"/>
  <c r="AM150" i="1" s="1"/>
  <c r="AF150" i="1"/>
  <c r="AL150" i="1" s="1"/>
  <c r="AE150" i="1"/>
  <c r="AD150" i="1"/>
  <c r="AJ150" i="1" s="1"/>
  <c r="AC150" i="1"/>
  <c r="AB150" i="1"/>
  <c r="AI150" i="1"/>
  <c r="AK150" i="1"/>
  <c r="AN150" i="1"/>
  <c r="L150" i="1"/>
  <c r="M150" i="1"/>
  <c r="AI149" i="1"/>
  <c r="AJ149" i="1"/>
  <c r="AK149" i="1"/>
  <c r="AL149" i="1"/>
  <c r="AM149" i="1"/>
  <c r="AN149" i="1"/>
  <c r="AH149" i="1"/>
  <c r="AG149" i="1"/>
  <c r="AF149" i="1"/>
  <c r="AE149" i="1"/>
  <c r="AD149" i="1"/>
  <c r="AC149" i="1"/>
  <c r="AB149" i="1"/>
  <c r="L149" i="1"/>
  <c r="M149" i="1"/>
  <c r="H392" i="4"/>
  <c r="G392" i="4"/>
  <c r="F392" i="4"/>
  <c r="E392" i="4"/>
  <c r="D392" i="4"/>
  <c r="C392" i="4"/>
  <c r="B392" i="4"/>
  <c r="AI147" i="1"/>
  <c r="AJ147" i="1"/>
  <c r="AK147" i="1"/>
  <c r="AL147" i="1"/>
  <c r="AM147" i="1"/>
  <c r="AN147" i="1"/>
  <c r="AI148" i="1"/>
  <c r="AJ148" i="1"/>
  <c r="AK148" i="1"/>
  <c r="AL148" i="1"/>
  <c r="AM148" i="1"/>
  <c r="AN148" i="1"/>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M146" i="1"/>
  <c r="AH145" i="1"/>
  <c r="AN145" i="1" s="1"/>
  <c r="AG145" i="1"/>
  <c r="AF145" i="1"/>
  <c r="AE145" i="1"/>
  <c r="AD145" i="1"/>
  <c r="AC145" i="1"/>
  <c r="AB145" i="1"/>
  <c r="AK145" i="1" s="1"/>
  <c r="AI145" i="1"/>
  <c r="AJ145" i="1"/>
  <c r="AL145" i="1"/>
  <c r="AM145" i="1"/>
  <c r="AI144" i="1"/>
  <c r="AJ144" i="1"/>
  <c r="AK144" i="1"/>
  <c r="AL144" i="1"/>
  <c r="AM144" i="1"/>
  <c r="AN144" i="1"/>
  <c r="AH144" i="1"/>
  <c r="AG144" i="1"/>
  <c r="AF144" i="1"/>
  <c r="AE144" i="1"/>
  <c r="AD144" i="1"/>
  <c r="AC144" i="1"/>
  <c r="AB144" i="1"/>
  <c r="L145" i="1"/>
  <c r="M145" i="1"/>
  <c r="L144" i="1"/>
  <c r="M144" i="1"/>
  <c r="AI143" i="1"/>
  <c r="AJ143" i="1"/>
  <c r="AK143" i="1"/>
  <c r="AL143" i="1"/>
  <c r="AM143" i="1"/>
  <c r="AN143" i="1"/>
  <c r="AH143" i="1"/>
  <c r="AG143" i="1"/>
  <c r="AF143" i="1"/>
  <c r="AE143" i="1"/>
  <c r="AD143" i="1"/>
  <c r="AC143" i="1"/>
  <c r="AB143" i="1"/>
  <c r="AH133" i="1"/>
  <c r="AH142" i="1"/>
  <c r="AG142" i="1"/>
  <c r="AM142" i="1" s="1"/>
  <c r="AF142" i="1"/>
  <c r="AE142" i="1"/>
  <c r="AD142" i="1"/>
  <c r="AC142" i="1"/>
  <c r="AI142" i="1" s="1"/>
  <c r="AB142" i="1"/>
  <c r="M143" i="1" s="1"/>
  <c r="L143" i="1"/>
  <c r="AJ142" i="1"/>
  <c r="AK142" i="1"/>
  <c r="AL142" i="1"/>
  <c r="AN142" i="1"/>
  <c r="L142" i="1"/>
  <c r="M142" i="1"/>
  <c r="AI141" i="1"/>
  <c r="AJ141" i="1"/>
  <c r="AK141" i="1"/>
  <c r="AL141" i="1"/>
  <c r="AM141" i="1"/>
  <c r="AN141" i="1"/>
  <c r="AH141" i="1"/>
  <c r="AG141" i="1"/>
  <c r="AF141" i="1"/>
  <c r="AE141" i="1"/>
  <c r="AD141" i="1"/>
  <c r="AC141" i="1"/>
  <c r="AB141" i="1"/>
  <c r="L141" i="1"/>
  <c r="M141" i="1"/>
  <c r="AD140" i="1"/>
  <c r="AH140" i="1"/>
  <c r="AG140" i="1"/>
  <c r="AF140" i="1"/>
  <c r="AE140" i="1"/>
  <c r="AC140" i="1"/>
  <c r="AB140" i="1"/>
  <c r="C374" i="4"/>
  <c r="G374" i="4"/>
  <c r="B374" i="4"/>
  <c r="C373" i="4"/>
  <c r="D373" i="4"/>
  <c r="D374" i="4" s="1"/>
  <c r="E373" i="4"/>
  <c r="E374" i="4" s="1"/>
  <c r="F373" i="4"/>
  <c r="F374" i="4" s="1"/>
  <c r="G373" i="4"/>
  <c r="H373" i="4"/>
  <c r="H374" i="4" s="1"/>
  <c r="B373" i="4"/>
  <c r="L140" i="1"/>
  <c r="M140" i="1"/>
  <c r="AI139" i="1"/>
  <c r="AJ139" i="1"/>
  <c r="AK139" i="1"/>
  <c r="AL139" i="1"/>
  <c r="AM139" i="1"/>
  <c r="AN139" i="1"/>
  <c r="AF136" i="1"/>
  <c r="AH139" i="1"/>
  <c r="AG139" i="1"/>
  <c r="AF139" i="1"/>
  <c r="AE139" i="1"/>
  <c r="AD139" i="1"/>
  <c r="AC139" i="1"/>
  <c r="AB139" i="1"/>
  <c r="AH138" i="1"/>
  <c r="AG138" i="1"/>
  <c r="AM138" i="1"/>
  <c r="AF138" i="1"/>
  <c r="AE138" i="1"/>
  <c r="AD138" i="1"/>
  <c r="AC138" i="1"/>
  <c r="AI138" i="1" s="1"/>
  <c r="AB138" i="1"/>
  <c r="AJ138" i="1"/>
  <c r="AK138" i="1"/>
  <c r="AL138" i="1"/>
  <c r="AN138" i="1"/>
  <c r="AI137" i="1"/>
  <c r="L138" i="1"/>
  <c r="M138" i="1"/>
  <c r="L139" i="1"/>
  <c r="M139" i="1"/>
  <c r="AJ137" i="1"/>
  <c r="AK137" i="1"/>
  <c r="AL137" i="1"/>
  <c r="AM137" i="1"/>
  <c r="AN137" i="1"/>
  <c r="AH137" i="1"/>
  <c r="AG137" i="1"/>
  <c r="AF137" i="1"/>
  <c r="AE137" i="1"/>
  <c r="AD137" i="1"/>
  <c r="AC137" i="1"/>
  <c r="AB137" i="1"/>
  <c r="L137" i="1"/>
  <c r="M137" i="1"/>
  <c r="AH136" i="1"/>
  <c r="AG136" i="1"/>
  <c r="AE136" i="1"/>
  <c r="AD136" i="1"/>
  <c r="AC136" i="1"/>
  <c r="AB136" i="1"/>
  <c r="AJ136" i="1" s="1"/>
  <c r="C364" i="4"/>
  <c r="D364" i="4"/>
  <c r="E364" i="4"/>
  <c r="F364" i="4"/>
  <c r="G364" i="4"/>
  <c r="H364" i="4"/>
  <c r="B364" i="4"/>
  <c r="AI136" i="1"/>
  <c r="AK136" i="1"/>
  <c r="AL136" i="1"/>
  <c r="AM136" i="1"/>
  <c r="AN136" i="1"/>
  <c r="L136" i="1"/>
  <c r="M136" i="1"/>
  <c r="AI135" i="1"/>
  <c r="AJ135" i="1"/>
  <c r="AK135" i="1"/>
  <c r="AL135" i="1"/>
  <c r="AM135" i="1"/>
  <c r="AN135" i="1"/>
  <c r="AH135" i="1"/>
  <c r="AG135" i="1"/>
  <c r="AF135" i="1"/>
  <c r="AE135" i="1"/>
  <c r="AD135" i="1"/>
  <c r="AC135" i="1"/>
  <c r="AB135" i="1"/>
  <c r="L135" i="1"/>
  <c r="M135" i="1"/>
  <c r="AI134" i="1"/>
  <c r="AJ134" i="1"/>
  <c r="AK134" i="1"/>
  <c r="AL134" i="1"/>
  <c r="AM134" i="1"/>
  <c r="AN134" i="1"/>
  <c r="AD134" i="1"/>
  <c r="AE134" i="1"/>
  <c r="AF134" i="1"/>
  <c r="AH134" i="1"/>
  <c r="AG134" i="1"/>
  <c r="AC134" i="1"/>
  <c r="AB134" i="1"/>
  <c r="C357" i="4"/>
  <c r="D357" i="4"/>
  <c r="E357" i="4"/>
  <c r="F357" i="4"/>
  <c r="G357" i="4"/>
  <c r="H357" i="4"/>
  <c r="B357" i="4"/>
  <c r="L134" i="1"/>
  <c r="M134" i="1"/>
  <c r="AG133" i="1"/>
  <c r="AF133" i="1"/>
  <c r="AE133" i="1"/>
  <c r="AD133" i="1"/>
  <c r="AC133" i="1"/>
  <c r="AB133" i="1"/>
  <c r="C356" i="4"/>
  <c r="D356" i="4"/>
  <c r="E356" i="4"/>
  <c r="F356" i="4"/>
  <c r="G356" i="4"/>
  <c r="H356" i="4"/>
  <c r="B356" i="4"/>
  <c r="AJ133" i="1"/>
  <c r="AK133" i="1"/>
  <c r="AK162" i="1" l="1"/>
  <c r="AI162" i="1"/>
  <c r="AJ162" i="1"/>
  <c r="AM162" i="1"/>
  <c r="AL162" i="1"/>
  <c r="AI159" i="1"/>
  <c r="AN159" i="1"/>
  <c r="AM159" i="1"/>
  <c r="AL159" i="1"/>
  <c r="AK159" i="1"/>
  <c r="AN155" i="1"/>
  <c r="AK155" i="1"/>
  <c r="AN146" i="1"/>
  <c r="AL146" i="1"/>
  <c r="AK146" i="1"/>
  <c r="AJ146" i="1"/>
  <c r="AM146" i="1"/>
  <c r="AI146" i="1"/>
  <c r="M147" i="1"/>
  <c r="AL140" i="1"/>
  <c r="AI140" i="1"/>
  <c r="AN140" i="1"/>
  <c r="AK140" i="1"/>
  <c r="AM140" i="1"/>
  <c r="AJ140" i="1"/>
  <c r="AL133" i="1"/>
  <c r="AI133" i="1"/>
  <c r="AN133" i="1"/>
  <c r="AM133" i="1"/>
  <c r="L133" i="1"/>
  <c r="M133" i="1"/>
  <c r="AI132" i="1"/>
  <c r="AJ132" i="1"/>
  <c r="AK132" i="1"/>
  <c r="AL132" i="1"/>
  <c r="AM132" i="1"/>
  <c r="AN132" i="1"/>
  <c r="AH132" i="1"/>
  <c r="AG132" i="1"/>
  <c r="AF132" i="1"/>
  <c r="AE132" i="1"/>
  <c r="AD132" i="1"/>
  <c r="AC132" i="1"/>
  <c r="AB132" i="1"/>
  <c r="L132" i="1"/>
  <c r="M132" i="1"/>
  <c r="AH131" i="1"/>
  <c r="AG131" i="1"/>
  <c r="AF131" i="1"/>
  <c r="AE131" i="1"/>
  <c r="AD131" i="1"/>
  <c r="AC131" i="1"/>
  <c r="AB131" i="1"/>
  <c r="AL131" i="1" s="1"/>
  <c r="L131" i="1"/>
  <c r="M131" i="1"/>
  <c r="AN131" i="1"/>
  <c r="AI130" i="1"/>
  <c r="AJ130" i="1"/>
  <c r="AK130" i="1"/>
  <c r="AL130" i="1"/>
  <c r="AM130" i="1"/>
  <c r="AN130" i="1"/>
  <c r="AM131" i="1"/>
  <c r="AH130" i="1"/>
  <c r="AG130" i="1"/>
  <c r="AF130" i="1"/>
  <c r="AE130" i="1"/>
  <c r="AD130" i="1"/>
  <c r="AC130" i="1"/>
  <c r="AB130" i="1"/>
  <c r="L130" i="1"/>
  <c r="M130" i="1"/>
  <c r="AH128" i="1"/>
  <c r="AG128" i="1"/>
  <c r="AF128" i="1"/>
  <c r="AE128" i="1"/>
  <c r="AD128" i="1"/>
  <c r="AC128" i="1"/>
  <c r="AB128" i="1"/>
  <c r="AI128" i="1" s="1"/>
  <c r="AJ128" i="1"/>
  <c r="AL128" i="1"/>
  <c r="AM128" i="1"/>
  <c r="AN128" i="1"/>
  <c r="AI129" i="1"/>
  <c r="AJ129" i="1"/>
  <c r="AK129" i="1"/>
  <c r="AL129" i="1"/>
  <c r="AM129" i="1"/>
  <c r="AN129" i="1"/>
  <c r="AH129" i="1"/>
  <c r="AG129" i="1"/>
  <c r="AF129" i="1"/>
  <c r="AE129" i="1"/>
  <c r="AD129" i="1"/>
  <c r="AC129" i="1"/>
  <c r="AB129" i="1"/>
  <c r="B344" i="4"/>
  <c r="E344" i="4"/>
  <c r="F344" i="4"/>
  <c r="H344" i="4"/>
  <c r="G344" i="4"/>
  <c r="D344" i="4"/>
  <c r="C344" i="4"/>
  <c r="C343" i="4"/>
  <c r="D343" i="4"/>
  <c r="G343" i="4"/>
  <c r="H343" i="4"/>
  <c r="C342" i="4"/>
  <c r="D342" i="4"/>
  <c r="B342" i="4"/>
  <c r="H338" i="4"/>
  <c r="G338" i="4"/>
  <c r="F338" i="4"/>
  <c r="E338" i="4"/>
  <c r="D338" i="4"/>
  <c r="C338" i="4"/>
  <c r="B338" i="4"/>
  <c r="H337" i="4"/>
  <c r="H342" i="4" s="1"/>
  <c r="G337" i="4"/>
  <c r="G342" i="4" s="1"/>
  <c r="F337" i="4"/>
  <c r="F342" i="4" s="1"/>
  <c r="E337" i="4"/>
  <c r="E342" i="4" s="1"/>
  <c r="D337" i="4"/>
  <c r="C337" i="4"/>
  <c r="B337" i="4"/>
  <c r="H336" i="4"/>
  <c r="G336" i="4"/>
  <c r="F336" i="4"/>
  <c r="E336" i="4"/>
  <c r="D336" i="4"/>
  <c r="C336" i="4"/>
  <c r="B336" i="4"/>
  <c r="L129" i="1"/>
  <c r="M129" i="1"/>
  <c r="L128" i="1"/>
  <c r="M128" i="1"/>
  <c r="L127" i="1"/>
  <c r="M127" i="1"/>
  <c r="AI127" i="1"/>
  <c r="AJ127" i="1"/>
  <c r="AK127" i="1"/>
  <c r="AL127" i="1"/>
  <c r="AM127" i="1"/>
  <c r="AN127" i="1"/>
  <c r="AH127" i="1"/>
  <c r="AG127" i="1"/>
  <c r="AF127" i="1"/>
  <c r="AE127" i="1"/>
  <c r="AD127" i="1"/>
  <c r="AC127" i="1"/>
  <c r="AB127" i="1"/>
  <c r="AI126" i="1"/>
  <c r="AJ126" i="1"/>
  <c r="AK126" i="1"/>
  <c r="AL126" i="1"/>
  <c r="AM126" i="1"/>
  <c r="AN126" i="1"/>
  <c r="AH126" i="1"/>
  <c r="AG126" i="1"/>
  <c r="AF126" i="1"/>
  <c r="AE126" i="1"/>
  <c r="AD126" i="1"/>
  <c r="AC126" i="1"/>
  <c r="AB126" i="1"/>
  <c r="L126" i="1"/>
  <c r="M126" i="1"/>
  <c r="AI125" i="1"/>
  <c r="AJ125" i="1"/>
  <c r="AK125" i="1"/>
  <c r="AL125" i="1"/>
  <c r="AM125" i="1"/>
  <c r="AN125" i="1"/>
  <c r="AH125" i="1"/>
  <c r="AG125" i="1"/>
  <c r="AF125" i="1"/>
  <c r="AE125" i="1"/>
  <c r="AD125" i="1"/>
  <c r="AC125" i="1"/>
  <c r="AB125" i="1"/>
  <c r="C332" i="4"/>
  <c r="D332" i="4"/>
  <c r="E332" i="4"/>
  <c r="F332" i="4"/>
  <c r="G332" i="4"/>
  <c r="H332" i="4"/>
  <c r="B332" i="4"/>
  <c r="AI124" i="1"/>
  <c r="AJ124" i="1"/>
  <c r="AK124" i="1"/>
  <c r="AL124" i="1"/>
  <c r="AM124" i="1"/>
  <c r="AN124" i="1"/>
  <c r="AH124" i="1"/>
  <c r="AG124" i="1"/>
  <c r="AF124" i="1"/>
  <c r="AE124" i="1"/>
  <c r="AD124" i="1"/>
  <c r="AC124" i="1"/>
  <c r="AB124" i="1"/>
  <c r="M125" i="1" s="1"/>
  <c r="L125" i="1"/>
  <c r="BG125" i="1"/>
  <c r="L124" i="1"/>
  <c r="M124" i="1"/>
  <c r="AI123" i="1"/>
  <c r="AJ123" i="1"/>
  <c r="AK123" i="1"/>
  <c r="AL123" i="1"/>
  <c r="AM123" i="1"/>
  <c r="AN123" i="1"/>
  <c r="AH123" i="1"/>
  <c r="AG123" i="1"/>
  <c r="AF123" i="1"/>
  <c r="AE123" i="1"/>
  <c r="AD123" i="1"/>
  <c r="AC123" i="1"/>
  <c r="AB123" i="1"/>
  <c r="AI122" i="1"/>
  <c r="AJ122" i="1"/>
  <c r="AK122" i="1"/>
  <c r="AL122" i="1"/>
  <c r="AM122" i="1"/>
  <c r="AN122" i="1"/>
  <c r="AH122" i="1"/>
  <c r="AG122" i="1"/>
  <c r="AF122" i="1"/>
  <c r="AE122" i="1"/>
  <c r="AD122" i="1"/>
  <c r="AC122" i="1"/>
  <c r="AB122" i="1"/>
  <c r="M123" i="1" s="1"/>
  <c r="C327" i="4"/>
  <c r="C328" i="4" s="1"/>
  <c r="D327" i="4"/>
  <c r="D328" i="4" s="1"/>
  <c r="E327" i="4"/>
  <c r="F327" i="4"/>
  <c r="F328" i="4" s="1"/>
  <c r="G327" i="4"/>
  <c r="G328" i="4" s="1"/>
  <c r="H327" i="4"/>
  <c r="H328" i="4" s="1"/>
  <c r="B327" i="4"/>
  <c r="B328" i="4" s="1"/>
  <c r="E328" i="4"/>
  <c r="L123" i="1"/>
  <c r="L122" i="1"/>
  <c r="M122" i="1"/>
  <c r="AI121" i="1"/>
  <c r="AJ121" i="1"/>
  <c r="AK121" i="1"/>
  <c r="AL121" i="1"/>
  <c r="AM121" i="1"/>
  <c r="AN121" i="1"/>
  <c r="AH121" i="1"/>
  <c r="AG121" i="1"/>
  <c r="AF121" i="1"/>
  <c r="AE121" i="1"/>
  <c r="AD121" i="1"/>
  <c r="AC121" i="1"/>
  <c r="AB121" i="1"/>
  <c r="L121" i="1"/>
  <c r="M121" i="1"/>
  <c r="AH120" i="1"/>
  <c r="AG120" i="1"/>
  <c r="AM120" i="1" s="1"/>
  <c r="AF120" i="1"/>
  <c r="AL120" i="1" s="1"/>
  <c r="AE120" i="1"/>
  <c r="AD120" i="1"/>
  <c r="AJ120" i="1" s="1"/>
  <c r="AC120" i="1"/>
  <c r="AI120" i="1" s="1"/>
  <c r="AB120" i="1"/>
  <c r="AN120" i="1"/>
  <c r="F393" i="4" l="1"/>
  <c r="F390" i="4"/>
  <c r="G393" i="4"/>
  <c r="G390" i="4"/>
  <c r="H393" i="4"/>
  <c r="H390" i="4"/>
  <c r="B390" i="4"/>
  <c r="B393" i="4"/>
  <c r="C390" i="4"/>
  <c r="C393" i="4"/>
  <c r="D390" i="4"/>
  <c r="D393" i="4"/>
  <c r="E393" i="4"/>
  <c r="E390" i="4"/>
  <c r="AK131" i="1"/>
  <c r="AI131" i="1"/>
  <c r="AJ131" i="1"/>
  <c r="AK128" i="1"/>
  <c r="AK120" i="1"/>
  <c r="C325" i="4"/>
  <c r="E325" i="4"/>
  <c r="F325" i="4"/>
  <c r="C324" i="4"/>
  <c r="D324" i="4"/>
  <c r="D325" i="4" s="1"/>
  <c r="E324" i="4"/>
  <c r="F324" i="4"/>
  <c r="G324" i="4"/>
  <c r="G325" i="4" s="1"/>
  <c r="H324" i="4"/>
  <c r="H325" i="4" s="1"/>
  <c r="B324" i="4"/>
  <c r="B325" i="4" s="1"/>
  <c r="L120" i="1"/>
  <c r="M120" i="1"/>
  <c r="AI119" i="1"/>
  <c r="AJ119" i="1"/>
  <c r="AK119" i="1"/>
  <c r="AL119" i="1"/>
  <c r="AM119" i="1"/>
  <c r="AN119" i="1"/>
  <c r="AH119" i="1"/>
  <c r="AG119" i="1"/>
  <c r="AF119" i="1"/>
  <c r="AE119" i="1"/>
  <c r="AD119" i="1"/>
  <c r="AC119" i="1"/>
  <c r="AB119" i="1"/>
  <c r="L119" i="1"/>
  <c r="M119" i="1"/>
  <c r="AI118" i="1"/>
  <c r="AJ118" i="1"/>
  <c r="AK118" i="1"/>
  <c r="AL118" i="1"/>
  <c r="AM118" i="1"/>
  <c r="AN118" i="1"/>
  <c r="AH118" i="1"/>
  <c r="AG118" i="1"/>
  <c r="AF118" i="1"/>
  <c r="AE118" i="1"/>
  <c r="AD118" i="1"/>
  <c r="AC118" i="1"/>
  <c r="AB118" i="1"/>
  <c r="C320" i="4"/>
  <c r="D320" i="4"/>
  <c r="E320" i="4"/>
  <c r="F320" i="4"/>
  <c r="G320" i="4"/>
  <c r="H320" i="4"/>
  <c r="B320" i="4"/>
  <c r="L118" i="1"/>
  <c r="M118" i="1"/>
  <c r="AI117" i="1"/>
  <c r="AJ117" i="1"/>
  <c r="AK117" i="1"/>
  <c r="AL117" i="1"/>
  <c r="AM117" i="1"/>
  <c r="AN117" i="1"/>
  <c r="AH117" i="1"/>
  <c r="AG117" i="1"/>
  <c r="AF117" i="1"/>
  <c r="AE117" i="1"/>
  <c r="AD117" i="1"/>
  <c r="AC117" i="1"/>
  <c r="AB117" i="1"/>
  <c r="L117" i="1"/>
  <c r="M117" i="1"/>
  <c r="AI116" i="1"/>
  <c r="AJ116" i="1"/>
  <c r="AK116" i="1"/>
  <c r="AL116" i="1"/>
  <c r="AM116" i="1"/>
  <c r="AN116" i="1"/>
  <c r="AH116" i="1"/>
  <c r="AG116" i="1"/>
  <c r="AF116" i="1"/>
  <c r="AE116" i="1"/>
  <c r="AD116" i="1"/>
  <c r="AC116" i="1"/>
  <c r="AB116" i="1"/>
  <c r="H315" i="4"/>
  <c r="G315" i="4"/>
  <c r="F315" i="4"/>
  <c r="E315" i="4"/>
  <c r="D315" i="4"/>
  <c r="C315" i="4"/>
  <c r="B315" i="4"/>
  <c r="L116" i="1"/>
  <c r="M116" i="1"/>
  <c r="AI115" i="1"/>
  <c r="AJ115" i="1"/>
  <c r="AK115" i="1"/>
  <c r="AL115" i="1"/>
  <c r="AM115" i="1"/>
  <c r="AN115" i="1"/>
  <c r="AH115" i="1"/>
  <c r="AG115" i="1"/>
  <c r="AF115" i="1"/>
  <c r="AE115" i="1"/>
  <c r="AD115" i="1"/>
  <c r="AC115" i="1"/>
  <c r="AB115" i="1"/>
  <c r="B311" i="4"/>
  <c r="B310" i="4"/>
  <c r="C310" i="4"/>
  <c r="C311" i="4" s="1"/>
  <c r="D310" i="4"/>
  <c r="D311" i="4" s="1"/>
  <c r="E310" i="4"/>
  <c r="E311" i="4" s="1"/>
  <c r="F310" i="4"/>
  <c r="F311" i="4" s="1"/>
  <c r="G310" i="4"/>
  <c r="G311" i="4" s="1"/>
  <c r="H310" i="4"/>
  <c r="H311" i="4" s="1"/>
  <c r="L115" i="1"/>
  <c r="M115" i="1"/>
  <c r="AI114" i="1"/>
  <c r="AJ114" i="1"/>
  <c r="AK114" i="1"/>
  <c r="AL114" i="1"/>
  <c r="AM114" i="1"/>
  <c r="AN114" i="1"/>
  <c r="AH114" i="1"/>
  <c r="AG114" i="1"/>
  <c r="AF114" i="1"/>
  <c r="AE114" i="1"/>
  <c r="AD114" i="1"/>
  <c r="AC114" i="1"/>
  <c r="AB114" i="1"/>
  <c r="H309" i="4"/>
  <c r="G309" i="4"/>
  <c r="F309" i="4"/>
  <c r="E309" i="4"/>
  <c r="D309" i="4"/>
  <c r="C309" i="4"/>
  <c r="B309" i="4"/>
  <c r="L114" i="1"/>
  <c r="M114" i="1"/>
  <c r="AI113" i="1"/>
  <c r="AJ113" i="1"/>
  <c r="AK113" i="1"/>
  <c r="AL113" i="1"/>
  <c r="AM113" i="1"/>
  <c r="AN113" i="1"/>
  <c r="AH113" i="1"/>
  <c r="AG113" i="1"/>
  <c r="AF113" i="1"/>
  <c r="AE113" i="1"/>
  <c r="AD113" i="1"/>
  <c r="AC113" i="1"/>
  <c r="AB113" i="1"/>
  <c r="C308" i="4"/>
  <c r="D308" i="4"/>
  <c r="E308" i="4"/>
  <c r="F308" i="4"/>
  <c r="G308" i="4"/>
  <c r="H308" i="4"/>
  <c r="B308" i="4"/>
  <c r="L113" i="1"/>
  <c r="M113" i="1"/>
  <c r="AI112" i="1"/>
  <c r="AJ112" i="1"/>
  <c r="AK112" i="1"/>
  <c r="AL112" i="1"/>
  <c r="AM112" i="1"/>
  <c r="AN112" i="1"/>
  <c r="AH112" i="1"/>
  <c r="AG112" i="1"/>
  <c r="AF112" i="1"/>
  <c r="AE112" i="1"/>
  <c r="AD112" i="1"/>
  <c r="AC112" i="1"/>
  <c r="AB112" i="1"/>
  <c r="H307" i="4"/>
  <c r="G307" i="4"/>
  <c r="F307" i="4"/>
  <c r="E307" i="4"/>
  <c r="D307" i="4"/>
  <c r="C307" i="4"/>
  <c r="B307" i="4"/>
  <c r="L112" i="1"/>
  <c r="M112" i="1"/>
  <c r="AI111" i="1"/>
  <c r="AJ111" i="1"/>
  <c r="AK111" i="1"/>
  <c r="AL111" i="1"/>
  <c r="AM111" i="1"/>
  <c r="AN111" i="1"/>
  <c r="AH111" i="1"/>
  <c r="AG111" i="1"/>
  <c r="AF111" i="1"/>
  <c r="AE111" i="1"/>
  <c r="AD111" i="1"/>
  <c r="AC111" i="1"/>
  <c r="AB111" i="1"/>
  <c r="E306" i="4"/>
  <c r="F306" i="4"/>
  <c r="G306" i="4"/>
  <c r="H306" i="4"/>
  <c r="B306" i="4"/>
  <c r="H305" i="4"/>
  <c r="G305" i="4"/>
  <c r="F305" i="4"/>
  <c r="E305" i="4"/>
  <c r="D305" i="4"/>
  <c r="D306" i="4" s="1"/>
  <c r="C305" i="4"/>
  <c r="C306" i="4" s="1"/>
  <c r="B305" i="4"/>
  <c r="H304" i="4"/>
  <c r="G304" i="4"/>
  <c r="F304" i="4"/>
  <c r="E304" i="4"/>
  <c r="D304" i="4"/>
  <c r="C304" i="4"/>
  <c r="B304" i="4"/>
  <c r="H303" i="4"/>
  <c r="G303" i="4"/>
  <c r="F303" i="4"/>
  <c r="E303" i="4"/>
  <c r="D303" i="4"/>
  <c r="C303" i="4"/>
  <c r="B303" i="4"/>
  <c r="L111" i="1" l="1"/>
  <c r="M111" i="1"/>
  <c r="AI110" i="1"/>
  <c r="AJ110" i="1"/>
  <c r="AK110" i="1"/>
  <c r="AL110" i="1"/>
  <c r="AM110" i="1"/>
  <c r="AN110" i="1"/>
  <c r="AH110" i="1"/>
  <c r="AG110" i="1"/>
  <c r="AF110" i="1"/>
  <c r="AE110" i="1"/>
  <c r="AD110" i="1"/>
  <c r="AC110" i="1"/>
  <c r="AB110" i="1"/>
  <c r="C301" i="4"/>
  <c r="D301" i="4"/>
  <c r="E301" i="4"/>
  <c r="F301" i="4"/>
  <c r="G301" i="4"/>
  <c r="H301" i="4"/>
  <c r="B301" i="4"/>
  <c r="L110" i="1"/>
  <c r="M110" i="1"/>
  <c r="AI109" i="1"/>
  <c r="AJ109" i="1"/>
  <c r="AK109" i="1"/>
  <c r="AL109" i="1"/>
  <c r="AM109" i="1"/>
  <c r="AN109" i="1"/>
  <c r="AH109" i="1"/>
  <c r="AG109" i="1"/>
  <c r="AF109" i="1"/>
  <c r="AE109" i="1"/>
  <c r="AD109" i="1"/>
  <c r="AC109" i="1"/>
  <c r="AB109" i="1"/>
  <c r="L109" i="1"/>
  <c r="M109" i="1"/>
  <c r="AI108" i="1"/>
  <c r="AJ108" i="1"/>
  <c r="AK108" i="1"/>
  <c r="AL108" i="1"/>
  <c r="AM108" i="1"/>
  <c r="AN108" i="1"/>
  <c r="AH108" i="1"/>
  <c r="AG108" i="1"/>
  <c r="AF108" i="1"/>
  <c r="AE108" i="1"/>
  <c r="AD108" i="1"/>
  <c r="AC108" i="1"/>
  <c r="AB108" i="1"/>
  <c r="C299" i="4"/>
  <c r="D299" i="4"/>
  <c r="E299" i="4"/>
  <c r="F299" i="4"/>
  <c r="G299" i="4"/>
  <c r="H299" i="4"/>
  <c r="B299" i="4"/>
  <c r="L108" i="1"/>
  <c r="M108" i="1"/>
  <c r="AI107" i="1"/>
  <c r="AJ107" i="1"/>
  <c r="AK107" i="1"/>
  <c r="AL107" i="1"/>
  <c r="AM107" i="1"/>
  <c r="AN107" i="1"/>
  <c r="AH107" i="1"/>
  <c r="AG107" i="1"/>
  <c r="AF107" i="1"/>
  <c r="AE107" i="1"/>
  <c r="AD107" i="1"/>
  <c r="AC107" i="1"/>
  <c r="AB107" i="1"/>
  <c r="L107" i="1"/>
  <c r="M107" i="1"/>
  <c r="AI106" i="1"/>
  <c r="AJ106" i="1"/>
  <c r="AK106" i="1"/>
  <c r="AL106" i="1"/>
  <c r="AM106" i="1"/>
  <c r="AN106" i="1"/>
  <c r="AH106" i="1"/>
  <c r="AG106" i="1"/>
  <c r="AF106" i="1"/>
  <c r="AE106" i="1"/>
  <c r="AD106" i="1"/>
  <c r="AC106" i="1"/>
  <c r="AB106" i="1"/>
  <c r="C290" i="4"/>
  <c r="C291" i="4" s="1"/>
  <c r="D290" i="4"/>
  <c r="D291" i="4" s="1"/>
  <c r="E290" i="4"/>
  <c r="E291" i="4" s="1"/>
  <c r="F290" i="4"/>
  <c r="F291" i="4" s="1"/>
  <c r="G290" i="4"/>
  <c r="G291" i="4" s="1"/>
  <c r="H290" i="4"/>
  <c r="H291" i="4" s="1"/>
  <c r="B290" i="4"/>
  <c r="B291" i="4" s="1"/>
  <c r="L106" i="1"/>
  <c r="M106" i="1"/>
  <c r="AI105" i="1"/>
  <c r="AJ105" i="1"/>
  <c r="AK105" i="1"/>
  <c r="AL105" i="1"/>
  <c r="AM105" i="1"/>
  <c r="AN105" i="1"/>
  <c r="AB105" i="1"/>
  <c r="AC105" i="1"/>
  <c r="AD105" i="1"/>
  <c r="AE105" i="1"/>
  <c r="AF105" i="1"/>
  <c r="AH105" i="1"/>
  <c r="AG105" i="1"/>
  <c r="H288" i="4"/>
  <c r="G288" i="4"/>
  <c r="F288" i="4"/>
  <c r="E288" i="4"/>
  <c r="D288" i="4"/>
  <c r="C288" i="4"/>
  <c r="B288" i="4"/>
  <c r="L105" i="1"/>
  <c r="M105" i="1"/>
  <c r="AI104" i="1"/>
  <c r="AJ104" i="1"/>
  <c r="AK104" i="1"/>
  <c r="AL104" i="1"/>
  <c r="AM104" i="1"/>
  <c r="AN104" i="1"/>
  <c r="AH104" i="1"/>
  <c r="AG104" i="1"/>
  <c r="AF104" i="1"/>
  <c r="AE104" i="1"/>
  <c r="AD104" i="1"/>
  <c r="AC104" i="1"/>
  <c r="AB104" i="1"/>
  <c r="B286" i="4"/>
  <c r="H285" i="4"/>
  <c r="H286" i="4" s="1"/>
  <c r="C285" i="4"/>
  <c r="C286" i="4" s="1"/>
  <c r="D285" i="4"/>
  <c r="D286" i="4" s="1"/>
  <c r="E285" i="4"/>
  <c r="E286" i="4" s="1"/>
  <c r="F285" i="4"/>
  <c r="F286" i="4" s="1"/>
  <c r="G285" i="4"/>
  <c r="G286" i="4" s="1"/>
  <c r="B285" i="4"/>
  <c r="L104" i="1"/>
  <c r="M104" i="1"/>
  <c r="AI103" i="1"/>
  <c r="AJ103" i="1"/>
  <c r="AK103" i="1"/>
  <c r="AL103" i="1"/>
  <c r="AM103" i="1"/>
  <c r="AN103" i="1"/>
  <c r="AH103" i="1"/>
  <c r="AG103" i="1"/>
  <c r="AF103" i="1"/>
  <c r="AE103" i="1"/>
  <c r="AD103" i="1"/>
  <c r="AC103" i="1"/>
  <c r="AB103" i="1"/>
  <c r="H282" i="4"/>
  <c r="H284" i="4" s="1"/>
  <c r="C282" i="4"/>
  <c r="C284" i="4" s="1"/>
  <c r="D282" i="4"/>
  <c r="D284" i="4" s="1"/>
  <c r="E282" i="4"/>
  <c r="E284" i="4" s="1"/>
  <c r="F282" i="4"/>
  <c r="F284" i="4" s="1"/>
  <c r="G282" i="4"/>
  <c r="G284" i="4" s="1"/>
  <c r="B282" i="4"/>
  <c r="B284" i="4" s="1"/>
  <c r="L103" i="1" l="1"/>
  <c r="M103" i="1"/>
  <c r="AI102" i="1"/>
  <c r="AJ102" i="1"/>
  <c r="AK102" i="1"/>
  <c r="AL102" i="1"/>
  <c r="AM102" i="1"/>
  <c r="AN102" i="1"/>
  <c r="AH102" i="1"/>
  <c r="AG102" i="1"/>
  <c r="AF102" i="1"/>
  <c r="AE102" i="1"/>
  <c r="AD102" i="1"/>
  <c r="AC102" i="1"/>
  <c r="AB102" i="1"/>
  <c r="L102" i="1"/>
  <c r="M102" i="1"/>
  <c r="AI101" i="1"/>
  <c r="AJ101" i="1"/>
  <c r="AK101" i="1"/>
  <c r="AL101" i="1"/>
  <c r="AM101" i="1"/>
  <c r="AN101" i="1"/>
  <c r="AH101" i="1"/>
  <c r="AG101" i="1"/>
  <c r="AF101" i="1"/>
  <c r="AE101" i="1"/>
  <c r="AD101" i="1"/>
  <c r="AC101" i="1"/>
  <c r="AB101" i="1"/>
  <c r="H272" i="4"/>
  <c r="H273" i="4" s="1"/>
  <c r="G272" i="4"/>
  <c r="G273" i="4" s="1"/>
  <c r="E272" i="4"/>
  <c r="E273" i="4" s="1"/>
  <c r="D272" i="4"/>
  <c r="D273" i="4" s="1"/>
  <c r="C272" i="4"/>
  <c r="C273" i="4" s="1"/>
  <c r="L101" i="1"/>
  <c r="M101" i="1"/>
  <c r="AI100" i="1"/>
  <c r="AJ100" i="1"/>
  <c r="AK100" i="1"/>
  <c r="AL100" i="1"/>
  <c r="AM100" i="1"/>
  <c r="AN100" i="1"/>
  <c r="AH100" i="1"/>
  <c r="AG100" i="1"/>
  <c r="AF100" i="1"/>
  <c r="AE100" i="1"/>
  <c r="AD100" i="1"/>
  <c r="AC100" i="1"/>
  <c r="AB100" i="1"/>
  <c r="C269" i="4"/>
  <c r="D269" i="4"/>
  <c r="E269" i="4"/>
  <c r="F269" i="4"/>
  <c r="G269" i="4"/>
  <c r="H269" i="4"/>
  <c r="B269" i="4"/>
  <c r="AI99" i="1" l="1"/>
  <c r="AJ99" i="1"/>
  <c r="AK99" i="1"/>
  <c r="AL99" i="1"/>
  <c r="AM99" i="1"/>
  <c r="AN99" i="1"/>
  <c r="AH99" i="1"/>
  <c r="AG99" i="1"/>
  <c r="AF99" i="1"/>
  <c r="AE99" i="1"/>
  <c r="AD99" i="1"/>
  <c r="AC99" i="1"/>
  <c r="AB99" i="1"/>
  <c r="L100" i="1"/>
  <c r="M100" i="1"/>
  <c r="L99" i="1"/>
  <c r="M99" i="1"/>
  <c r="AI98" i="1"/>
  <c r="AJ98" i="1"/>
  <c r="AK98" i="1"/>
  <c r="AL98" i="1"/>
  <c r="AM98" i="1"/>
  <c r="AN98" i="1"/>
  <c r="AH98" i="1"/>
  <c r="AG98" i="1"/>
  <c r="AF98" i="1"/>
  <c r="AE98" i="1"/>
  <c r="AD98" i="1"/>
  <c r="AC98" i="1"/>
  <c r="AB98" i="1"/>
  <c r="D263" i="4"/>
  <c r="F263" i="4"/>
  <c r="C262" i="4"/>
  <c r="C263" i="4" s="1"/>
  <c r="D262" i="4"/>
  <c r="E262" i="4"/>
  <c r="E263" i="4" s="1"/>
  <c r="F262" i="4"/>
  <c r="G262" i="4"/>
  <c r="G263" i="4" s="1"/>
  <c r="H262" i="4"/>
  <c r="H263" i="4" s="1"/>
  <c r="B262" i="4"/>
  <c r="B263" i="4" s="1"/>
  <c r="L98" i="1" l="1"/>
  <c r="M98" i="1"/>
  <c r="AH97" i="1"/>
  <c r="AG97" i="1"/>
  <c r="AF97" i="1"/>
  <c r="AE97" i="1"/>
  <c r="AD97" i="1"/>
  <c r="AC97" i="1"/>
  <c r="AB97" i="1"/>
  <c r="AI97" i="1"/>
  <c r="AJ97" i="1"/>
  <c r="AK97" i="1"/>
  <c r="AL97" i="1"/>
  <c r="AM97" i="1"/>
  <c r="AN97" i="1"/>
  <c r="L97" i="1"/>
  <c r="M97" i="1"/>
  <c r="AI96" i="1"/>
  <c r="AJ96" i="1"/>
  <c r="AK96" i="1"/>
  <c r="AL96" i="1"/>
  <c r="AM96" i="1"/>
  <c r="AN96" i="1"/>
  <c r="AH96" i="1"/>
  <c r="AG96" i="1"/>
  <c r="AF96" i="1"/>
  <c r="AE96" i="1"/>
  <c r="AD96" i="1"/>
  <c r="AC96" i="1"/>
  <c r="AB96" i="1"/>
  <c r="AH95" i="1" l="1"/>
  <c r="AG95" i="1"/>
  <c r="AF95" i="1"/>
  <c r="AE95" i="1"/>
  <c r="AD95" i="1"/>
  <c r="AC95" i="1"/>
  <c r="AB95" i="1"/>
  <c r="AI95" i="1" s="1"/>
  <c r="L96" i="1"/>
  <c r="M96" i="1"/>
  <c r="AJ95" i="1"/>
  <c r="AN95" i="1"/>
  <c r="G249" i="4"/>
  <c r="H248" i="4"/>
  <c r="G248" i="4"/>
  <c r="F248" i="4"/>
  <c r="E248" i="4"/>
  <c r="D248" i="4"/>
  <c r="C248" i="4"/>
  <c r="B248" i="4"/>
  <c r="H247" i="4"/>
  <c r="G247" i="4"/>
  <c r="F247" i="4"/>
  <c r="E247" i="4"/>
  <c r="D247" i="4"/>
  <c r="C247" i="4"/>
  <c r="B247" i="4"/>
  <c r="L95" i="1"/>
  <c r="M95" i="1"/>
  <c r="AH94" i="1"/>
  <c r="AG94" i="1"/>
  <c r="AF94" i="1"/>
  <c r="AE94" i="1"/>
  <c r="AD94" i="1"/>
  <c r="AC94" i="1"/>
  <c r="AB94" i="1"/>
  <c r="AJ94" i="1" s="1"/>
  <c r="H245" i="4"/>
  <c r="H246" i="4" s="1"/>
  <c r="G245" i="4"/>
  <c r="G246" i="4" s="1"/>
  <c r="F245" i="4"/>
  <c r="F246" i="4" s="1"/>
  <c r="E245" i="4"/>
  <c r="E246" i="4" s="1"/>
  <c r="D245" i="4"/>
  <c r="D246" i="4" s="1"/>
  <c r="C245" i="4"/>
  <c r="C246" i="4" s="1"/>
  <c r="B245" i="4"/>
  <c r="B246" i="4" s="1"/>
  <c r="AI94" i="1"/>
  <c r="AK94" i="1"/>
  <c r="AM94" i="1"/>
  <c r="AL95" i="1" l="1"/>
  <c r="AM95" i="1"/>
  <c r="AK95" i="1"/>
  <c r="AN94" i="1"/>
  <c r="AL94" i="1"/>
  <c r="L94" i="1"/>
  <c r="M94" i="1"/>
  <c r="AI93" i="1"/>
  <c r="AJ93" i="1"/>
  <c r="AK93" i="1"/>
  <c r="AL93" i="1"/>
  <c r="AM93" i="1"/>
  <c r="AN93"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L93" i="1" l="1"/>
  <c r="M93" i="1"/>
  <c r="AI92" i="1"/>
  <c r="AJ92" i="1"/>
  <c r="AK92" i="1"/>
  <c r="AL92" i="1"/>
  <c r="AM92" i="1"/>
  <c r="AN92" i="1"/>
  <c r="L92" i="1"/>
  <c r="M92" i="1"/>
  <c r="AH91" i="1"/>
  <c r="AG91" i="1"/>
  <c r="AF91" i="1"/>
  <c r="AE91" i="1"/>
  <c r="AD91" i="1"/>
  <c r="AC91" i="1"/>
  <c r="AB91" i="1"/>
  <c r="AI91" i="1"/>
  <c r="AJ91" i="1"/>
  <c r="AK91" i="1"/>
  <c r="AL91" i="1"/>
  <c r="AM91" i="1"/>
  <c r="AN91" i="1"/>
  <c r="L91" i="1"/>
  <c r="M91" i="1"/>
  <c r="AI90" i="1"/>
  <c r="AJ90" i="1"/>
  <c r="AK90" i="1"/>
  <c r="AL90" i="1"/>
  <c r="AM90" i="1"/>
  <c r="AN90" i="1"/>
  <c r="AH90" i="1"/>
  <c r="AG90" i="1"/>
  <c r="AF90" i="1"/>
  <c r="AE90" i="1"/>
  <c r="AD90" i="1"/>
  <c r="AC90" i="1"/>
  <c r="AB90" i="1"/>
  <c r="L90" i="1"/>
  <c r="M90" i="1"/>
  <c r="AI89" i="1"/>
  <c r="AJ89" i="1"/>
  <c r="AK89" i="1"/>
  <c r="AL89" i="1"/>
  <c r="AM89" i="1"/>
  <c r="AN89" i="1"/>
  <c r="AH89" i="1"/>
  <c r="AG89" i="1"/>
  <c r="AF89" i="1"/>
  <c r="AE89" i="1"/>
  <c r="AD89" i="1"/>
  <c r="AC89" i="1"/>
  <c r="AB89" i="1"/>
  <c r="L89" i="1"/>
  <c r="M89" i="1"/>
  <c r="AH88" i="1" l="1"/>
  <c r="AG88" i="1"/>
  <c r="AF88" i="1"/>
  <c r="AE88" i="1"/>
  <c r="AD88" i="1"/>
  <c r="AC88" i="1"/>
  <c r="AB88" i="1"/>
  <c r="AI88" i="1" s="1"/>
  <c r="AJ88" i="1"/>
  <c r="AN88" i="1"/>
  <c r="C229" i="4"/>
  <c r="C230" i="4" s="1"/>
  <c r="D229" i="4"/>
  <c r="D230" i="4" s="1"/>
  <c r="E229" i="4"/>
  <c r="E230" i="4" s="1"/>
  <c r="F229" i="4"/>
  <c r="F230" i="4" s="1"/>
  <c r="G229" i="4"/>
  <c r="G230" i="4" s="1"/>
  <c r="H229" i="4"/>
  <c r="H230" i="4" s="1"/>
  <c r="B229" i="4"/>
  <c r="B230" i="4" s="1"/>
  <c r="L88" i="1"/>
  <c r="M88" i="1"/>
  <c r="AI87" i="1"/>
  <c r="AJ87" i="1"/>
  <c r="AK87" i="1"/>
  <c r="AL87" i="1"/>
  <c r="AM87" i="1"/>
  <c r="AN87" i="1"/>
  <c r="AH87" i="1"/>
  <c r="AG87" i="1"/>
  <c r="AF87" i="1"/>
  <c r="AE87" i="1"/>
  <c r="AD87" i="1"/>
  <c r="AC87" i="1"/>
  <c r="AB87" i="1"/>
  <c r="L87" i="1"/>
  <c r="M87" i="1"/>
  <c r="AI86" i="1"/>
  <c r="AJ86" i="1"/>
  <c r="AK86" i="1"/>
  <c r="AL86" i="1"/>
  <c r="AM86" i="1"/>
  <c r="AN86" i="1"/>
  <c r="AH86" i="1"/>
  <c r="AG86" i="1"/>
  <c r="AF86" i="1"/>
  <c r="AE86" i="1"/>
  <c r="AD86" i="1"/>
  <c r="AC86" i="1"/>
  <c r="AB86" i="1"/>
  <c r="L86" i="1"/>
  <c r="M86" i="1"/>
  <c r="AH85" i="1"/>
  <c r="AG85" i="1"/>
  <c r="AF85" i="1"/>
  <c r="AE85" i="1"/>
  <c r="AD85" i="1"/>
  <c r="AC85" i="1"/>
  <c r="AB85" i="1"/>
  <c r="AI85" i="1"/>
  <c r="AJ85" i="1"/>
  <c r="AK85" i="1"/>
  <c r="AL85" i="1"/>
  <c r="AM85" i="1"/>
  <c r="AN85" i="1"/>
  <c r="L85" i="1"/>
  <c r="M85" i="1"/>
  <c r="AL88" i="1" l="1"/>
  <c r="AM88" i="1"/>
  <c r="AK88" i="1"/>
  <c r="AH84" i="1"/>
  <c r="AG84" i="1"/>
  <c r="AF84" i="1"/>
  <c r="AE84" i="1"/>
  <c r="AD84" i="1"/>
  <c r="AC84" i="1"/>
  <c r="AI84" i="1" s="1"/>
  <c r="AB84" i="1"/>
  <c r="AJ84" i="1"/>
  <c r="AK84" i="1"/>
  <c r="AL84" i="1"/>
  <c r="AM84" i="1"/>
  <c r="AN84" i="1"/>
  <c r="L84" i="1"/>
  <c r="M84" i="1"/>
  <c r="AH83" i="1" l="1"/>
  <c r="AG83" i="1"/>
  <c r="AF83" i="1"/>
  <c r="AE83" i="1"/>
  <c r="AD83" i="1"/>
  <c r="AC83" i="1"/>
  <c r="AB83" i="1"/>
  <c r="AI83" i="1"/>
  <c r="AJ83" i="1"/>
  <c r="AK83" i="1"/>
  <c r="AL83" i="1"/>
  <c r="AM83" i="1"/>
  <c r="AN83" i="1"/>
  <c r="C218" i="4"/>
  <c r="C219" i="4" s="1"/>
  <c r="D218" i="4"/>
  <c r="D219" i="4" s="1"/>
  <c r="E218" i="4"/>
  <c r="E219" i="4" s="1"/>
  <c r="F218" i="4"/>
  <c r="F219" i="4" s="1"/>
  <c r="G218" i="4"/>
  <c r="G219" i="4" s="1"/>
  <c r="H218" i="4"/>
  <c r="H219" i="4" s="1"/>
  <c r="B218" i="4"/>
  <c r="B219" i="4" s="1"/>
  <c r="L83" i="1"/>
  <c r="M83" i="1"/>
  <c r="AH82" i="1"/>
  <c r="AG82" i="1"/>
  <c r="AF82" i="1"/>
  <c r="AE82" i="1"/>
  <c r="AD82" i="1"/>
  <c r="AC82" i="1"/>
  <c r="AB82" i="1"/>
  <c r="AI82" i="1"/>
  <c r="AJ82" i="1"/>
  <c r="AK82" i="1"/>
  <c r="AL82" i="1"/>
  <c r="AM82" i="1"/>
  <c r="AN82" i="1"/>
  <c r="L82" i="1"/>
  <c r="M82" i="1"/>
  <c r="AH81" i="1" l="1"/>
  <c r="AG81" i="1"/>
  <c r="AF81" i="1"/>
  <c r="AE81" i="1"/>
  <c r="AD81" i="1"/>
  <c r="AC81" i="1"/>
  <c r="AB81" i="1"/>
  <c r="AI81" i="1"/>
  <c r="AJ81" i="1"/>
  <c r="AK81" i="1"/>
  <c r="AL81" i="1"/>
  <c r="AM81" i="1"/>
  <c r="AN81" i="1"/>
  <c r="L81" i="1"/>
  <c r="M81" i="1"/>
  <c r="AH80" i="1" l="1"/>
  <c r="AG80" i="1"/>
  <c r="AF80" i="1"/>
  <c r="AE80" i="1"/>
  <c r="AD80" i="1"/>
  <c r="AC80" i="1"/>
  <c r="AB80" i="1"/>
  <c r="AI80" i="1"/>
  <c r="AJ80" i="1"/>
  <c r="AK80" i="1"/>
  <c r="AL80" i="1"/>
  <c r="AM80" i="1"/>
  <c r="AN80" i="1"/>
  <c r="L80" i="1"/>
  <c r="M80" i="1"/>
  <c r="AH79" i="1"/>
  <c r="AG79" i="1"/>
  <c r="AF79" i="1"/>
  <c r="AE79" i="1"/>
  <c r="AD79" i="1"/>
  <c r="AC79" i="1"/>
  <c r="AB79" i="1"/>
  <c r="AI79" i="1"/>
  <c r="AJ79" i="1"/>
  <c r="AK79" i="1"/>
  <c r="AL79" i="1"/>
  <c r="AM79" i="1"/>
  <c r="AN79" i="1"/>
  <c r="L79" i="1" l="1"/>
  <c r="M79" i="1"/>
  <c r="AI78" i="1"/>
  <c r="AJ78" i="1"/>
  <c r="AK78" i="1"/>
  <c r="AL78" i="1"/>
  <c r="AM78" i="1"/>
  <c r="AN78" i="1"/>
  <c r="AH78" i="1"/>
  <c r="AG78" i="1"/>
  <c r="AF78" i="1"/>
  <c r="AE78" i="1"/>
  <c r="AD78" i="1"/>
  <c r="AC78" i="1"/>
  <c r="AB78" i="1"/>
  <c r="H208" i="4"/>
  <c r="G208" i="4"/>
  <c r="F208" i="4"/>
  <c r="E208" i="4"/>
  <c r="C208" i="4"/>
  <c r="B208" i="4"/>
  <c r="L78" i="1"/>
  <c r="M78" i="1"/>
  <c r="AH77" i="1"/>
  <c r="AG77" i="1"/>
  <c r="AF77" i="1"/>
  <c r="AE77" i="1"/>
  <c r="AD77" i="1"/>
  <c r="AC77" i="1"/>
  <c r="AB77" i="1"/>
  <c r="AI77" i="1" l="1"/>
  <c r="AJ77" i="1"/>
  <c r="AK77" i="1"/>
  <c r="AL77" i="1"/>
  <c r="AM77" i="1"/>
  <c r="AN77" i="1"/>
  <c r="L77" i="1"/>
  <c r="M77" i="1"/>
  <c r="AI76" i="1"/>
  <c r="AJ76" i="1"/>
  <c r="AK76" i="1"/>
  <c r="AL76" i="1"/>
  <c r="AM76" i="1"/>
  <c r="AN76" i="1"/>
  <c r="AH76" i="1"/>
  <c r="AG76" i="1"/>
  <c r="AF76" i="1"/>
  <c r="AE76" i="1"/>
  <c r="AD76" i="1"/>
  <c r="AC76" i="1"/>
  <c r="AB76" i="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M76" i="1"/>
  <c r="AI75" i="1"/>
  <c r="AJ75" i="1"/>
  <c r="AK75" i="1"/>
  <c r="AL75" i="1"/>
  <c r="AM75" i="1"/>
  <c r="AN75" i="1"/>
  <c r="AH75" i="1"/>
  <c r="AG75" i="1"/>
  <c r="AF75" i="1"/>
  <c r="AE75" i="1"/>
  <c r="AD75" i="1"/>
  <c r="AC75" i="1"/>
  <c r="AB75" i="1"/>
  <c r="F206" i="4" l="1"/>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E74" i="1"/>
  <c r="AF74" i="1"/>
  <c r="AG74" i="1"/>
  <c r="AH74" i="1"/>
  <c r="L75" i="1"/>
  <c r="M75" i="1"/>
  <c r="AI74" i="1"/>
  <c r="L74" i="1"/>
  <c r="M74" i="1"/>
  <c r="AJ74" i="1"/>
  <c r="AL74" i="1"/>
  <c r="AN74" i="1"/>
  <c r="AH73" i="1"/>
  <c r="AG73" i="1"/>
  <c r="AF73" i="1"/>
  <c r="AE73" i="1"/>
  <c r="AD73" i="1"/>
  <c r="AC73" i="1"/>
  <c r="AB73" i="1"/>
  <c r="AI73" i="1" s="1"/>
  <c r="L73" i="1"/>
  <c r="M73" i="1"/>
  <c r="AJ73" i="1"/>
  <c r="AK73" i="1"/>
  <c r="AL73" i="1"/>
  <c r="AM73" i="1"/>
  <c r="AN73" i="1"/>
  <c r="C190" i="4"/>
  <c r="C191" i="4" s="1"/>
  <c r="D190" i="4"/>
  <c r="D191" i="4" s="1"/>
  <c r="E190" i="4"/>
  <c r="E191" i="4" s="1"/>
  <c r="F190" i="4"/>
  <c r="F191" i="4" s="1"/>
  <c r="G190" i="4"/>
  <c r="G191" i="4" s="1"/>
  <c r="H190" i="4"/>
  <c r="H191" i="4" s="1"/>
  <c r="B190" i="4"/>
  <c r="B191" i="4" s="1"/>
  <c r="AI72" i="1"/>
  <c r="AJ72" i="1"/>
  <c r="AK72" i="1"/>
  <c r="AL72" i="1"/>
  <c r="AM72" i="1"/>
  <c r="AN72" i="1"/>
  <c r="AH72" i="1"/>
  <c r="AG72" i="1"/>
  <c r="AF72" i="1"/>
  <c r="AE72" i="1"/>
  <c r="AD72" i="1"/>
  <c r="AC72" i="1"/>
  <c r="AB72" i="1"/>
  <c r="AH71" i="1"/>
  <c r="AG71" i="1"/>
  <c r="AF71" i="1"/>
  <c r="AE71" i="1"/>
  <c r="AD71" i="1"/>
  <c r="AC71" i="1"/>
  <c r="AB71" i="1"/>
  <c r="AI71" i="1" s="1"/>
  <c r="L72" i="1"/>
  <c r="M72" i="1"/>
  <c r="AJ71" i="1"/>
  <c r="AL71" i="1"/>
  <c r="AN71"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M71" i="1"/>
  <c r="AM74" i="1" l="1"/>
  <c r="AK74" i="1"/>
  <c r="AM71" i="1"/>
  <c r="AK71" i="1"/>
  <c r="AI70" i="1"/>
  <c r="AJ70" i="1"/>
  <c r="AK70" i="1"/>
  <c r="AL70" i="1"/>
  <c r="AM70" i="1"/>
  <c r="AN70" i="1"/>
  <c r="AH70" i="1"/>
  <c r="AG70" i="1"/>
  <c r="AF70" i="1"/>
  <c r="AE70" i="1"/>
  <c r="AD70" i="1"/>
  <c r="AC70" i="1"/>
  <c r="AB70" i="1"/>
  <c r="C179" i="4"/>
  <c r="C180" i="4" s="1"/>
  <c r="D179" i="4"/>
  <c r="D180" i="4" s="1"/>
  <c r="E179" i="4"/>
  <c r="E180" i="4" s="1"/>
  <c r="F179" i="4"/>
  <c r="F180" i="4" s="1"/>
  <c r="G179" i="4"/>
  <c r="G180" i="4" s="1"/>
  <c r="H179" i="4"/>
  <c r="H180" i="4" s="1"/>
  <c r="B179" i="4"/>
  <c r="B180" i="4" s="1"/>
  <c r="H181" i="4"/>
  <c r="F181" i="4"/>
  <c r="D181" i="4"/>
  <c r="C181" i="4"/>
  <c r="B181" i="4"/>
  <c r="L70" i="1"/>
  <c r="M70" i="1"/>
  <c r="AI69" i="1" l="1"/>
  <c r="AJ69" i="1"/>
  <c r="AK69" i="1"/>
  <c r="AL69" i="1"/>
  <c r="AM69" i="1"/>
  <c r="AN69" i="1"/>
  <c r="AH69" i="1"/>
  <c r="AG69" i="1"/>
  <c r="AF69" i="1"/>
  <c r="AE69" i="1"/>
  <c r="AD69" i="1"/>
  <c r="AC69" i="1"/>
  <c r="AB69" i="1"/>
  <c r="L69" i="1"/>
  <c r="M69" i="1"/>
  <c r="AH68" i="1"/>
  <c r="AG68" i="1"/>
  <c r="AF68" i="1"/>
  <c r="AE68" i="1"/>
  <c r="AD68" i="1"/>
  <c r="AJ68" i="1" s="1"/>
  <c r="AC68" i="1"/>
  <c r="AB68" i="1"/>
  <c r="AI68" i="1" s="1"/>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D170" i="4"/>
  <c r="E170" i="4"/>
  <c r="F170" i="4"/>
  <c r="G170" i="4"/>
  <c r="H170" i="4"/>
  <c r="B170" i="4"/>
  <c r="C168" i="4"/>
  <c r="D168" i="4"/>
  <c r="E168" i="4"/>
  <c r="F168" i="4"/>
  <c r="G168" i="4"/>
  <c r="H168" i="4"/>
  <c r="B168" i="4"/>
  <c r="C166" i="4"/>
  <c r="D166" i="4"/>
  <c r="E166" i="4"/>
  <c r="F166" i="4"/>
  <c r="G166" i="4"/>
  <c r="H166" i="4"/>
  <c r="B166" i="4"/>
  <c r="L66" i="1"/>
  <c r="M66" i="1"/>
  <c r="AH65" i="1"/>
  <c r="AG65" i="1"/>
  <c r="AF65" i="1"/>
  <c r="AE65" i="1"/>
  <c r="AD65" i="1"/>
  <c r="AC65" i="1"/>
  <c r="AB65" i="1"/>
  <c r="D281" i="4" l="1"/>
  <c r="D345" i="4"/>
  <c r="B281" i="4"/>
  <c r="B345" i="4"/>
  <c r="H281" i="4"/>
  <c r="H345" i="4"/>
  <c r="G281" i="4"/>
  <c r="G345" i="4"/>
  <c r="E281" i="4"/>
  <c r="E345" i="4"/>
  <c r="C281" i="4"/>
  <c r="C345" i="4"/>
  <c r="F281" i="4"/>
  <c r="F345" i="4"/>
  <c r="H177" i="4"/>
  <c r="H196" i="4" s="1"/>
  <c r="F177" i="4"/>
  <c r="F196" i="4" s="1"/>
  <c r="D177" i="4"/>
  <c r="D196" i="4" s="1"/>
  <c r="B177" i="4"/>
  <c r="B196" i="4" s="1"/>
  <c r="G177" i="4"/>
  <c r="G196" i="4" s="1"/>
  <c r="E177" i="4"/>
  <c r="E196" i="4" s="1"/>
  <c r="C177" i="4"/>
  <c r="C196" i="4" s="1"/>
  <c r="AM68" i="1"/>
  <c r="AK68" i="1"/>
  <c r="AI65" i="1"/>
  <c r="AJ65" i="1"/>
  <c r="AK65" i="1"/>
  <c r="AL65" i="1"/>
  <c r="AM65" i="1"/>
  <c r="AN65" i="1"/>
  <c r="L65" i="1"/>
  <c r="M65" i="1"/>
  <c r="AI64" i="1"/>
  <c r="AJ64" i="1"/>
  <c r="AK64" i="1"/>
  <c r="AL64" i="1"/>
  <c r="AM64" i="1"/>
  <c r="AN64" i="1"/>
  <c r="AH64" i="1"/>
  <c r="AG64" i="1"/>
  <c r="AF64" i="1"/>
  <c r="AE64" i="1"/>
  <c r="AD64" i="1"/>
  <c r="AC64" i="1"/>
  <c r="AB64" i="1"/>
  <c r="H158" i="4"/>
  <c r="H159" i="4" s="1"/>
  <c r="C158" i="4"/>
  <c r="C159" i="4" s="1"/>
  <c r="D158" i="4"/>
  <c r="D159" i="4" s="1"/>
  <c r="E158" i="4"/>
  <c r="E159" i="4" s="1"/>
  <c r="F158" i="4"/>
  <c r="F159" i="4" s="1"/>
  <c r="G158" i="4"/>
  <c r="G159" i="4" s="1"/>
  <c r="B158" i="4"/>
  <c r="B159" i="4" s="1"/>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C149" i="4"/>
  <c r="C151" i="4" s="1"/>
  <c r="D149" i="4"/>
  <c r="D151" i="4" s="1"/>
  <c r="E149" i="4"/>
  <c r="E151" i="4" s="1"/>
  <c r="F149" i="4"/>
  <c r="F151" i="4" s="1"/>
  <c r="G149" i="4"/>
  <c r="G151" i="4" s="1"/>
  <c r="H149" i="4"/>
  <c r="H151" i="4" s="1"/>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B122" i="4" l="1"/>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C110" i="4" s="1"/>
  <c r="D109" i="4"/>
  <c r="D110" i="4" s="1"/>
  <c r="E109" i="4"/>
  <c r="E110" i="4" s="1"/>
  <c r="F109" i="4"/>
  <c r="F110" i="4" s="1"/>
  <c r="G109" i="4"/>
  <c r="G110" i="4" s="1"/>
  <c r="H109" i="4"/>
  <c r="H110" i="4" s="1"/>
  <c r="B109" i="4"/>
  <c r="B110" i="4" s="1"/>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F272" i="4" s="1"/>
  <c r="F273" i="4" s="1"/>
  <c r="B101" i="4"/>
  <c r="B272" i="4" s="1"/>
  <c r="B273" i="4" s="1"/>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<sst xmlns="http://schemas.openxmlformats.org/spreadsheetml/2006/main" count="4625" uniqueCount="885">
  <si>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</si>
  <si>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</si>
  <si>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</si>
  <si>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</si>
  <si>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</si>
  <si>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</si>
  <si>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</si>
  <si>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</si>
  <si>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</si>
  <si>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</si>
  <si>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</si>
  <si>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</si>
  <si>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</si>
  <si>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</si>
  <si>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</si>
  <si>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</si>
  <si>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</si>
  <si>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</si>
  <si>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</si>
  <si>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</si>
  <si>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</si>
  <si>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</si>
  <si>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</si>
  <si>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</si>
  <si>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</si>
  <si>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</si>
  <si>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</si>
  <si>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</si>
  <si>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</si>
  <si>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</si>
  <si>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</si>
  <si>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</si>
  <si>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</si>
  <si>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</si>
  <si>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</si>
  <si>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</si>
  <si>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</si>
  <si>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</si>
  <si>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</si>
  <si>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</si>
  <si>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</si>
  <si>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</si>
  <si>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</si>
  <si>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</si>
  <si>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</si>
  <si>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</si>
  <si>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</si>
  <si>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</si>
  <si>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</si>
  <si>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</si>
  <si>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</si>
  <si>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</si>
  <si>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</si>
  <si>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</si>
  <si>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</si>
  <si>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</si>
  <si>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</si>
  <si>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</si>
  <si>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</si>
  <si>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</si>
  <si>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</si>
  <si>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</si>
  <si>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</si>
  <si>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</si>
  <si>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</si>
  <si>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</si>
  <si>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</si>
  <si>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</si>
  <si>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</si>
  <si>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</si>
  <si>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</si>
  <si>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</si>
  <si>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</si>
  <si>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</si>
  <si>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</si>
  <si>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</si>
  <si>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</si>
  <si>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</si>
  <si>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</si>
  <si>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</si>
  <si>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</si>
  <si>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</si>
  <si>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</si>
  <si>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</si>
  <si>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</si>
  <si>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</si>
  <si>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</si>
  <si>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</si>
  <si>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</si>
  <si>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</si>
  <si>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</si>
  <si>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</si>
  <si>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</si>
  <si>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</si>
  <si>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</si>
  <si>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</si>
  <si>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</si>
  <si>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</si>
  <si>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</si>
  <si>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</si>
  <si>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</si>
  <si>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</si>
  <si>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</si>
  <si>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</si>
  <si>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</si>
  <si>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</si>
  <si>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</si>
  <si>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</si>
  <si>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</si>
  <si>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</si>
  <si>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</si>
  <si>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</si>
  <si>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</si>
  <si>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</si>
  <si>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</si>
  <si>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</si>
  <si>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</si>
  <si>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</si>
  <si>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</si>
  <si>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</si>
  <si>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</si>
  <si>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</si>
  <si>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</si>
  <si>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</si>
  <si>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</si>
  <si>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</si>
  <si>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</si>
  <si>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</si>
  <si>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</si>
  <si>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</si>
  <si>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</si>
  <si>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</si>
  <si>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</si>
  <si>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</si>
  <si>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</si>
  <si>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</si>
  <si>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</si>
  <si>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</si>
  <si>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</si>
  <si>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</si>
  <si>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</si>
  <si>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</si>
  <si>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</si>
  <si>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</si>
  <si>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</si>
  <si>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</si>
  <si>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</si>
  <si>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</si>
  <si>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</si>
  <si>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</si>
  <si>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</si>
  <si>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</si>
  <si>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</si>
  <si>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</si>
  <si>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</si>
  <si>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</si>
  <si>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</si>
  <si>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</si>
  <si>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</si>
  <si>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</si>
  <si>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</si>
  <si>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</si>
  <si>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</si>
  <si>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</si>
  <si>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</si>
  <si>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</si>
  <si>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</si>
  <si>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</si>
  <si>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</si>
  <si>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</si>
  <si>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</si>
  <si>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</si>
  <si>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</si>
  <si>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</si>
  <si>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</si>
  <si>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</si>
  <si>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</si>
  <si>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</si>
  <si>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</si>
  <si>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</si>
  <si>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</si>
  <si>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</si>
  <si>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</si>
  <si>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</si>
  <si>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</si>
  <si>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</si>
  <si>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</si>
  <si>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</si>
  <si>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</si>
  <si>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</si>
  <si>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</si>
  <si>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</si>
  <si>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</si>
  <si>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</si>
  <si>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</si>
  <si>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</si>
  <si>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</si>
  <si>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</si>
  <si>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</si>
  <si>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</si>
  <si>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</si>
  <si>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</si>
  <si>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</si>
  <si>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</si>
  <si>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</si>
  <si>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</si>
  <si>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</si>
  <si>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</si>
  <si>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</si>
  <si>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</si>
  <si>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</si>
  <si>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</si>
  <si>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</si>
  <si>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</si>
  <si>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</si>
  <si>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</si>
  <si>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</si>
  <si>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</si>
  <si>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</si>
  <si>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</si>
  <si>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</si>
  <si>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</si>
  <si>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</si>
  <si>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</si>
  <si>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</si>
  <si>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</si>
  <si>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</si>
  <si>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</si>
  <si>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</si>
  <si>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</si>
  <si>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</si>
  <si>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</si>
  <si>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</si>
  <si>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</si>
  <si>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</si>
  <si>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</si>
  <si>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</si>
  <si>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</si>
  <si>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</si>
  <si>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</si>
  <si>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</si>
  <si>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</si>
  <si>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</si>
  <si>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</si>
  <si>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</si>
  <si>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</si>
  <si>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</si>
  <si>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</si>
  <si>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</si>
  <si>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</si>
  <si>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</si>
  <si>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</si>
  <si>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</si>
  <si>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</si>
  <si>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</si>
  <si>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</si>
  <si>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</si>
  <si>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</si>
  <si>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</si>
  <si>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</si>
  <si>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</si>
  <si>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</si>
  <si>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</si>
  <si>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</si>
  <si>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</si>
  <si>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</si>
  <si>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</si>
  <si>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</si>
  <si>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</si>
  <si>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</si>
  <si>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</si>
  <si>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</si>
  <si>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</si>
  <si>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</si>
  <si>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</si>
  <si>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</si>
  <si>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</si>
  <si>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</si>
  <si>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</si>
  <si>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</si>
  <si>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</si>
  <si>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</si>
  <si>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</si>
  <si>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</si>
  <si>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</si>
  <si>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</si>
  <si>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</si>
  <si>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</si>
  <si>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</si>
  <si>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</si>
  <si>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</si>
  <si>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</si>
  <si>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</si>
  <si>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</si>
  <si>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</si>
  <si>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</si>
  <si>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</si>
  <si>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</si>
  <si>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</si>
  <si>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</si>
  <si>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</si>
  <si>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</si>
  <si>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</si>
  <si>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</si>
  <si>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</si>
  <si>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</si>
  <si>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</si>
  <si>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</si>
  <si>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</si>
  <si>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</si>
  <si>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</si>
  <si>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</si>
  <si>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</si>
  <si>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</si>
  <si>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</si>
  <si>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</si>
  <si>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</si>
  <si>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</si>
  <si>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</si>
  <si>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</si>
  <si>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</si>
  <si>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</si>
  <si>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</si>
  <si>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</si>
  <si>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</si>
  <si>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</si>
  <si>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</si>
  <si>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</si>
  <si>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</si>
  <si>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</si>
  <si>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</si>
  <si>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</si>
  <si>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</si>
  <si>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</si>
  <si>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</si>
  <si>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</si>
  <si>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</si>
  <si>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</si>
  <si>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</si>
  <si>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</si>
  <si>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</si>
  <si>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</si>
  <si>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</si>
  <si>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</si>
  <si>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</si>
  <si>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</si>
  <si>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</si>
  <si>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</si>
  <si>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</si>
  <si>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</si>
  <si>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</si>
  <si>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</si>
  <si>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</si>
  <si>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</si>
  <si>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</si>
  <si>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</si>
  <si>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</si>
  <si>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</si>
  <si>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</si>
  <si>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</si>
  <si>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</si>
  <si>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</si>
  <si>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</si>
  <si>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</si>
  <si>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</si>
  <si>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</si>
  <si>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</si>
  <si>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</si>
  <si>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</si>
  <si>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</si>
  <si>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</si>
  <si>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</si>
  <si>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</si>
  <si>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</si>
  <si>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</si>
  <si>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</si>
  <si>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</si>
  <si>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</si>
  <si>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</si>
  <si>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</si>
  <si>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</si>
  <si>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</si>
  <si>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</si>
  <si>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</si>
  <si>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</si>
  <si>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</si>
  <si>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</si>
  <si>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</si>
  <si>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</si>
  <si>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</si>
  <si>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</si>
  <si>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</si>
  <si>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</si>
  <si>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</si>
  <si>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</si>
  <si>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</si>
  <si>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</si>
  <si>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</si>
  <si>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</si>
  <si>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</si>
  <si>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</si>
  <si>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</si>
  <si>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</si>
  <si>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</si>
  <si>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</si>
  <si>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</si>
  <si>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</si>
  <si>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</si>
  <si>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</si>
  <si>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</si>
  <si>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</si>
  <si>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</si>
  <si>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</si>
  <si>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</si>
  <si>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</si>
  <si>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</si>
  <si>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</si>
  <si>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</si>
  <si>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</si>
  <si>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</si>
  <si>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</si>
  <si>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</si>
  <si>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</si>
  <si>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</si>
  <si>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</si>
  <si>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</si>
  <si>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</si>
  <si>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</si>
  <si>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</si>
  <si>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</si>
  <si>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</si>
  <si>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</si>
  <si>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</si>
  <si>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</si>
  <si>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</si>
  <si>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</si>
  <si>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</si>
  <si>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</si>
  <si>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</si>
  <si>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</si>
  <si>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</si>
  <si>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</si>
  <si>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</si>
  <si>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</si>
  <si>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</si>
  <si>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</si>
  <si>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</si>
  <si>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</si>
  <si>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</si>
  <si>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</si>
  <si>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</si>
  <si>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</si>
  <si>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</si>
  <si>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</si>
  <si>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</si>
  <si>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</si>
  <si>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</si>
  <si>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</si>
  <si>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</si>
  <si>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</si>
  <si>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</si>
  <si>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</si>
  <si>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</si>
  <si>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</si>
  <si>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</si>
  <si>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</si>
  <si>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</si>
  <si>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</si>
  <si>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</si>
  <si>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</si>
  <si>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</si>
  <si>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</si>
  <si>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</si>
  <si>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</si>
  <si>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</si>
  <si>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</si>
  <si>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</si>
  <si>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</si>
  <si>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</si>
  <si>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</si>
  <si>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</si>
  <si>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</si>
  <si>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</si>
  <si>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</si>
  <si>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</si>
  <si>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</si>
  <si>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</si>
  <si>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</si>
  <si>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</si>
  <si>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</si>
  <si>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</si>
  <si>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</si>
  <si>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</si>
  <si>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</si>
  <si>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</si>
  <si>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</si>
  <si>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</si>
  <si>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</si>
  <si>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</si>
  <si>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</si>
  <si>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</si>
  <si>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</si>
  <si>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</si>
  <si>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</si>
  <si>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</si>
  <si>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</si>
  <si>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</si>
  <si>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</si>
  <si>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</si>
  <si>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</si>
  <si>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</si>
  <si>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</si>
  <si>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</si>
  <si>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</si>
  <si>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</si>
  <si>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</si>
  <si>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</si>
  <si>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</si>
  <si>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</si>
  <si>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</si>
  <si>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</si>
  <si>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</si>
  <si>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</si>
  <si>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</si>
  <si>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</si>
  <si>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</si>
  <si>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</si>
  <si>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</si>
  <si>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</si>
  <si>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</si>
  <si>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</si>
  <si>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</si>
  <si>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</si>
  <si>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</si>
  <si>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</si>
  <si>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</si>
  <si>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</si>
  <si>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</si>
  <si>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</si>
  <si>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</si>
  <si>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</si>
  <si>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</si>
  <si>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</si>
  <si>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</si>
  <si>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</si>
  <si>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</si>
  <si>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</si>
  <si>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</si>
  <si>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</si>
  <si>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</si>
  <si>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</si>
  <si>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</si>
  <si>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</si>
  <si>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</si>
  <si>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</si>
  <si>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</si>
  <si>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</si>
  <si>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</si>
  <si>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</si>
  <si>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</si>
  <si>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</si>
  <si>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</si>
  <si>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</si>
  <si>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</si>
  <si>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</si>
  <si>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</si>
  <si>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</si>
  <si>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</si>
  <si>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</si>
  <si>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</si>
  <si>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</si>
  <si>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</si>
  <si>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</si>
  <si>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</si>
  <si>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</si>
  <si>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</si>
  <si>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</si>
  <si>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</si>
  <si>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</si>
  <si>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</si>
  <si>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</si>
  <si>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</si>
  <si>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</si>
  <si>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</si>
  <si>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</si>
  <si>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</si>
  <si>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</si>
  <si>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</si>
  <si>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</si>
  <si>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</si>
  <si>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</si>
  <si>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</si>
  <si>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</si>
  <si>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</si>
  <si>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</si>
  <si>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</si>
  <si>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</si>
  <si>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</si>
  <si>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</si>
  <si>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</si>
  <si>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</si>
  <si>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</si>
  <si>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</si>
  <si>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</si>
  <si>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</si>
  <si>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</si>
  <si>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</si>
  <si>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</si>
  <si>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</si>
  <si>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</si>
  <si>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</si>
  <si>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</si>
  <si>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</si>
  <si>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</si>
  <si>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</si>
  <si>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</si>
  <si>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</si>
  <si>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</si>
  <si>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</si>
  <si>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</si>
  <si>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</si>
  <si>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</si>
  <si>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</si>
  <si>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</si>
  <si>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</si>
  <si>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</si>
  <si>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</si>
  <si>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</si>
  <si>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</si>
  <si>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</si>
  <si>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</si>
  <si>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</si>
  <si>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</si>
  <si>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</si>
  <si>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</si>
  <si>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</si>
  <si>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</si>
  <si>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</si>
  <si>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</si>
  <si>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</si>
  <si>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</si>
  <si>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</si>
  <si>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</si>
  <si>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</si>
  <si>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</si>
  <si>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</si>
  <si>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</si>
  <si>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</si>
  <si>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</si>
  <si>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</si>
  <si>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</si>
  <si>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</si>
  <si>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</si>
  <si>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</si>
  <si>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</si>
  <si>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</si>
  <si>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</si>
  <si>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</si>
  <si>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</si>
  <si>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</si>
  <si>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</si>
  <si>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</si>
  <si>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</si>
  <si>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</si>
  <si>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</si>
  <si>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</si>
  <si>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</si>
  <si>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</si>
  <si>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</si>
  <si>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</si>
  <si>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</si>
  <si>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</si>
  <si>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</si>
  <si>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</si>
  <si>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</si>
  <si>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</si>
  <si>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</si>
  <si>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</si>
  <si>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</si>
  <si>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</si>
  <si>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</si>
  <si>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</si>
  <si>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</si>
  <si>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</si>
  <si>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</si>
  <si>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</si>
  <si>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</si>
  <si>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</si>
  <si>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</si>
  <si>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</si>
  <si>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</si>
  <si>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</si>
  <si>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</si>
  <si>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</si>
  <si>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</si>
  <si>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</si>
  <si>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</si>
  <si>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</si>
  <si>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</si>
  <si>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</si>
  <si>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</si>
  <si>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</si>
  <si>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</si>
  <si>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</si>
  <si>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</si>
  <si>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</si>
  <si>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</si>
  <si>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</si>
  <si>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</si>
  <si>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</si>
  <si>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</si>
  <si>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</si>
  <si>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</si>
  <si>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</si>
  <si>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</si>
  <si>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</si>
  <si>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</si>
  <si>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</si>
  <si>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</si>
  <si>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</si>
  <si>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</si>
  <si>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</si>
  <si>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</si>
  <si>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</si>
  <si>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</si>
  <si>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</si>
  <si>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</si>
  <si>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</si>
  <si>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</si>
  <si>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</si>
  <si>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</si>
  <si>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</si>
  <si>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</si>
  <si>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</si>
  <si>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</si>
  <si>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</si>
  <si>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</si>
  <si>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</si>
  <si>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</si>
  <si>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</si>
  <si>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</si>
  <si>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</si>
  <si>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</si>
  <si>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</si>
  <si>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</si>
  <si>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</si>
  <si>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</si>
  <si>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</si>
  <si>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</si>
  <si>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</si>
  <si>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</si>
  <si>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</si>
  <si>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</si>
  <si>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</si>
  <si>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</si>
  <si>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</si>
  <si>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Daves bread, 1 slice</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</si>
  <si>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</si>
  <si>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</si>
  <si>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</si>
  <si>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</si>
  <si>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</si>
  <si>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</si>
  <si>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</si>
  <si>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</si>
  <si>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</si>
  <si>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</si>
  <si>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</si>
  <si>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</si>
  <si>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</si>
  <si>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</si>
  <si>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</si>
  <si>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</si>
  <si>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</si>
  <si>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</si>
  <si>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</si>
  <si>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</si>
  <si>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</si>
  <si>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</si>
  <si>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</si>
  <si>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</si>
  <si>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</si>
  <si>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</si>
  <si>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</si>
  <si>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</si>
  <si>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</si>
  <si>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</si>
  <si>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</si>
  <si>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</si>
  <si>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</si>
  <si>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</si>
  <si>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</si>
  <si>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</si>
  <si>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</si>
  <si>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</si>
  <si>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</si>
  <si>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</si>
  <si>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</si>
  <si>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</si>
  <si>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</si>
  <si>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</si>
  <si>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</si>
  <si>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</si>
  <si>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</si>
  <si>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</si>
  <si>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</si>
  <si>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</si>
  <si>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</si>
  <si>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</si>
  <si>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</si>
  <si>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</si>
  <si>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</si>
  <si>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</si>
  <si>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</si>
  <si>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</si>
  <si>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</si>
  <si>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</si>
  <si>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</si>
  <si>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</si>
  <si>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</si>
  <si>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</si>
  <si>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</si>
  <si>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</si>
  <si>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</si>
  <si>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</si>
  <si>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</si>
  <si>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</si>
  <si>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</si>
  <si>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</si>
  <si>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</si>
  <si>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</si>
  <si>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</si>
  <si>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</si>
  <si>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</si>
  <si>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</si>
  <si>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</si>
  <si>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</si>
  <si>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 Had another couple fruit snacks before work. Went to work and had a double salmon with added ahi tuna poke bowl only cucumbers, ginger, wasabi, brown rice, cream cheese, and house ponzu sauce, with 1/2 serving tortilla chips. Then after work at 3 pm, had the 3 hours of stretch classes, need one more volunteer within next 2 weeks to do a practical on with stretching. Got home a little after 6 pm, stopped by Aldis for a couple frozen pizzas and raviolis. Ate half a margarita pizza I baked in the oven with 2 tbs ranch dressing. Had 4th cup of coffee at work on my lunch break after the poke bowl. Had it with 4 creamers carmel. After work had 2 drinks, margaritas, listened to country music for first drink waiting for pizza to cook then finishing my pizza that I ate which was half of it, put the other half in the fridge. Then subscribed to hulu recurring monthly for $6/month under jc@y M!4, get a free month trial, going to watch season 4 of the Handsmaids Tale, got through the 1st 2 episodes then went to bed tired. Had 3 fruit snacks before bed time. I have a client for MLD at 9 am and her boyfriend at 10 am, but no consent form filled out for the bf yet. Went to bed just before 10 pm, around 950 pm according to blink.</t>
  </si>
  <si>
    <t>margarita frozen pizza Aldi, valpizza, 134 pizza, 4 servings per container, 2 servings or half pizza</t>
  </si>
  <si>
    <t xml:space="preserve">8 fruit snacks
(560	0	0	8	136	0	200)
4 coffee creamers
(140	6	0	0	20	0	60)
double salmon poke bowl
(988.4	18.275	3.325	38.125	132.45	16.875	2007)
serving ahi tuna
(106	0.4	0.1	8	16.7	0.6	186)
3 tbs creamcheese
(153	15.3	9.6	3.3	1.2	0	129)
4 slices margarita pizza, 1/2 pizza
(700	22	12	28	102	10	1560)
3 tbs ranch
(218	23.1	3.6	0.5	3	0.3	367)
serving margarita mix
(110.00	0.00	0.00	0.00	28.00	0.00	175.00)
=560+140+988.4+106+153+700+218+110
=0+6+18.3+0.4+15.3+22+23.1+0
=0+0+3.3+0.1+9.6+12+3.6+0
=8+0+8+3.3+28+0.5+0
=136+20+132.45+16.7+1.2+102+3+28+
=0+0+16.9+0.6+0+10+0.3+0
=200+60+2007+186+129+1560+367+175
</t>
  </si>
  <si>
    <t>Sweet Earth frozen entrée of pad thai with tofu, 1 serving is 1 pkg</t>
  </si>
  <si>
    <t>Starbucks refrigerated consumer grade carmel machiato, 3 servings per bottle, serving is 12 oz fluid, bottle:</t>
  </si>
  <si>
    <t>Woke up did normal routine around 6 am and got out of bed to clean pet messes, make my coffee, give Growly his meds and feed the babies, then updated this data base and looked up blinks time for my bed time and saw that the outdoor wireless cameras were not synced AGAIN to the module. I went ahead and saved the blink tech support number to my phone and am waiting for them to put it on the network and tell me how to do it, because it seems to only work when they access it. It is SOOOOOOO ANNNoYYYOing to have to keep doing this because they aren't working. I might take them back. Spoke with someone about 30 minutes around 645 am until 715 am, and told me the sync module is fine, but the wireless outdoor cameras' signals are not strong to sync module, so I have to move the wireless router or the same device my roommate has been having problems with and attach the sync module to his room closer to the wifi cameras. Had a sm reg loose BM after ending call with tech support and finishing 2nd cup of coffee. Had another small BM after speaking with the tech support and drinking 3rd cup of coffee or while drinking it. Then took measurements and ate breakfast then showered to get ready for 9 am client in Eastvale.They were nice, she signed up for a 10 pkg MLD session, and the bf said he wants another one this Thursday. I got Growly's meds at the vet he goes to that I ordered 3-4 days ago. They called last night and left a message saying its ready. Then went to RCC to get my Biology book. They gave me the wrong order, a digital card in card board, and I hate digital textbooks, so had to wait in the long line again to either return it or get the right physical used copy for $145 that I already spent. The next cashier said whoever packed the order did it wrong and got me a used one like I ordered. Then went home ate the last two slices of pizza and had a 4th cup of coffee. Then went to work. Had a frozen meal from Albertsons and a 5th cup of coffee that was a carmel machiator 3 serving bottle from refrigerated section of Albertsons the Starbucks brand. The frozen meal was a sweet earth tofu pad thai. I didn't care for it and only ate half of it. Bland flavor like eating Tex Mex and expecting Mexican food. But with Thai food. After work had 2 margaritas but about 1 serving margarita mix, made a pizza and after completing the clients' receipt and SOAP notes and emailing them to them, had 1/4 the pizza with Ranch dressing and went to bed. Had the linens in the dryer before going to bed and did my laundry and spun it before going to bed.</t>
  </si>
  <si>
    <t xml:space="preserve">6 slices pizza margarita 134pizza brand aldi
(1050.00   33.00  18.00  42.00	 153.00	 15.00	2340.00)
6 tbs ranch dressing
(436.00	 46.20	7.20	1.00	6.00	0.60	734.00)
1/2 bowl Sweet Earth pad thai vegan
(175.00	5.50	0.75	4.50	27.50	1.50	285.00)
1/4 bottel Starbucks carmel machiator drink
(142.50	3.00	1.88	5.25	24.00	0.00	75.00)
4 tbs parmesan cheese
(80.00	6.00	4.00	8.00	0.00	0.00	400.00)
1 serving margarita mix
(110.00	0.00	0.00	0.00	28.00	0.00	175.00)
=1050+436+175+142+80+110
=33+46.2+5.5+3+6+0
=18+7.2+0.75+1.88+4+0
=42+1+4.5+5.25+8+0
=153+6+27.5+24+0+28
=15+0.6+1.5+0+0+0
=2340+734+285+75+400+175
</t>
  </si>
  <si>
    <t>soy based veggie burger with grill flavor, EARTH GROWN VEGAN brand Aldi, 1 patty:</t>
  </si>
  <si>
    <t>3/4 pizza margarita 134pizza
(1050.00	33.00	18.00	42.00	153.00	15.00	2340.00)
5 tbs ranch dressing
(436.00	46.20	7.20	1.00	6.00	0.60	734.00)
4 tbs parmesan
(40.00	3.00	2.00	4.00	0.00	0.00	200.00)
1/4 cup mozz
(80.00	5.00	3.50	6.00	1.00	0.00	190.00)
1/2 pickle
(60.00	0.00	0.00	0.00	16.00	2.00	300.00)
1 vegan beef patty
(350	11	1.5	9	55	3	570)
2 slices Dave's Killer BRead
(140.00	2.00	0.00	6.00	26.00	4.00	210.00)
1 serving margarita mix
(110.00	0.00	0.00	0.00	28.00	0.00	175.00)
1/3 cup starbucks prepackaged carmel machiato cold beverage
(190.00	4.00	2.50	7.00	32.00	0.00	100.00)
=1050+436+40+80+60+350+140+110+190
=33+46.2+3+5+0+11+2+0+4
=18+7.2+2+3.5+0+1.5+0+0+2.5
=42+1+4+6+0+0+6+0+7
=153+6+0+1+16+55+26+28+32
=15+0.6+0+0+2+3+4+0+0
=2340+734+200+190+300+570+210+175+100</t>
  </si>
  <si>
    <t xml:space="preserve">Woke up at 530 and got out of bed around 550 am, went to bed 11:50 pm last night. Got 6 hours of sleep, drank some water, had coffee, gave Growly his meds and fed the babies, no messes to clean up. Registered for a microbiology course at Norco College, 4 units with lab, not 5 with the only instructor available, which makes me think out of about 10 in RCC and Norco College she must have a difficult or very stressful class. I might not even need it if I get into the doctor of chiropractic program in Fall. I have a client in the morning and at noon. The morning one is at 9 am and she lives close, but they might be doing road construction or a train might be in the way. The retarded roommate was trimming Goody's butt hair at just before 7 am and had the garbage disposal running 10 minutes or more while doing it that stressed me out, had a small BM after 2nd cup of coffee. He wasn't able to get Growly's butt hair. They need the groomer's but I am busy and so is he, and can't call to book one today because they open at 9 am and don't take calls until then. I will be back in the afternoon before 2 pm and would be able to get them done at that time, but again not able to schedule it because they don't answer calls until 9 am. My knee was swollen after work when updating my database and making SOAP notes before bed when lifting leg up to relieve pressure on LB while standing at computer. I haven't been marking the swollen ankles, because it seems to be the same slightly swollen ankles and nothing really swollen more than normal last few days. Unless it causes me to not be able to flex my foot or put on my shoes, then it will get marked as not swollen ankles, even though there is always some swollen lymphedema there. Just not excessive amounts. Took measurements after having 3 slices of the pizza margarita 134pizza and 4 tbs ranch with 3 tbs parmesan. Actually just 2.25 slices, because I only like the crust and didn't eat the cheese on 3rd slice, gave to Princess. This pizza is too yeasty for them and actually is probably why I weigh 145 pounds. I also have a new appt w someone new referral seems related to new client from yesterday same last name but in Moreno Valley, had to email them to notify of the $20 additional to $60 service cost due to the google drive time saying historically to get to his residence will be 1 hour 10 minutes and back about 40 minutes. They get an included 30 minutes each way. Too much stress to drive further than 30 minutes in traffic. Its CA, so its not that much of an increase. After my massage appointments at 9 am and 12 pm, I was upset about the apps on my phone not working after a Corona police department line called my personal phone to ask for the information for me on the police report I filed last week on the stolen pet meds or the mail delivery person not delivering the package. There was also a silver SUV parked in front of the client's house the whole time and it left after I left a message on option 9 of their menu with the police department asking if their line has something to do with why my phone says I have full internet access with all bars but none of my apps work. I couldn't get any of my apps to work for spotify music to listen to massage spa music or access square scheduler but was able to accept messages and phone calls. After I hung up the lady in the SUV got in her car and left and I checked my music and it worked. I did not like that at all. I have never had that problem at her house. She lives right up the street from a prek school or elementary school and it is the 15th of June and kids should be out of school. But a bunch of cars were outside and a car was blocking the client's house at 12 pm a time I always see her and have been for last few months. I left her house and on the way home I was able to do some grocery shopping for cat food and cleaning supplies for laundry and paper towels, etc, then get my babies in for a dog grooming. While they were there, I got money out the bank to cover it and the roommate said he would put in money to transfer it to my account so did that, he only wanted to put in 100 but I didn't know until after because he usually gives 120. I offered the groomer 40 more than normal bc he was extending his hours to cover their grooming. Then I went to the mailbox after calling to see if the title was there. It has been what feels like 3-4 weeks but the roommate says it has been barely 2 weeks. Right before memorial day weekend started was when I sold it. And its the middle of June, so about 2-3 weeks. The UPS store said I had something from the DMV, so I went and it wasn't the title it was a copy of the registration with the CA seal in the background. I texted the buyer to let him know and he told me I could go to the DMV and give my plates he sent and get the title there. I told him I would do that on my day off on Thursday. I picked up the babies about 545, but waited bc the groomer said bw 5-530. I gave him $200 with the tip to groom them. Usually it is around 165 with tip for all 3 groomed. It was a hot day. The first client's house I was sweating in. The new client tomorrow in Moreno Valley agreed to the $20 additional fee for drive time there and back on top of the $60 so that is a go for tomorrow. Then at home started watching the season 4 episode 3-4 of Hulu's Handsmaid's Tale but its repetitive and the usual torture seens and ways to destroy the main character into giving up her handsmaids. It was losing interest and signed out of that in the middle of episode 4 or so. Went on the news outlets and read some articles and commented on them to facebook while drinking the last serving of margarita mix with tequila then switching to vodka with ice water when that was gone. Had 3 drinks before bed and made a bunch of facebook posts. Looked a little at some of the tableau public server dashboards I had up on allergy meds and the brain glioblastomas, because a client I had recently at work who tipped very well btw, has a sm tumor thats benign on her pituitary gland and also takes allergy meds like zyrtec, allegra, and nasal sprays. I heard from a previous client who's mom died of a glioblastoma that was very healthy had also taken zyrtec and wanted to see if there was anything there in the genes and samples for zyrtec, but only had the other allergy meds on  that dashboard. I will have to look up those dashboards and see. Its on my other lap top. Or github account. For food for the day I ate most of the 3/4 pizza left over with 5 tbs Ranch between breakfast and lunch after dropping dogs off at the groomers and 4 tbs parmesan cheese, and 1/3 bottle of the starbucks carmel machiatto drink, then after finishing my 3rd and last drink for the night had a vegan beef patty from good earth brand at Aldis, with 1/4 cup mozz, 1/2 pickle, and 2 slices of the Dave's Killer bread that is still good and in the fridge. Been there about 2-3 weeks. Those vegan beef patties aren't bad. Went to bed at 10:05 pm according to Blink that was when the lights went out. </t>
  </si>
  <si>
    <t xml:space="preserve">Woke up at 430 to pee and drink water, went back to bed lying in bed until alarm went off around 530 am. The babies were cuddled up with me with the AC on low. They have less fur now and were cold. They're soft fur after grooming was relaxing and they smell like puppy perfume. I have been drinking more regularly and should stop to give body a break. Will do. I have a client tonight in Moreno Valley at 545 pm, must leave an hour or more before that time. Thursday got the DMV, and need to get the email of the TX massage board to have the CAMTC send my transcripts and letter of licensure proving my good standing. Then pay for it. Busy week before school starts up again on Monday the 21st. Thought our break was 2 weeks but its just 1. Thats ok though. I still haven't received the genetics course grade. Spoke with a rep with the TX licensing for massage therapy and got the email and then emailed CAMTC before work. Had a sm BM that was diarhea after 2nd cup of coffee and when waiting with phone on mute to speak with the rep. Not sure why sick, could be too much yeast in the pizza or the drinks or the high fiber bread with vegan beef patty late last night before bed at 10 pm. Took measurements after doing that and before breakfast at around 7:05 am. Had another vegan beef patty with 2 slices Dave's Killer Bread, 1/8 cup mozz and 1/2 pickle then at work got to try the roll em up taquitos with one flour/potato and the other two avocado/corntortilla and cheese/corn tortilla. Cruncy and good. Had sourcream, Mexican cheese and their mild salsa on them. Had the taquitos with a fountain coca cola medium size about whats in a can of soda with ice. Drank the rest of the Starbucks Machiato drink at lunch before the taquitos as my 4th cup of coffee because I had 3 cups before leaving for work. About 1/4 bottle. After work stopped by the house and had a 5th cup of coffee because I was tired. Then when I got home after new client in Moreno Valley, nice couple, referral from other new clients in Eastvale. This was his early Father's Day gift. She paid the $20 delivery drive time additional cost plus gave $20 gratuity. At home started the laundry and had a vodka with ice water and then another vegan patty, mozz, pickles and Dave's killer bread sandwhich before going to bed by 925 pm. </t>
  </si>
  <si>
    <t>flour 6" tortilla, calorie king.com</t>
  </si>
  <si>
    <t>3 taquitos, mozz, potatoes, avocado, 2 corn tortillas, 1 flour tortilla, 1/4 cup veggie oil or 4 tbs fried in, sourcream and cheese on top with mild salsa, approx:</t>
  </si>
  <si>
    <t xml:space="preserve">2 vegan beef patties
(200.00	2.00	0.00	32.00	12.00	8.00	640.00)
1/2 cup mozz, approx for mexican cheese on taquitos and on sandwhiches
(160.00	10.00	7.00	12.00	2.00	0.00	380.00)
1 pickle
(90.00	0.00	0.00	0.00	24.00	3.00	450.00)
4 slices dave's killer bread
(280.00	4.00	0.00	12.00	52.00	8.00	420.00)
3 taquitos, 1 avocado/corntortilla, 1 potato/flour tortilla, 1 cheese/corn tortilla from roll em up in chino on Pine ave.
(991.00	83.50	19.00	13.00	52.50	9.50	802.00)
1 coca cola fountain drink med with ice say a can
(180.00	0.00	0.00	0.00	50.00	0.00	60.00)
1/3 starbucks carmel machiato drink
(142.50	3.00	1.88	5.25	24.00	0.00	75.00)
=200+160+90+280+991+180+142.5
=2+10+0+4+83.5+0+3
=0+7+0+0+19+0+1.88
=32+12+0+12+13+0+5.25
=12+2+24+52+52.5+50+24
=8+0+3+0+9.5+0+0
=640+380+450+420+802+60+75
</t>
  </si>
  <si>
    <t>butter pecan sundae latte med iced Dunkin Donuts</t>
  </si>
  <si>
    <t>Woke up at 535 am and got out of bed around 545 am. I got up at 3 am to pee and drink some water. Did the normal routine fed babies, gave Growly his meds, put laundry in dryer after spinning it again, cleaned up pet messes, because the babies didn't want to go outside while making their food, cleaned it while they were eating their food. Then looked at the Blink app to see what time I went to bed and woke up exactly, and noticed the sync module cameras outdoor weren't working. Talked to tech with a guy couldn't understand what he was saying at first. Then he said its not their system its my wifi, it needs to be a separate 2.4 ghz and right now it is splitting 5 g through my wifi network. I don't know if thats 5 GHz or just 5 G. Because he just said 5 G. I have to call ATT to see if they can create a separate 2.4 GHz wifi line for it. I have to go to the DMV today, want to go early but not have to pee the whole time. Going to be tricky since I need to have 3 cups of coffee by certain time and get there to wait in line outdoors before they open. At least its like cabin whether outdoors, warm or hot. Had a sm reg BM after 1st cup of coffee and ending call with tech support, updated this database while drinking 2nd cup of coffee. Did errands and went to DMV, found out they sent out the DMV title June 6th should get it this week or next week. Because I got the photocopied registration then I will likely be getting the title soon. Today is Thursday. My boss texted to see if I could work today but get errands to do. Wearing blue jeans today, no waist trimmer, my belly is big, but the jeans fit snug over it. Then got Growly's other meds. Contacted the court to see about a 10+ year old record and applying. No useable answer. Looks like got to just apply and was told the FBI holds records and fingerprints 100 years. I just wanted to know if its a crime to say I haven't committed or been convicted of a crime when in CA it drops off the record. It was expunged 2 years after occurring, but the real criminals were the ones posing as victims and getting neighbors to testify a lie for them to save them from deportation. I never had the felony vandalism dropped/reduced to misdemeanor before expunging it and it shows as a felony until it is. I tried a couple years back but wasn't notified by phone or mail that I had a court date that was optional to show to, so they dropped the case when I wasn't there. Pigs. They don't care about helping people help themselves and they can be classist, racist, and misogynist. Especially the females working there as clerks for the court. Not helpful and make you and everybody else feel like a criminal. The same types that would also get to experience misogyny from pigs first hand if ever encountered for mouthing off to a male cop or his lap dog female cop that looks to him to make decisions and approvals. Not outstanding citizens found there by me ever. I sent in my updated unofficial transcript to the SCUHS DC counselor for verification and submitting application for fall. I would like to know that this previous criminal record won't stand in my way when going through the education process and getting licensed. I might have to save up money to hire a lawyer that can get this handled for me. Apparently its an almost impossible thing to do, is reduce the felony wobbler to a misdemeanor if the case has already been expunged. One lawyer gave me self help advice that I already stated ended up with them dropping the case from not notifying me. But said she charges $2k to do it from LA area to Riverside and normally doesn't and couldn't guarantee something to happen but why is it such a problem to get it reduced if it is impacting my options in life. This was in 2009 when I threw a stick at a female I encountered days earlier while she tried to run me over. I got in my car and chased her to her house up the street from me that I knew where it was because I followed her after the encounter to it. I parked in middle of the street and her and her husband got in the street and threw stuff at me while I was yelling and approached my car so I went to circle around them in the street that was a huge street at Cypress and Golden street in Riverside at the end of La Sierra where it meets Arlington by Alhambra Rd. Where I lived. The asshole guy told his wife when I circled them to run shes trying to run us over and I wasn't but had to stop because when circling them they got in my way, when they were out of it I went the other way. There weren't any neighbors there, and the guy hit his own mailbox when turning around crossing the street. I was arrested Aug 2009 for trying to run them over as their neighbors 'witnessed' it and the guy had a mark he doesn't recall how he got on his body somewhere. AFter a year and a half in court I was offered the only plea I would take, felony vandalism for admitting to throwing my dog's stick at the bitch's vehicle as she smiled devilishl and sped up her car to run me over jumping out of the way. I looked them up later, they didn't try to contest the expungement of the Nov 2011 no lo conteste conviction plea back in Sep 2013, because as it turns out, when I ran their background by name in 2015 they were actually arrested for tampering with a witness, domestic violence, and evading or resisting arrest. On facebook it said the lady was in Spain, probably deported and they didn't own the house anymore, but the asshole guy lives in a mobile home park in San Diego County like Escondido or somewhere. That was the last I checked. But universe doing its job, they weren't good people and they finally got exposed in one way or the other from their 'evil' ways. She called me 'evil' when recounting her version of the incident in court. and her own witnesses said the couple was never in the road throwing stuff at me or approaching my car, but that somehow I attempted to hit them with my vehicle in the middle of the road, but they weren't in the road. The whole thing was stupid AF, and the clerks don't care, one even said I was convicted of all 4 charges, and I told her people get sued for that when doing background checks, I wasn't ever convicted of all four charges and she should know how to read a criminal record. And complained on her to her boss. She just looked at me like she's a stupid AF chick just trying to survive by supporting pigs and making any criminal look more like a criminal than they are, or like a monster. I am neither a criminal or a monster. She is for denying humans their rights and her time in doing her job. They hire stupid ass spanish speaking sluts to fill those roles or nosy hispanic Karens only because they can speak spanish and are the same ignorant lap dogs that look to cops on what to be directed into doing. I also had a butter pecan sundae latte iced med size from Dunkin Donuts, decided not to get the nitro cold brew in any form as the last one I had there was disgusting a few months back. There was a drive thru line and it looked like a whipped cream sprinkled donut frappucino and tasted the same as starbucks carmel frapuccino. Didn't have breakfast other than that as my 3rd cup of coffee. Called Dad to say that I would do his taxes for father's dady but he didn't answer his cell phone or work line, like my number is blocked. He goes through phases. As I also dropped off the mail I had for my sister at their house a couple steps back before the DD coffee. I noticed that my youngest niece's car, the Toyota Camry isn't new at all or used from a new biz, but had handicapped plates on it and I realized at that time when checking the front that she is actually driving Sherri's car, my dad's 3rd wife who past away from a stroke in Nov 2020. Wow! because I offered her my Dodge Charger to drive around with about the same payment and amount of payments left and wouldn't take it yet would rather take Sherris car who probably has all sorts of cigarettte smoke and bad energy in the car. But she did barely drive it and it must have has at most 10k miles on it where mine had 74k miles on it same year 2017. Her paint had the scratch on it before my youngest niece drove it thats why she never brought it up, because a dealership wouldn't let a car leave the lot with a scratch on it like that could be masked or buffed out, too light for a key scratch and too dark for a light tree branch scratch. Got the rest of the day off. Thought about horseback riding at the sunset and daydreams place my client told me about for $55-59 or going to beach or somewhere with my new bikini, even though I would look pregnant in it. Maybe lounge in the pool of a hotel in my bikini and drink cocktails with people staring at me, 'she's pregnant! and drinking' me like mind your own business because I am not pregnant. THis is a health condition. Read my blog on it. Do something spontaneous. I got an A in genetics and chemistry. Yay! Doctor status coming up. Took measurements at 11:45 am after the DD drink with bikini on. I am going to walk around the mall and see if I want to buy anything and maybe see if any hotels have pool admission. And bring a towel. Then hang out at some random pool with a margarita and then eat something pescatarian or vegetarian. Then go home. Didn't do any of that, took dogs to park, Growly almost died, didn't make it in the heat, but thankfully saved again with AC this time and some water. Poor little guy, then had a prepaid client schedule for 6 and 7 pm for her and her bf and bought the monthly membership for him. Great couple. Lost it at Lowes, but not physically, waited in line off Limonite, and some girl cuts in line because there was one line to two open cashiers and the guy looked like he was just calling people from the line until his break or something because he didn't announce being open to all. I waited in line 10 minutes and when its my turn to get called she jumps in with people behind me. and blah blah blah, I had to assert myself and take my spot, and listen to her bitch, and she kept bitching the whole time and the female cashier like I have the problem. She jumped the line! and the guy I went to as the cashier said to be patient, which was exactly what I was doing, but she had to cut in. I had to be at clients in 5 minutes. I was like whatever. left listening to them complain about how absurd it was to bitch and assert myself with them bitching about it, there were at least 3 other customers in the line I was in assuming the same damn thing about the order of checkout, and nobody that worked there monitored it or directed it to flow a certain way we just followed the ones in front of us. So stupid, but nothing illegal done, so whatever. Got to client's on time and was behind her pulling in, because she went to Ross, told me in session. But I took 7 minutes as I was early. She might have been annoyed by that because she brought up that she wanted to let me in twice. Very nice lady though. Her and her man. Ended the night with a couple vodka on rocks at home doing the SOAP notes and receipt. And laundry of course. For food, I had 1 vegan beef sandwhich in total from breakfast to lunch because one vegan beef patty left of the pkg with 4, the butter pecan sundae DD drink of coffee was breakfast, 5 cups of coffee in total because I had a 5 th one after waking from my 15 minute nap at 3 pm. and a bowl of raviolis after that. Then shower, work, then home and after all done a 2nd bowl of raviolis. Had a reg but loose BM for 2nd BM today after SOAP notes and 2nd drink of vodka. around 1045 pm and after putting laundry in dryer. Also, started getting spotty while wearing my bikini before my shower around 4 pm. I started my monthly mensa. Bed by 11:25 pm.</t>
  </si>
  <si>
    <t xml:space="preserve">vegan beef patty
(100.00	1.00	0.00	16.00	6.00	4.00	320.00)
1/8 cup mozz
(40.00	2.50	1.75	3.00	0.50	0.00	95.00)
1/2 pickle
(60.00	0.00	0.00	0.00	16.00	2.00	300.00)
2 slices Daves Killer Bread
(140.00	2.00	0.00	6.00	26.00	4.00	210.00)
2.5 servings ravioli
(625.00	12.50	6.25	25.00	105.00	2.50	850.00)
1 cup pasta sauce
(90	3.5	1	3	12	3	460)
butter pecan sundae iced latte Dunkin Donuts med size
(410.00	14.00	8.00	12.00	60.00	0.00	340.00)
4 tbs parm
(120.00	0.00	0.00	0.00	32.00	4.00	600.00)
1/4 cup mozz
(80.00	5.00	3.50	6.00	1.00	0.00	190.00)
=100+40+60+140+625+90+410+120+80
=1+2.5+0+2+12.5+3.5+14+0+5
=0+1.75+0+0+6.25+1+8+0+3.5
=16+3+0+6+25+3+12+0+6
=6+0.5+16+26+105+12+60+32+1
=4+0+2+4+2.5+3+0+4+0
=320+95+300+210+850+460+340+600+190
</t>
  </si>
  <si>
    <t xml:space="preserve">bowl raviolis
(250	5	2.5	10	42	1	340)
1/2 cup pasta sauce
(45.00	1.75	0.50	1.50	6.00	1.50	230.00)
1/4 cup mozz
(80.00	5.00	3.50	6.00	1.00	0.00	190.00)
3 tbs parmesan
(30.00	2.25	1.50	3.00	0.00	0.00	150.00)
1 grande sea salt cream nitro cold brew
(70.00	5.00	3.50	1.00	4.00	0.00	20.00) 
double salmond poki bowl with spicy tuna, too spicy gross, no cream cheese only ate half
(277.25	5.59	1.08	8.90	48.28	4.18	450.50)
1 serving corn tortilla chips
(140	7	5	2	18	2	90)
=250+45+80+30+70+277+140
=5+1.75+5+2.25+5+5.59+7
=2.5+1+4+2+4+1+5
=10+2+6+3+1+9+2
=42+6+1+0+4+48+18
=1+2+0+0+0+4+2
=340+230+190+150+20+451+90
</t>
  </si>
  <si>
    <t xml:space="preserve">Woke up at 5 and laid in bed holding Growly. He had his eyes open, but was breathing and warm. The AC was on last night and he almost died at the park in the heat walking him, and running out of circulation to his legs, screamed from cramps. Put him in car with me and babies with AC on full blast until he cooled off. Then held him entire drive. Was fine at home. It was hot yesterday. Supposed to be more hot days. Got out of bed after a little nap bw 5 and 530 am by alarm. Did normal routine, no pet messes to clean, made my coffee, fed Growly his meds, fed babies, noticed Blink is a recurring issue on the daily to fix. Had to reset entire wifi and internet through ATT app then noticed the wifi to the sync module for Blink worked and so did the cameras. So annoying to do that all the time. Woke up with R shoulder aching, probably slept on it wrong or stretched it awkwardly holding Growly. Had 2 cups of coffee then a sm BM, med-heavy mensa day 2 on rag. Filled out the TX pdf fillable form and sent it in for Criminal History Questionaire. Could take weeks to months to decide. Will find out, but I know I did my part. Still waiting for the CAMTC to send me my paypal form to pay for transcripts to get sent, already took care of the other proof of licensure form yesterday. Then once they do that, take the jurisprudence exam online and apply. Got the funds, might as well. So thats 125 CAMTC transcripts school closed, 35 juriprudence exam, 100 TX application fee, + 90 approx fingerprints with indentogo once applied. Wait for the correspondence on criminal history approval or denial, then the summer have my liability insurance 100 to pay and city license renewal 115 approx to pay. Write offs. Have a couple of clients at 5 pm, but have never been able to get through traffic at that time to make it there. So I altered my schedule, will text her after work when using the waze app to see what time it has me arriving by. A very nice couple too. Took measurements before eating breakfast, last of raviolis with mozz and parmesan cheese. Had a 3rd cup of coffee with raviolis. At work had a no show as 3rd appt, and for lunch had a poke bowl that was gross and only ate 1/3 of it, too spicy with spicy tuna and double salmon, cucumbers, spicy mayo, house ponzu sauce, brown rice, and a starbucks seasalt carmel nitro cold brew drink. After work had last of the tortilla chips from Sprouts to snack on in traffic that was like 1/2 serving. Then got to clients, barely made it out of there without bleeding around my mensa pad and thankfully not on the floor, it was on my pants leaving, had to wipe it off my driver's seat when I got home. Made it back when my alley/neighborhood cat got there. A cute little girl or guy, doesn't like the pate cat food, partially eats it. Very sweet cat though. Saw that Mike, my neice's uncle booked an appointment with me with the free monthly prepaid. Not going to happen since he used 'cum' in the square app scheduler and no consent form, plus gives perve vibes. I will cancel it tomorrow. I have my other client at 4 pm and her cat. They're cool, very cute cat and nice client. I like all my clients. Clients tonight are cool people too, their dog is funny, they are trying to warm it up to people like me, because he barks a lot. Cute dog though. Had laundry in the wash, going to wash my clothes and bloody pants once the linens and covers and supplies are done and in the dryer. I back tracked and marked the swollen ankles because they weren't too swollen to move but they were swollen and they get swollen around my time of the month for menstruation.Went to bed around 1030 pm. After cancelling the square appointment with Mike and explaining why I wouldn't go to his house to give him a massage because I wouldn't feel comfortable with that language, its not respectable language, and it violates the terms of service in the consent form that everyone fills out before the appointment, and also he booked the monthly prepaid $0 appointment and needed to book the $60 hourly massage, and maybe that he doesn't live around Corona, and also that I would be busy and possibly on the other side of town. He probably booked it drunk. He is actually not known to follow social norms for long and always does something to make someone feel uncomfortable. Not the type of client I would ever go to their house to massage them. The idea is gross, reminds me of pigs tyring to connect my professional services to a pervert or disrespectful person. He is technically extended family, but always made it known that he wants to date me when he used to rent a room from us back in the day with my sister and her now deceased babies' daddy, his brother RIP now since July 2007, 14-15 years. 14 years this end of July. I was actually going to have a vodka ice water making the client's SOAP notes and receipts and doing laundry, then I saw his scheduled appointment and it grossed me out with the language used, so didn't drink. I sent out my clients' SOAP notes around 10 pm but a little after 10, then cancelled Mike's appointment. </t>
  </si>
  <si>
    <t>Great Value Peanut Butter creamy, serving is 2 tbs</t>
  </si>
  <si>
    <t>Market Pantry Concorde Grape Jelly, serving is 1 tbs</t>
  </si>
  <si>
    <t>banana bread Albertsons Deli, 10 slices per pkg, 1 slice:</t>
  </si>
  <si>
    <t>Starbucks Vanilla Latte, servings 3 per bottle,1 serving is 12 oz, bottle:</t>
  </si>
  <si>
    <t xml:space="preserve">Woke up at 515 put laundry in dryer after taking linens out and folding and all after doing normal routine, coffee and cleaning pet mess then making Growly's meds and feeding the babies. I skipped his meds last night, because it was off by 4 hours, and have to get to work by 750 am today. He would have to take it late then early when spaced out 12 hours is the goal. Updated this database and folded the linens and supplies before that time. Heavy bleeding and clotting. Had a mess of blood that did exactly what I worried it would do at my clients' house last night, spewed out a clot while standing and waiting for the babies to go outside, dripped down my leg and into my sandle birkenstock Target brand non-leather shoes that are comfortable and have been lasting a couple years already. I cleaned that mess up and used a washcloth, only have one menstruation pad left. Will probably need to stuff my undies with washcloths at work too. Those blood clots are the worst for emergency pants bleeding and around thick mensa pads. Its the fibroid that does it, makes all the blood cake up in the uterus, then slight movements like breathing or walking or standing, open pelvice floor or shift it and all the blood that clotten along and in uterus falls out and other blood when flowing heavy. Had a 2nd cup coffee by 625 am. Almost time to get ready. Had a sm BM after 2nd cup of coffee, then took measurements, made a 3rd cup of coffee and got ready for work. Ankles aren't really swollen, but not 'not swollen' and will be by end of day as my iron bleeds out, same with the last few days. Thats why its marked as swollen, by end of the day they are, even with compression socks on. At work clotted and heavy, used up two wash cloths before lunch, got a fruit bowl of green grapes, strawberries and mandarin oranges, approx 40-50 green grapes sm sz, 2 strawberries sliced and one mandarin orange sliced and peeled prepackaged for 6.99. Then looked for the starbucks carmel machiato but not there prepackaged, got the vanilla latte one instead, and a package of fresh deli banana bread. I don't know why, because there were other delicious options from the Albertsons in Chino Hills, but got that. Forgot the pads, then ate my fruit bowl mostly and a couple slices of the banana bread and a cup and a half of the vanilla latte. in my green cup, about 2 cups of the drink.  for the 4.5 cups coffee for the day as had 3 before work with a peanut butter and jelly sandwhich that was quick to make on Dave's Killer Bread, not bad. The 5.5 cup came after work exhausted, probably because its my heavy rag day and lost a lot of blood. I went back into the Albertsons and got two different sizes of the mensa pads and then went back to work for last client. Last two clients and first one were regulars. They're cool. I am blanking on the 2nd client but just remembered. She usually sees Joanne, but she was busy. Quiet young lady. AFter work had my regular client back from Las Vegas, very nice client, post op 6 months lipo 360. Very fit petite lady. Her cat is super cool and adorable. Got home by or before 6 pm, did the laundry and made a drink while cooking raviolis from freezer last bag and the last pasta 4 cheese sauce. Yay! Got class work to do. Stuff is already due the first day. There are what appears to be scheduled weekly meetings via zoom but the summer registry info said not a set time and date bc online. I can do the Mon mornings as long as no private clients, but only Wed if in evenings. She will be marking attendance, but then again it could just be keeping track of how we log into the course online and not the class. Looks cool. But she also said there is a lab manual, but when I purchased the text book to see what books were needed, I didn't see anything about a lab manual to buy. I will have to check on that. Ordered an air fryer and some earrings from Amazon.com. Had a vodka ice water drink. Feeling it with loss of blood too. Didn't make receipt or SOAP notes yet. Had a bowl of raviolis with mozz cheese. The parmesan cheese was all gone, roommate throws a lot on his food. I just bought two bottles last time I went to Winco. He uses a lot of the parmesan cheese. Had a 2nd BM after looking at homes and saw a condo that was 2 bed 2 ba in corona for 350k. Contacted, for curiosity. It said 5k with 60k a year at 19k a month mortgage. Not a fan of carpeting though. Went to bed early at 8 pm. The roommate came back to get ready for work but I was tired and saw him leave a little after 9 pm. Bleeding on mensa slowed down, but still messy, these Albertsons generic pads don't cover much when sleeping, goes off to sides. </t>
  </si>
  <si>
    <t xml:space="preserve">2 slices Daves Killer Bread
(140.00	2.00	0.00	6.00	26.00	4.00	210.00)
2 tbs peanut butter
(180.00	15.00	2.50	7.00	8.00	2.00	135.00)
2 tbs grape jelly
(100.00	0.00	0.00	0.00	26.00	0.00	0.00)
5 slices banana bread
(900.00	45.00	10.00	10.00	110.00	0.00	850.00)
1/2 vanilla latte starbucks refrigerated drink
(285.00	6.00	3.75	10.50	48.00	0.00	150.00)
bowl raviolis
(250	5	2.5	10	42	1	340)
1/4 cup mozz
(80.00	5.00	3.50	6.00	1.00	0.00	190.00)
40 green grapes
(8.5	0	0	0	36	0	1)
2 strawberries
(6.25	0.00	0.00	0.00	1.50	0.25	0.00)
mandarin orange
(40	0.2	0.1	0.6	10.1	1.4	2)
=140+180+100+900+285+250+80+8.5+6.25+40
=2+15+0+45+6+5+5+0+0+0.2
=0+2.5+0+10+3.75+2.5+3.5+0+0+0.1
=6+7+0+10+10.5+10+6+0+0+0.6
=26+8+26+110+48+42+1+36+1.5+10.1
=4+2+0+0+0+1+0+0+0.25+1.4
=210+135+0+850+150+340+190+1+0+2
</t>
  </si>
  <si>
    <t>Woke up before 530 am but got out of bed at 530 am, didn't feel groggy. Bleeding less today. Pads are messy. Did normal routine, cleaned pet messes, gave Growly his meds, fed babies, restarted dryer, made my coffee, updated this database on yesterday's nutrition information, then checked the time I went to bed on BLink and noticed the outdoor wireless cams aren't connected again. So annoying, didn't have it connect after restarting internet, went to the sync module and restarted it after moving the booster from the roommates separate model room area to the bed area. Nothing is connected to the booster. Haven't set it up properly or just nothing connected now. It finally worked This camera system is such a huge annoyance. I absolutely hate it. Waste of money, should have got the wired in system or other wireless camera like nest and been better off. Emailed the advisor Garfield to see if a kinesiology course of 1 unit or CPR/first aid would count, but checked out the biology schedule and work and decided not to add any other coures, also the first aid cpr has a  day I am unavailable and the tu/thur is no longer avail. Had a BM reg after 3rd cup coffee, took measurements afterwards, alarm went off at 730 to get ready for work, and had some raviolis. Went to work and had the other half of starbucks vanilla latte bottle drink and 5 slices banana bread. AFter work had the last of the raviolis same way with 1/4 cup mozz and the 1/2 cup sauce, it was all in the same pot, but there is a bunch of sauce left over in the bowl and the pot after raviolis gone. I had my client, a regular after work, gave her boy some coloring books, that occupied him pretty well the first 1/2 hour, but he couldn't sit still. He is a cute little boy. After the massage packing the supplies the grandma wanted us to hurry, she is really nice about it, because her dogs were upstairs waiting to come out. We were chatting. This client has an abusive asshole ex she is going through a divorce with. I told her all about the courts and how its more a pyschological thing to test people. They suck on both sides for both people in any courtroom. She is doing better but lost weight. I went shopping at Smart and Final and got some pizza, raviolis, waffles, bananas and chocolate icecream. This client had a good idea about a 'meet up' for single females or interested ones that want to do random fun stuff for a few hours every few weeks like pottery, photography, horseback riding, etc. I thought about making a blog about it. I also put some sweet potato fries in ove around 845 pm after reviewing my summer course syllabus that starts tomorrow in biology. I also had a cup of vodka or drink of vodka and ice water before putting sweet potato fries in the oven. Also, before I went to client's house, leaving at around 410 pm, bc she lives in S corona, I had a 5th or 5.5 cup of coffee. The 3 cups in am before work, the other half of vanilla late refrigerated starbucks as 4.5 and this cup as 5.5 cups coffee. Didn't want a headache, but was tired. Not bleeding heavy today, and only changed my rag one time at work, no leaks around pad or clots, its a medium flow day. Didn't put out client's receipt or SOAP notes by 840 pm before putting sweet potato fries in oven. No ketchup, but ranch dressing and pasta sauce might work with mozz cheese.</t>
  </si>
  <si>
    <t>classico pasta sauce 4 cheese, serving 1/2 cup</t>
  </si>
  <si>
    <t>chocolate waffles eggos, serving is 2 waffles:</t>
  </si>
  <si>
    <t>digiorno stuffed crust 5 cheese pizza, serving is 1/5th pizza</t>
  </si>
  <si>
    <t>california pizza kitchen margherita pizza thin crust, serving is 1/3 pizza:</t>
  </si>
  <si>
    <t>First Street, Smart&amp;Final brand, jumbo spinach, ricotta, cheese raviolis, serving is 4 pieces</t>
  </si>
  <si>
    <t>First Street, sweet potato crinkle cut fries, seving is 3oz or 12 pcs:</t>
  </si>
  <si>
    <t>chocolate icecream, serving is 2/3 cup</t>
  </si>
  <si>
    <t>Woke up at 530 am and got out of bed a little after that time.I woke up shortly before that about 15 minutes with a huge calf cramp when rolling over and stretching, it froze up on my on my Left calf and ached like a huge muscle cramp for about 20-30 seconds it felt like. Was a little sore when getting up but went away. Haven't had those in years.  Went to bed last night at 1040 approximately watching Hulu's Handsmaids Tale. I have a biology zoom 90 minute meeting from 10 am to 1130 am today before work. The other meeting is Wed. But unable to attend because I have work. On the registry it said it was online and didn't have a set day to go. I found this schedule out yesterday, though it was up for a few days before it or week in her announcement. She doesn't deduct points but gives participation points for having web cam on during lecture via zoom. I sent out my client's SOAP notes and receipt after 1st cup of coffee and with laundry in the dryer. I had a reg BM after 1st cup of coffee and started drinking my 2nd cup. Yesterday I noticed that part of my black eyeglasses is broken on one of the folding legs of the eyeframe by the screw. Might order another set or try super gluing it. I don't know how it happened. I am also expecting all of my Amazon packages today except the waist trimmers I was conned into buying. They said it was shipped so they could charge my card, but won't be arriving for a month, so I can't cancel the order. I don't like that at all but have to deal with it. They should allow cancelling the order when it takes longer than a week. I have to update this nutrition database then shower and get ready for the zoom meeting and probably go over the lab manual and the first few chapters of the text book but not read every page as I imagine it is about 3 hours per chapter to read if like the genetics biology text book, and not enough time for that. It is 645 approx right now. Took measurements while preheating oven to bake a pizza, the stuffed crust 5 cheese digiorno pizza at around 704 am. Got a text the bookstore at RCC charged my card, so it must be ready for pick up the lab manual for biology. Not really any time today to get it if the line is going to be as long as last time. But might get it before work and check the UPS store to see if the Dodge Charger title is in. Did the dishes and folded the laundry. The roommate went to his mom's last night (aunts actually but raised as his mom) to celebrate his step dad's father's day. He brought home lasagna he said was vegetarian his mom made for us knowing I am vegetarian. I don't trust her. I think she poisoned her ex husband or two thats why they died of cancer. Shortly after she visited and gave us food when he ruptured his patella tendon, I got Hodgkin Lymphoma when it doesn't run in my family at all. A few months afterwards. So I will not eat anything she makes. She is nice on the surface and means well. But not going to eat her food. I don't like seeing the Blink cam go off and see my roommate in my room for minutes at a time. It is only showing when someone walks by because it was catching us naked after the shower right by the bathroom and my room and when calling tech support for the outdoor wireless cams that keep going out or disconnecting they could see all our activity. So I changed the angle to onlyshow our head walking by. It cathces him at some times coming from my room and not entering it, which is weird. He says hes petting the babies, but if I put it on where it has full view of my room it will go off continuously while I am in my room. Ate 3 slices of the pizza cut into 8 slices with 3 tbs ranch dressing. Gave the babies some of the cheese stuffed crust. They loved it. Not with ranch dressing.Feeling like a nap with my 3rd cup of coffee around 8 am. It was a light mensa day today, only changed my pad about 2x. I added the window decals after taking off adhesive forever on passenger side. I got those in today and added them before work. I baked the whole cheese stuffed pizza and ate all of it in 2 slices, 2 slices, then 3 slices by end of day. or 3-2-3 so that it was 8 pieces. With about 5 tbs ranch dressing. For lunch on my break at work bought some more flashcards, a white board with dry erase markers, and super glue for my broken glasses, and had about a 16oz or whatever size the large refrigerated Starbucks vanilla latte drink is. That was my nutrition or sustenance for the break. I also got an interview with the Southern CA University of Health Sciences for the DC program, but he wants to put me in the 4 year track, probably bc I don't have my anatomy but after this summer's biology will have the required 24 sciences, but not really because short 1. So hopefully get in. Don't want to bomb the interview on June 24th a Thursday at 2 pm. That Garfield guy is super nice and helpful, I have to watch the last 1/2 hour of my biology LE bc I spoke with him during that time. I am so doctor material, and do enjoy helping people and find it rewarding. Why not a chiropractor. I had a lot of respect for the chiropractor who taught the school I went to for massage when learning the trade and at that time wanted to be just like him and own a massage school and offer helpful advice people paid for to ease their aches and pain. I was a bit delusional and thought massage therapists were like Jesus's people and healers of ancient times with knowledge passed down by generation to help people. Somewhat believe that now. I definitely want to capitalize on that insurance sponsored chiropractic adjustments and regular visits and cracking or aligning peoples back and using massage therapists and other health and wellness professions like yoga or pilates and physical therapists to cure the public of their aches and pains while building a brand that can be recognized. I now have two monthly subscribers. How cool. Two. Awesome, been around at least a year, but hey somethings take time to find their momentum. Will have to score that A in biology too. She is the same age as me as we both graduated high school in 2000. It seems like an interesting course. Odd that it is biology for non-science majors but required for anatomy, and I would otherwise not take it. And no intro biology is for science majors, so to me this is odd. Why even say it is a course for non-science majors. Seems pretty intricate too. The other classmates in todays zoom meeting looked just like me brushing hair off face and lowering head as we listened to and read the course requirements, pure stress in the works. They were getting their participation points for having their web cams on. I can only tend the Monday lectures and couldn't even log in on time this morning because the instructor had to log in first. I went to car to get glasses, or van, and came back and realized it didn't matter bc my video was off after taking electric tape off web cam. I put it back. I had a couple vodka ice water drinks while filling in these notes, then had a lg BM. 2nd for the day. Didn't finish 2nd vodka ice water, ice melted.  I got all my amazon packages and got a lot of earrings for $20, more than advertised, one looks like dangly earrings with fake toilet paper on a loop of silver or metal that is interesting. Might wear or not, different kind of humor. Most are cute earrings. Didn't unpack the air fryer or the infrared light and kept in the boxes. I saw on my break they were delivered and texted my roommate to pick them up from the front while he was still there and the packages too. He said like always to stop delivering them there and I had to tell him to stop bitching about it because that is why I got the ring or blink cameras.I paid some bills, and balanced checkbook, then wrote down interview date on new white board, but left the air fryer and infrared lamp that rolls in their boxes. Made some sweet potato fries while drinking vodka ice water. Had about two servings or other half the bag with 3 tbs sourcream and 1/4 cup pasta sauce and 1/4 cup mozz but also a serving of tortilla chips with the same ingredients while waiting for the fries to bake from preheating to baking 20 minutes. And wathing Handsmaids Tale. Didn't finish whatever episode it was in the boat. Went to bed around 1230 am.</t>
  </si>
  <si>
    <t xml:space="preserve">1/2 vanilla latte starbucks bottle
(285.00	6.00	3.75	10.50	48.00	0.00	150.00)
5 slices banana bread
(900.00	45.00	10.00	10.00	110.00	0.00	850.00)
2 bowls raviolis
(500.00	10.00	5.00	20.00	84.00	2.00	680.00)
1/2 cup pasta sauce Priano brand
(90	3.5	1	3	12	3	460)
3/4 cup mozz
(240.00	15.00	10.50	18.00	3.00	0.00	570.00)
approx 20 sweet potato crinkle cut fries
(280.00	10.00	0.00	4.00	44.00	4.00	480.00)
2 tbs ranch dressing
(145.33	15.40	2.40	0.33	2.00	0.20	244.67)
2 tbs sourcream
(120.00	10.00	7.00	2.00	4.00	0.00	30.00)
1/8 cup pasta sauce Classico brand
(15.00	0.25	0.00	0.50	2.50	0.50	125.00)
banana
(105	0	0	1	27	3	1)
=285+900+500+90+240+280+145+120+15+105
=6+45+10+3.5+15+10+15.4+10+0.25+0
=3.75+10+5+1+10.5+0+2.4+7+0+0
=10.5+10+20+3+18+4+0.33+2+0.5+1
=48+110+84+12+3+44+2+4+2.5+27
=0+0+2+3+0+4+0.2+0+0.5+3
=150+850+680+460+570+480+244.67+30+125+1
</t>
  </si>
  <si>
    <t xml:space="preserve">digiorno pizza cheese stuffed crust
(1550.00	75.00	40.00	75.00	140.00	5.00	3150.00)
5 tbs ranch dressing
(436.00	46.20	7.20	1.00	6.00	0.60	734.00)
bottle vanilla latte Starbucks drink
(285.00	6.00	3.75	10.50	48.00	0.00	150.00)
2 choc chop waffles
(200.00	7.00	2.50	4.00	32.00	1.00	370.00)
1 cup chocolate icecream
(270.00	13.50	9.00	4.50	33.00	1.50	82.50)
1/4 cup or 4 tbs whipped cream
(50.00	3.00	3.00	0.00	6.00	0.00	0.00)
other half of sweet potato crinkle cut fries
(280.00	10.00	0.00	4.00	44.00	4.00	480.00)
3 tbs sour cream
(180.00	15.00	10.50	3.00	6.00	0.00	45.00)
1/4 cup pasta sauce Classico
(30.00	0.50	0.00	1.00	5.00	1.00	250.00)
1/4 cup mozz 
(80.00	5.00	3.50	6.00	1.00	0.00	190.00)
3 tbs sour cream
(180.00	15.00	10.50	3.00	6.00	0.00	45.00)
1/4 cup pasta sauce Classico
(30.00	0.50	0.00	1.00	5.00	1.00	250.00)
1/4 cup mozz 
(80.00	5.00	3.50	6.00	1.00	0.00	190.00)
serving tortilla chips
(140	7	5	2	18	2	90)
banana (ate the middle with the waffles and icecream)
(105	0	0	1	27	3	1)
=1550+436+285+200+270+50+280+180+30+80+180+30+80+140+105
=75+46.2+6+7+13.5+3+10+15+0.5+5+15+0.5+5+7+0
=40+7.2+3.75+2.5+9+3+0+10.5+0+3.5+10.5+0+3.5+5+0
=75+1+10.5+4+4.5+0+4+3+1+6+3+1+6+2+1
=140+6+48+32+33+6+44+6+5+1+6+5+1+18+27
=5+0.6+0+1+1.5+0+4+0+1+0+0+1+0+2+3
=3150+734+150+370+82.5+0+480+45+250+190+45+250+190+90+1
</t>
  </si>
  <si>
    <t xml:space="preserve">2 choc chop waffles
(200.00	7.00	2.50	4.00	32.00	1.00	370.00)
1 cup chocolate icecream
(270.00	13.50	9.00	4.50	33.00	1.50	82.50)
1/4 cup or 4 tbs whipped cream
(50.00	3.00	3.00	0.00	6.00	0.00	0.00)
3/4 margherite pizza
(720.00	38.25	15.75	27.00	65.25	4.50	1080.00)
3 tbs ranch dressing
(218	23.1	3.6	0.5	3	0.3	367)
1/2 serving baked potato chips
(60.00	4.25	0.00	1.00	11.00	0.50	80.00)
2 choc chop waffles
(200.00	7.00	2.50	4.00	32.00	1.00	370.00)
=200+270+50+720+218+60+200
=7+13.5+3+38.25+23.1+4.25+7
=2.5+9+3+15.75+3.6+0+2.5
=4+4.5+0+27+0.5+1+4
=32+33+6+65.25+3+11+32
=1+1.5+0+4.5+0.3+0.5+1
=370+82.5+0+1080+367+80+370
</t>
  </si>
  <si>
    <t>Woke up at 630 am by alarm. The roommate came in the room while I was getting out of bed and told me he was verbally assaulted yesterday and had to attack the guy and the guy tried to stab him with a screwdriver 2x, he ran away instead of bashing his head on while on the ground and told the medical clinic up the street a block from where we live. His BP was 180/145 or high, then after 5 min went down to a lower rate. He has been trying to get a doctor to examine his xray and tell him about it. I got out of bed. The roommate just got home at that time. I had 3 vodka ice waters last night while watching an episode of season 4 of the Handsmaids Tale last night and went to bed around 12:30 am but a few minutes after. Got about 6 hours of sleep. Did a discussion while drinking 2nd cup of coffee, feeling less groggy. Had a small BM before finishing 2nd cup of coffee. Then updated database, I forgot I ate a banana yesterday and day before I didn't keep track of. I remembered when looking at food available for breakfast. Then took measurements around 845 am. I just had my MLD client book an appointment that runs close to interfering with my 12 pm client in Norco. I didn't feel good when getting back, the hung over feeling came back, and was gone mostly during appointments and running errands. Was able to pick up my lab manual after my noon massage appt, then thankfully got the title to give to the father of the new owner of the Dodge Charger he bought the 28th of May Memorial weekend a few weeks ago. I contacted him and sent it via fed ex like he sent my plates and gave him the tracking number. Then went home, did the laundry and started the homeword, with the first assignment due being the lab, but there is a lot of work due this week and a lot of studying. I made the margherite pizza and ate 3/4 of it with 4th cup of coffee, then took a nap around 6 pm for about 20 minutes. Felt a little better, but still sick and my throat is sore and then it goes away, but comes back as I chew on the ice. Drank some water and felt a little better. It was shaken off by late when reviewing the first two lectures and notetaking. Already have a quiz on the first chapter material tomorrow. and a Lab quiz on all 3 labs due Friday that I only got through the first lab today. Each lab has a video with it to go with the slides, and each lecture seems to have a worksheet to fill in and video with slides. 16 weeks into 7 weeks of material is quite a bit of work to do during the week. The study guide is the first few slides on what to expect to learn for preparing for quizes, exams, and tests. I didn't do the SOAP notes or receipts for either client by 1036 pm, but did write the SOAP notes in journal.  No more bleeding today noticed. Wore a pad just in case, but it was all gone all day. Finished updating this nutrition by 1046 pm.</t>
  </si>
  <si>
    <t>Woke up at 530 am by alarm. Went to bed at 1120 pm before 1130 pm. Got about 6 hours of sleep. Cleaned some pet messes, made my coffee, gave Growly his meds and fed the babies. Saw one client left me a great review. That was really nice. Looked at the news and saw a gross new report I won't comment on to share to facebook, because just reading or hearing or grabbing news title is sick. There aren't even wild animals that do the crimes pedophiles do, but yet there are pedophiles. Some navy sailor, no image, Randy Tilton, got 200+ years for crimes against very small/young children, closer in age to fetuses instead of kids. He did it to kids of women he dated, which implies he did it to the women as an injury for being a misogynist, gaining their trust, then abusing them with the only things/people they love and would give their life for over anything in the world. Misogynists like this Randall Taylor deserve a gruesome death. Sickos like that really don't deserve life in any capacity. They cannot be fixed and shouldn't try to be. Had to get that story out of my mind and read some other ones like HUD housing for student loan borrowers. Not really new information, but maybe. I spoke with a real estate person before who said something about the 1% of loans, but told her my income based repayment is $0.00 a month for a year and updated annually. So this new HUD loan is only taking into account your loan payment amount and not the 1% of loans, as mine are at 114k and have been thanks to the freeze last year on payments. Expires in September or the end of September and I renew my Income Based Repayment at the end of October. Used the air fryer to make taquitos with olive oil coating the corn tortillas, mozz and paprika but they didn't roll and broke/tore instead, so stacked into pizza with pasta sauce and sourcream. They were delicious. Only took a few minutes. Just preheat, then pause and start for 3 minutes and done. Had to upload to instagram. Took measurements afterwards. Had a reg BM while waiting for the taquitos. Still have 2 slices of pizza in fridge might take that to work. Shower and get ready. Went to work had a double poki bowl same way but with spicy mayo, double salomon, house sauce, 3 tbs creamcheese, cucumbers, ginger, brown rice, wasabi, sesame seeds. And a coffee 4th cup with 4 hazelnut international delight coffee creamers. Was able to get in my one stretch session training needed on a coworker, Robert, after work on his last half of his break. He's a nice dude, he worked a long shift yesterday, 11 hours. Then at home I had 6 spinach raviolis I made in the air  fryer with a coating of olive oil and 1/2 cup pasta sauce and 1/4 cup mozz, Then 2 waffles with whipped cream and a 5th cup of coffee. Looked at the recorded lecture from earlier in the morning that I couldn't go to bc of work. Then uploaded my worsheet for lab 1 to canvas to this course after making an adobe pdf scan of it to upload. I went to my client's at 630 pm. Her and her cat and husband are very nice people. Her cat is a unique one because it is a female tabby. I got home did the laundry from that appointment, and studied for the quiz on the 1st chapter of this unit, then took quiz attempt 1, then looked over the questions unsure about and took the 2nd and final attempt of quiz 1. I wasn't sure about the ones asking covalent bonds, so added in polar and nonpolar at the end, and saw the nucleotide bases were hydrogen bonds that was overlooked. I originally thought all the items for things learned on the first few slides was what would be covered like Dalton's Atomic Theory, but most of it was on bonds from what I recall. Originally 5/10 points then up to 9/10 points. Some were fill in blank and others multiple choice or true false. Went to bed by 1030 pm.</t>
  </si>
  <si>
    <t>4 corn tortillas guerrero brand in airfryer
(200.00	2.00	0.00	4.00	42.00	4.00	40.00)
1/2 cup mozz
(160.00	10.00	7.00	12.00	2.00	0.00	380.00)
3 tbs sourcream
(180.00	15.00	10.50	3.00	6.00	0.00	45.00)
1/4 cup pasta sauce
(30.00	0.50	0.00	1.00	5.00	1.00	250.00)
double salmon poke bowl
(554.50	11.18	2.15	17.80	96.55	8.35	901.00)
spicy mayo serving
(40	4.5	1	0	0	0	40)
1/4 cup or 3-4 tbs cream cheese
(153.00	15.30	9.60	3.30	1.20	0.00	129.00)
4 hazelnut international delight coffee creamers
(140.00	6.00	0.00	0.00	20.00	0.00	60.00)
6 spinach First Street raviolis lg in airfryer
(390.00	13.50	7.50	16.50	49.50	3.00	690.00)
1/2 cup pasta sauce
(60.00	1.00	0.00	2.00	10.00	2.00	500.00)
1/4 cup mozz
(80.00	5.00	3.50	6.00	1.00	0.00	190.00)
2 choc chip waffles
(200.00	7.00	2.50	4.00	32.00	1.00	370.00)
3 tbs whipped cream
(37.50	2.25	2.25	0.00	4.50	0.00	0.00)
2 slices leftover margherite pizza in air fryer
(240.00	12.75	5.25	9.00	21.75	1.50	360.00)
=200+160+180+30+554.5+40+153+140+390+60+80+200+37.5+240
=2+10+15+0.5+11.18+4.5+15.3+6+13.5+1+5+7+2.25+12.75
=0+7+10.5+0+2.15+1+9.6+0+7.5+0+3.5+2.5+2.25+5.25
=4+12+3+1+17.8+0+3.3+0+16.5+2+6+4+0+9
=42+2+6+5+96.55+0+1.2+20+49.5+10+1+32+4.5+21.75
=4+0+0+1+8.35+0+0+0+3+2+0+1+0+1.5
=40+380+45+250+901+40+129+60+690+500+190+370+0+360</t>
  </si>
  <si>
    <t>aldis frozen jalapeno poppers, serving is 3, and 3 servings per pkg</t>
  </si>
  <si>
    <t>aldis frozen cheese sticks with sauce, 3 in serving, 3 servings in pkg:</t>
  </si>
  <si>
    <t>aldis meatless chicken fingers, servingis 2 pcs, 4 servings per pkg</t>
  </si>
  <si>
    <t>aldi puffed potatos (hashbrowns) serving is 3 oz and 11 servings per pkg</t>
  </si>
  <si>
    <t>reeses peanut butter cup snack size two pieces</t>
  </si>
  <si>
    <t>Woke up at 6 am groggy. I haven't had a drink in 2 days either. Felt tired. Got about 7 1/2 hours of sleep too. Cleaned some pet messes, fed Growly his meds, and gave the babies their food and made my coffee and updated this database, have plenty to do today to finish week 1 on my available time this week. I have an interview to get into the doctor of chiropractic program with a sports medicine emphasis at 2 pm, but will discuss with my advisor at 145 pm or so. If I do well on this, I can get a 2nd interview and if that goes well be admitted into the program. Nice. Around 8 am the city of Corona works or constructive asshole fatasses came by to block each direction of the alleys in the back and my van, the roommate wasn't here yet, but they are jackhammering dead center in the alley. I have them partially on the live feed cameras. This is interfereing with studying, but was updating my expenses I hadn't done in months before studying thinking I would have the time, but now the city workers are here loud AF and not sure how long they will be here. All hispanic and males, fat, they have a one of those water trucks for watering dirt, a construction truck with a plow on both ends for picking up stuff like concrete or large dirt loads, another truck is a big hauling truck with an open gated back, and a big truck with racks of metal wire like on a tow truck. I honestly can't think, the jack hammer is vibrating through walls and loud. I didn't take my measurements yet or eat breakfast, only had 2 cups of coffee. Since the roommate isn't here, I might study in his room. I texted him to let him know his parking spot and the alleys are blocked. Had a lg BM earlier, before finishing 2nd cup of coffee and updating expenses part of income/expenses database. Took measurements before breakfast. The outside workers finished between 1030 am and 1045 am. The roommate got home around 930 am bc his worker was late a few hours. Then I had breakfast, a airfried stacked 4 tortillas but one burnt and tossed in trash, with mozz and paprika, 3 tbs sourcream, 1/8 cup pasta sauce with 3rd cup coffee, then for lunch around 1130 am had a 4th cup of coffee with raviolis 6 and 1/4 cup pasta sauce and 1/4 cup mozz. Shared with babies, they love them cooked raviolis in airfryer, with 1 tbs olive oil drizzled on. Had used the canned olive oil yesterday and today but the top one had canned olive oil and it was burnt and thrown out. I went to starbucks, downloaded app to order, bc when I walked in I wanted to be able to talk to the admissions advisor when he called or planned to call at 145 pm, but he didn't, and the starbucks looked like an app order only, bc no cash register shown or nothing pointed to it. I was already downloading the app with others waiting for their under this assumption, then saw a new lady come up to the middle aisle (magnolia/rimpau corona ca) and then saw the cash register. It was unfamiliar territory and didn't want to get sucked into any dialogue as I was waiting for the advisor to call me in that window that had been just before 145 pm. He tried calling when I was actually talking to the cashier about my order that was supposed to be ready at 155 pm and I got involved in dialogue and had to refuse to answer his call, pushed into decision by the fact he called me 10 minutes late. And the cashier didn't know that I ordered anything, but saw me standing around all awkwardly with a 'Jesus is my homie' mint green tshirt, glasses, short Asian lady chin bob, and blue mom jeans and birkenstock imitation sandals feaux leather for like 15 minutes. They made my drink. And I took it. But texted the advisor, as when I called number back no answer. Anyhow walked to my van, and sat as it was close to 2 pm, and Dr. Pradeep Sangh (like John Doe for India) called and was the interviewer for SCUH We spoke at lengths on some various topics to outline or set up the boundaries for what type of candidate for doctoral role I am expected to adhere to or be accustomed to work and how my experience in any context has been able to define what I think a doctor of chriopractice is. He also answered my question on the schedule and that he is the assistant dean for terms 1-3 of the DC program, but is actually an MD, and that the DC program is very time consuming and outside work is highly discouraged as to do well it is expected that a student in the DC program will focus entirely on the material and cumulative exams to take board exams after each of 10-12 terms that are very rigorous and not easy by any standards. I told him it is very good that I sold my Dodge to reduce monthly liabilities and that I could move with my dad and the roommate can find somewhere to live. He seemed like a nice guy and like it went well. But we will see. Anyhow, never took a sip of my starbucks drink until 240 pm when the conversation via phone ended, and texted my advisor it went well in my opinion. He advised before hand to answer honestly and be me and said that I got it. you know like I got this. Nice enough guy. I went home and finished studying, got the itchy skin irritation from stress by 830 pm and poured some vodka ice water. No AC during the day as it was comfortable and cold with it on. I also stopped by Aldis later and when I arrived home I saw that the landlord was fixing the other side bc his truck was there. Then went to Aldi, got frozen foods for air fryer to fix fast meals. Frozen jalapeno poppers, cheese sticks, vegan chicken strips (gross, not very gross but not very good either), and hashbrowns or potato puffs. Ate some of that it was 3 of each and serving of the hashbrowns. But didn't eat all of it right away, by 830 pm ate 2 cheesesticks, 2 chicken strips or 1, because shared with babies, all the hashbrowns, and all the jalapeno poppers, had them initially with pasta sauce and sourcream and last of ranch. A bunch of sodium. Down to last 4 bottles of water by 848 pm. Still have a 3rd lab to finish and turn in and also study for lab exam due tomorrow a minute before midnight  on all 3 labs. I find her ppt slides and worksheets and such out of order, very all over the place. She seems to know her stuff in describing it, but the organization is all over the place, especially filling in the molecules worksheet on carbs, and such. Everything is just thrown about. I went on the discussion to see if any replies to my lengthy initial post, and zero replied. Most the students like stupid stuff like mastering snowboarding, skating, cooking, time management, blah, and one lady closer to my age admitted to her duties in a health office going to RCC for the RN program as putting cathetors into males and females. Gross! That is why I wouldn't want to be a nurse. Sorry, its gross, and I can't say that online, nor reply to a guy my age that posted a picture of him with the balding hair due and strands of hair covering a bald spot that he worked as a healthcare worker in the anesthesiology department for nearly 20 years and now does construction. Because on the surface I think, wow court order not to be near drugs that can date rape a young girl victim, and what better place to fulfill your obligations to pay debts than to work in construction where many misogynists, drug users, and possible sex offenders not caught work, or atleast do drugs like meth that add to their choices in growing a porn empire collection. Sorry, but not, and why is he going to school again the same age as me. Obviously these students are all young and would rather be doing anything else instead of occupying their time with this class in their summer. Also, they don't like lengthy posts or old people and won't expect any ambitious people to comment on my posts. But good thing I have notifications set to only if my name is commented in discussion. Because the design for points and participation is to check into the discussion to monitor your thread, and every person's reply to the topic posted by the instructor is a thread. So I am doing my part. I feel like I am talking to kids my nieces ages. And I don't have kids, but if I did they could be their age. I know I liked doing those activities of trying to snowboard and do other white washed sports to feel cool. But it is the 2020s and I wonder why these blended race kids want to do white activities when everybody who is anybody wants to focus on white privilege and cultural misappropriation and not being the enemy into white washed activities. These kids are odd ones. Raised by racists and conservative, possibly cops' kids, because they have conservative, old outdated ideas of fun in this social context. But whatever, whereelse can I vent, but here, and being the typical loser, child less , middle aged, student, I am drinking my drink for the night while venting, and my skin isn't itching from stress. But probably will be when I start the completion of the lab and studying for lab final tomorrow. Had a sm BM around 1030 pm and ended up drinking 3 drinks of vodka ice water before going to bed around 1130 pm. Around 1030 pm had the cheese stick and 2 vegan chicken strips in fridge, microwaved with pasta sauce about 1/8 cup or 2-3 tbs.</t>
  </si>
  <si>
    <t xml:space="preserve">3 corn tortillas
(150.00	1.50	0.00	3.00	31.50	3.00	30.00)
3/4 cup mozz total 1/2, 1/4
(240.00	15.00	10.50	18.00	3.00	0.00	570.00)
6 tbs sourcream
(360.00	30.00	21.00	6.00	12.00	0.00	90.00)
1/2 pasta sauce total, 1/8, 1/4, 1/8
(60.00	1.00	0.00	2.00	10.00	2.00	500.00)
6 spinach raviolis
(390.00	13.50	7.50	16.50	49.50	3.00	690.00)
2 cheesesticks
(148.89	4.89	0.78	7.11	18.67	0.89	822.22)
3 jalapeno poppers
(240.00	16.67	5.67	3.67	19.33	1.00	646.67)
1 serving hash browns of potato puffs
(150.00	7.00	0.50	2.00	21.00	2.00	290.00)
1 sea salt carmel nitro cold brew
(70	5	3.5	1	4	0	20)
2 almond joys*.85, shared with princess, snack size around 10 am
(135.43	7.65	5.10	1.70	17.00	1.70	34.00)
1 reeses peanut butter cup *.75 shared with princess snack sz around 10 am
(120.00	6.75	2.25	2.25	13.50	0.75	82.50)
1 cheese stick
(74.44	2.44	0.39	3.56	9.33	0.44	411.11)
1/8 cup pasta sauce
(30.00	0.50	0.00	1.00	5.00	1.00	250.00)
2 vegan chkn strips
(140.00	6.00	1.00	7.00	13.00	3.00	400.00)
=150+240+360+60+390+148.9+240+150+70+135.4+120+74.4+30+140
=1.5+15+30+1+13.5+4.9+16.7+7+5+7.7+6.8+2.44+0.5+6
=0+10.5+21+0+7.5+0.78+5.7+0.5+3.5+5.1+2.25+0.39+0+1
=3+18+6+2+16.5+7.11+3.7+2+1+1.7+2.25+3.56+1+7
=31.5+3+12+10+49.5+18.7+19.3+21+4+17+13.5+9.33+5+13
=3+0+0+2+3+0.9+1+2+0+1.7+0.75+0.44+1+3
=30+570+90+500+690+822.2+646.7+290+20+34+82.5+411.11+250+400
</t>
  </si>
  <si>
    <t>Woke up at 530 am by alarm and did normal routine, cleaned pet messes, my coffee made, Growly's meds, fed babies with whipped cream and cat food, their icecream is gone. I noticed I was using the fish or seafood box, variety, but all the cans have been beef or chicken and beef. Odd. Down to two bottles of water, and might have to go to grocery store before work to get some things like water, paper towels, etc. But still have the lab not completed and to study for all 3 labs as an exam later tonight. With only one attempt. Ankles haven't been swollen in the morning, but do end up getting swollen by the end of the day, so I mark that feature as such. Took measurements after 1st cup of coffee and before breakfast.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</si>
</sst>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501"/>
  <sheetViews>
    <sheetView workbookViewId="0">
      <pane ySplit="1" topLeftCell="A405" activePane="bottomLeft" state="frozen"/>
      <selection pane="bottomLeft" activeCell="B418" sqref="B418:H418"/>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756</v>
      </c>
      <c r="B350">
        <v>70</v>
      </c>
      <c r="C350">
        <v>1</v>
      </c>
      <c r="D350">
        <v>0</v>
      </c>
      <c r="E350">
        <v>3</v>
      </c>
      <c r="F350">
        <v>13</v>
      </c>
      <c r="G350">
        <v>2</v>
      </c>
      <c r="H350">
        <v>105</v>
      </c>
    </row>
    <row r="351" spans="1:8" x14ac:dyDescent="0.3">
      <c r="A351" s="16" t="s">
        <v>757</v>
      </c>
      <c r="B351" s="17">
        <v>220</v>
      </c>
      <c r="C351" s="17">
        <v>11</v>
      </c>
      <c r="D351" s="17">
        <v>7</v>
      </c>
      <c r="E351" s="17">
        <v>3</v>
      </c>
      <c r="F351" s="17">
        <v>29</v>
      </c>
      <c r="G351" s="17">
        <v>0</v>
      </c>
      <c r="H351" s="17">
        <v>75</v>
      </c>
    </row>
    <row r="352" spans="1:8" x14ac:dyDescent="0.3">
      <c r="A352" s="16" t="s">
        <v>758</v>
      </c>
      <c r="B352">
        <v>220</v>
      </c>
      <c r="C352">
        <v>13</v>
      </c>
      <c r="D352">
        <v>8</v>
      </c>
      <c r="E352">
        <v>3</v>
      </c>
      <c r="F352">
        <v>26</v>
      </c>
      <c r="G352">
        <v>1</v>
      </c>
      <c r="H352">
        <v>35</v>
      </c>
    </row>
    <row r="353" spans="1:8" x14ac:dyDescent="0.3">
      <c r="A353" s="16" t="s">
        <v>759</v>
      </c>
      <c r="B353" s="17">
        <v>230</v>
      </c>
      <c r="C353" s="17">
        <v>9</v>
      </c>
      <c r="D353" s="17">
        <v>2</v>
      </c>
      <c r="E353" s="17">
        <v>9</v>
      </c>
      <c r="F353" s="17">
        <v>40</v>
      </c>
      <c r="G353" s="17">
        <v>5</v>
      </c>
      <c r="H353" s="17">
        <v>580</v>
      </c>
    </row>
    <row r="354" spans="1:8" x14ac:dyDescent="0.3">
      <c r="A354" s="16" t="s">
        <v>760</v>
      </c>
      <c r="B354">
        <v>220</v>
      </c>
      <c r="C354">
        <v>14</v>
      </c>
      <c r="D354">
        <v>8</v>
      </c>
      <c r="E354">
        <v>1</v>
      </c>
      <c r="F354">
        <v>34</v>
      </c>
      <c r="G354">
        <v>0</v>
      </c>
      <c r="H354">
        <v>180</v>
      </c>
    </row>
    <row r="355" spans="1:8" x14ac:dyDescent="0.3">
      <c r="A355" s="16" t="s">
        <v>761</v>
      </c>
      <c r="B355" s="17">
        <v>330</v>
      </c>
      <c r="C355" s="17">
        <v>17</v>
      </c>
      <c r="D355" s="17">
        <v>10</v>
      </c>
      <c r="E355" s="17">
        <v>10</v>
      </c>
      <c r="F355" s="17">
        <v>34</v>
      </c>
      <c r="G355" s="17">
        <v>1</v>
      </c>
      <c r="H355" s="17">
        <v>270</v>
      </c>
    </row>
    <row r="356" spans="1:8" x14ac:dyDescent="0.3">
      <c r="A356" s="16" t="s">
        <v>762</v>
      </c>
      <c r="B356">
        <f>B347/2</f>
        <v>80</v>
      </c>
      <c r="C356">
        <f t="shared" ref="C356:H356" si="87">C347/2</f>
        <v>1</v>
      </c>
      <c r="D356">
        <f t="shared" si="87"/>
        <v>0</v>
      </c>
      <c r="E356">
        <f t="shared" si="87"/>
        <v>1</v>
      </c>
      <c r="F356">
        <f t="shared" si="87"/>
        <v>16</v>
      </c>
      <c r="G356">
        <f t="shared" si="87"/>
        <v>2.5</v>
      </c>
      <c r="H356">
        <f t="shared" si="87"/>
        <v>100</v>
      </c>
    </row>
    <row r="357" spans="1:8" x14ac:dyDescent="0.3">
      <c r="A357" s="16" t="s">
        <v>765</v>
      </c>
      <c r="B357">
        <f>B30*2.5</f>
        <v>75</v>
      </c>
      <c r="C357">
        <f t="shared" ref="C357:H357" si="88">C30*2.5</f>
        <v>0</v>
      </c>
      <c r="D357">
        <f t="shared" si="88"/>
        <v>0</v>
      </c>
      <c r="E357">
        <f t="shared" si="88"/>
        <v>0</v>
      </c>
      <c r="F357">
        <f t="shared" si="88"/>
        <v>20</v>
      </c>
      <c r="G357">
        <f t="shared" si="88"/>
        <v>2.5</v>
      </c>
      <c r="H357">
        <f t="shared" si="88"/>
        <v>375</v>
      </c>
    </row>
    <row r="358" spans="1:8" x14ac:dyDescent="0.3">
      <c r="A358" s="16" t="s">
        <v>769</v>
      </c>
      <c r="B358">
        <v>410</v>
      </c>
      <c r="C358">
        <v>28</v>
      </c>
      <c r="D358">
        <v>13.5</v>
      </c>
      <c r="E358">
        <v>19</v>
      </c>
      <c r="F358">
        <v>19</v>
      </c>
      <c r="G358">
        <v>6</v>
      </c>
      <c r="H358">
        <v>990</v>
      </c>
    </row>
    <row r="359" spans="1:8" x14ac:dyDescent="0.3">
      <c r="A359" s="16" t="s">
        <v>770</v>
      </c>
      <c r="B359">
        <v>290</v>
      </c>
      <c r="C359">
        <v>3.5</v>
      </c>
      <c r="D359">
        <v>0</v>
      </c>
      <c r="E359">
        <v>4</v>
      </c>
      <c r="F359">
        <v>60</v>
      </c>
      <c r="G359">
        <v>7</v>
      </c>
      <c r="H359">
        <v>710</v>
      </c>
    </row>
    <row r="360" spans="1:8" x14ac:dyDescent="0.3">
      <c r="A360" s="16" t="s">
        <v>771</v>
      </c>
      <c r="B360">
        <v>670</v>
      </c>
      <c r="C360">
        <v>26</v>
      </c>
      <c r="D360">
        <v>8</v>
      </c>
      <c r="E360">
        <v>21</v>
      </c>
      <c r="F360">
        <v>88</v>
      </c>
      <c r="G360">
        <v>5</v>
      </c>
      <c r="H360">
        <v>1330</v>
      </c>
    </row>
    <row r="361" spans="1:8" x14ac:dyDescent="0.3">
      <c r="A361" s="16" t="s">
        <v>772</v>
      </c>
      <c r="B361">
        <v>160</v>
      </c>
      <c r="C361">
        <v>6</v>
      </c>
      <c r="D361">
        <v>1</v>
      </c>
      <c r="E361">
        <v>9</v>
      </c>
      <c r="F361">
        <v>19</v>
      </c>
      <c r="G361">
        <v>3</v>
      </c>
      <c r="H361">
        <v>320</v>
      </c>
    </row>
    <row r="362" spans="1:8" x14ac:dyDescent="0.3">
      <c r="A362" s="16" t="s">
        <v>773</v>
      </c>
      <c r="B362">
        <v>150</v>
      </c>
      <c r="C362">
        <v>8</v>
      </c>
      <c r="D362">
        <v>1</v>
      </c>
      <c r="E362">
        <v>16</v>
      </c>
      <c r="F362">
        <v>6</v>
      </c>
      <c r="G362">
        <v>3</v>
      </c>
      <c r="H362">
        <v>400</v>
      </c>
    </row>
    <row r="363" spans="1:8" x14ac:dyDescent="0.3">
      <c r="A363" s="16" t="s">
        <v>775</v>
      </c>
      <c r="B363">
        <v>330</v>
      </c>
      <c r="C363">
        <v>21</v>
      </c>
      <c r="D363">
        <v>12</v>
      </c>
      <c r="E363">
        <v>5</v>
      </c>
      <c r="F363">
        <v>30</v>
      </c>
      <c r="G363">
        <v>2</v>
      </c>
      <c r="H363">
        <v>280</v>
      </c>
    </row>
    <row r="364" spans="1:8" x14ac:dyDescent="0.3">
      <c r="A364" s="16" t="s">
        <v>776</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779</v>
      </c>
      <c r="B365">
        <v>210</v>
      </c>
      <c r="C365">
        <v>6</v>
      </c>
      <c r="D365">
        <v>1</v>
      </c>
      <c r="E365">
        <v>5</v>
      </c>
      <c r="F365">
        <v>32</v>
      </c>
      <c r="G365">
        <v>2</v>
      </c>
      <c r="H365">
        <v>540</v>
      </c>
    </row>
    <row r="366" spans="1:8" x14ac:dyDescent="0.3">
      <c r="A366" s="16" t="s">
        <v>780</v>
      </c>
      <c r="B366">
        <v>180</v>
      </c>
      <c r="C366">
        <v>12</v>
      </c>
      <c r="D366">
        <v>5</v>
      </c>
      <c r="E366">
        <v>4</v>
      </c>
      <c r="F366">
        <v>14</v>
      </c>
      <c r="G366">
        <v>2</v>
      </c>
      <c r="H366">
        <v>20</v>
      </c>
    </row>
    <row r="367" spans="1:8" x14ac:dyDescent="0.3">
      <c r="A367" s="16" t="s">
        <v>781</v>
      </c>
      <c r="B367">
        <v>170</v>
      </c>
      <c r="C367">
        <v>2</v>
      </c>
      <c r="D367">
        <v>0</v>
      </c>
      <c r="E367">
        <v>2</v>
      </c>
      <c r="F367">
        <v>37</v>
      </c>
      <c r="G367">
        <v>4</v>
      </c>
      <c r="H367">
        <v>340</v>
      </c>
    </row>
    <row r="368" spans="1:8" x14ac:dyDescent="0.3">
      <c r="A368" s="16" t="s">
        <v>782</v>
      </c>
      <c r="B368">
        <v>20</v>
      </c>
      <c r="C368">
        <v>0</v>
      </c>
      <c r="D368">
        <v>0</v>
      </c>
      <c r="E368">
        <v>0</v>
      </c>
      <c r="F368">
        <v>0</v>
      </c>
      <c r="G368">
        <v>0</v>
      </c>
      <c r="H368">
        <v>200</v>
      </c>
    </row>
    <row r="369" spans="1:9" x14ac:dyDescent="0.3">
      <c r="A369" s="16" t="s">
        <v>785</v>
      </c>
      <c r="B369">
        <v>105</v>
      </c>
      <c r="C369">
        <v>0</v>
      </c>
      <c r="D369">
        <v>0</v>
      </c>
      <c r="E369">
        <v>0</v>
      </c>
      <c r="F369">
        <v>27</v>
      </c>
      <c r="G369">
        <v>0</v>
      </c>
      <c r="H369">
        <v>260</v>
      </c>
    </row>
    <row r="370" spans="1:9" x14ac:dyDescent="0.3">
      <c r="A370" s="16" t="s">
        <v>787</v>
      </c>
      <c r="B370" s="17">
        <v>70</v>
      </c>
      <c r="C370" s="17">
        <v>2.5</v>
      </c>
      <c r="D370" s="17">
        <v>0</v>
      </c>
      <c r="E370" s="17">
        <v>10</v>
      </c>
      <c r="F370" s="17">
        <v>4</v>
      </c>
      <c r="G370" s="17">
        <v>3</v>
      </c>
      <c r="H370" s="17">
        <v>210</v>
      </c>
      <c r="I370" s="17"/>
    </row>
    <row r="371" spans="1:9" x14ac:dyDescent="0.3">
      <c r="A371" s="16" t="s">
        <v>788</v>
      </c>
      <c r="B371">
        <v>110</v>
      </c>
      <c r="C371">
        <v>4.5</v>
      </c>
      <c r="D371">
        <v>0.5</v>
      </c>
      <c r="E371">
        <v>11</v>
      </c>
      <c r="F371">
        <v>9</v>
      </c>
      <c r="G371">
        <v>4</v>
      </c>
      <c r="H371">
        <v>390</v>
      </c>
    </row>
    <row r="372" spans="1:9" x14ac:dyDescent="0.3">
      <c r="A372" s="16" t="s">
        <v>793</v>
      </c>
      <c r="B372" s="17">
        <v>90</v>
      </c>
      <c r="C372" s="17">
        <v>2.5</v>
      </c>
      <c r="D372" s="17">
        <v>0.5</v>
      </c>
      <c r="E372" s="17">
        <v>2</v>
      </c>
      <c r="F372" s="17">
        <v>10</v>
      </c>
      <c r="G372" s="17">
        <v>2</v>
      </c>
      <c r="H372" s="17">
        <v>510</v>
      </c>
    </row>
    <row r="373" spans="1:9" x14ac:dyDescent="0.3">
      <c r="A373" s="16" t="s">
        <v>794</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795</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797</v>
      </c>
      <c r="B375">
        <v>630</v>
      </c>
      <c r="C375">
        <v>22</v>
      </c>
      <c r="D375">
        <v>7</v>
      </c>
      <c r="E375">
        <v>20</v>
      </c>
      <c r="F375">
        <v>86</v>
      </c>
      <c r="G375">
        <v>6</v>
      </c>
      <c r="H375">
        <v>1390</v>
      </c>
    </row>
    <row r="376" spans="1:9" x14ac:dyDescent="0.3">
      <c r="A376" s="16" t="s">
        <v>802</v>
      </c>
      <c r="B376">
        <v>218</v>
      </c>
      <c r="C376">
        <v>23.1</v>
      </c>
      <c r="D376">
        <v>3.6</v>
      </c>
      <c r="E376">
        <v>0.5</v>
      </c>
      <c r="F376">
        <v>3</v>
      </c>
      <c r="G376">
        <v>0.3</v>
      </c>
      <c r="H376">
        <v>367</v>
      </c>
    </row>
    <row r="377" spans="1:9" x14ac:dyDescent="0.3">
      <c r="A377" s="16" t="s">
        <v>798</v>
      </c>
      <c r="B377">
        <v>50</v>
      </c>
      <c r="C377">
        <v>0.5</v>
      </c>
      <c r="D377">
        <v>0</v>
      </c>
      <c r="E377">
        <v>0</v>
      </c>
      <c r="F377">
        <v>11</v>
      </c>
      <c r="G377">
        <v>0</v>
      </c>
      <c r="H377">
        <v>25</v>
      </c>
    </row>
    <row r="378" spans="1:9" x14ac:dyDescent="0.3">
      <c r="A378" s="16" t="s">
        <v>801</v>
      </c>
      <c r="B378">
        <v>300</v>
      </c>
      <c r="C378">
        <v>10</v>
      </c>
      <c r="D378">
        <v>5</v>
      </c>
      <c r="E378">
        <v>16</v>
      </c>
      <c r="F378">
        <v>37</v>
      </c>
      <c r="G378">
        <v>1</v>
      </c>
      <c r="H378">
        <v>700</v>
      </c>
    </row>
    <row r="379" spans="1:9" x14ac:dyDescent="0.3">
      <c r="A379" s="16" t="s">
        <v>803</v>
      </c>
      <c r="B379">
        <v>180</v>
      </c>
      <c r="C379">
        <v>5</v>
      </c>
      <c r="D379">
        <v>2.5</v>
      </c>
      <c r="E379">
        <v>8</v>
      </c>
      <c r="F379">
        <v>25</v>
      </c>
      <c r="G379">
        <v>4</v>
      </c>
      <c r="H379">
        <v>310</v>
      </c>
    </row>
    <row r="380" spans="1:9" x14ac:dyDescent="0.3">
      <c r="A380" s="16" t="s">
        <v>804</v>
      </c>
      <c r="B380">
        <v>80</v>
      </c>
      <c r="C380">
        <v>4</v>
      </c>
      <c r="D380">
        <v>0</v>
      </c>
      <c r="E380">
        <v>0</v>
      </c>
      <c r="F380">
        <v>8</v>
      </c>
      <c r="G380">
        <v>0</v>
      </c>
      <c r="H380">
        <v>0</v>
      </c>
    </row>
    <row r="381" spans="1:9" x14ac:dyDescent="0.3">
      <c r="A381" s="16" t="s">
        <v>806</v>
      </c>
      <c r="B381">
        <v>150</v>
      </c>
      <c r="C381">
        <v>9</v>
      </c>
      <c r="D381">
        <v>5</v>
      </c>
      <c r="E381">
        <v>2</v>
      </c>
      <c r="F381">
        <v>17</v>
      </c>
      <c r="G381">
        <v>1</v>
      </c>
      <c r="H381">
        <v>50</v>
      </c>
    </row>
    <row r="382" spans="1:9" x14ac:dyDescent="0.3">
      <c r="A382" s="16" t="s">
        <v>808</v>
      </c>
      <c r="B382" s="17">
        <v>110</v>
      </c>
      <c r="C382" s="17">
        <v>0</v>
      </c>
      <c r="D382" s="17">
        <v>0</v>
      </c>
      <c r="E382" s="17">
        <v>0</v>
      </c>
      <c r="F382" s="17">
        <v>28</v>
      </c>
      <c r="G382" s="17">
        <v>0</v>
      </c>
      <c r="H382" s="17">
        <v>175</v>
      </c>
    </row>
    <row r="383" spans="1:9" x14ac:dyDescent="0.3">
      <c r="A383" s="16" t="s">
        <v>809</v>
      </c>
      <c r="B383">
        <v>100</v>
      </c>
      <c r="C383">
        <v>0</v>
      </c>
      <c r="D383">
        <v>0</v>
      </c>
      <c r="E383">
        <v>25</v>
      </c>
      <c r="F383">
        <v>0</v>
      </c>
      <c r="G383">
        <v>0</v>
      </c>
      <c r="H383">
        <v>150</v>
      </c>
    </row>
    <row r="384" spans="1:9" x14ac:dyDescent="0.3">
      <c r="A384" s="16" t="s">
        <v>810</v>
      </c>
      <c r="B384">
        <v>574</v>
      </c>
      <c r="C384">
        <v>29.6</v>
      </c>
      <c r="D384">
        <v>13.1</v>
      </c>
      <c r="E384">
        <v>26.8</v>
      </c>
      <c r="F384">
        <v>50.2</v>
      </c>
      <c r="G384">
        <v>3.8</v>
      </c>
      <c r="H384">
        <v>1098</v>
      </c>
    </row>
    <row r="385" spans="1:8" x14ac:dyDescent="0.3">
      <c r="A385" s="16" t="s">
        <v>811</v>
      </c>
      <c r="B385">
        <v>20</v>
      </c>
      <c r="C385">
        <v>0</v>
      </c>
      <c r="D385">
        <v>0</v>
      </c>
      <c r="E385">
        <v>2</v>
      </c>
      <c r="F385">
        <v>4</v>
      </c>
      <c r="G385">
        <v>3</v>
      </c>
      <c r="H385">
        <v>20</v>
      </c>
    </row>
    <row r="386" spans="1:8" x14ac:dyDescent="0.3">
      <c r="A386" s="16" t="s">
        <v>815</v>
      </c>
      <c r="B386">
        <v>70</v>
      </c>
      <c r="C386">
        <v>1.5</v>
      </c>
      <c r="D386">
        <v>1</v>
      </c>
      <c r="E386">
        <v>3</v>
      </c>
      <c r="F386">
        <v>13</v>
      </c>
      <c r="G386">
        <v>0</v>
      </c>
      <c r="H386">
        <v>45</v>
      </c>
    </row>
    <row r="387" spans="1:8" x14ac:dyDescent="0.3">
      <c r="A387" s="16" t="s">
        <v>816</v>
      </c>
      <c r="B387">
        <v>310</v>
      </c>
      <c r="C387">
        <v>9</v>
      </c>
      <c r="D387">
        <v>4.5</v>
      </c>
      <c r="E387">
        <v>14</v>
      </c>
      <c r="F387">
        <v>42</v>
      </c>
      <c r="G387">
        <v>2</v>
      </c>
      <c r="H387">
        <v>680</v>
      </c>
    </row>
    <row r="388" spans="1:8" x14ac:dyDescent="0.3">
      <c r="A388" s="16" t="s">
        <v>817</v>
      </c>
      <c r="B388">
        <v>250</v>
      </c>
      <c r="C388">
        <v>5</v>
      </c>
      <c r="D388">
        <v>2.5</v>
      </c>
      <c r="E388">
        <v>10</v>
      </c>
      <c r="F388">
        <v>42</v>
      </c>
      <c r="G388">
        <v>1</v>
      </c>
      <c r="H388">
        <v>340</v>
      </c>
    </row>
    <row r="389" spans="1:8" x14ac:dyDescent="0.3">
      <c r="A389" s="16" t="s">
        <v>818</v>
      </c>
      <c r="B389">
        <v>140</v>
      </c>
      <c r="C389">
        <v>4</v>
      </c>
      <c r="D389">
        <v>1</v>
      </c>
      <c r="E389">
        <v>3</v>
      </c>
      <c r="F389">
        <v>22</v>
      </c>
      <c r="G389">
        <v>1</v>
      </c>
      <c r="H389">
        <v>240</v>
      </c>
    </row>
    <row r="390" spans="1:8" x14ac:dyDescent="0.3">
      <c r="A390" s="16" t="s">
        <v>819</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823</v>
      </c>
      <c r="B391" s="17">
        <v>70</v>
      </c>
      <c r="C391" s="17">
        <v>0</v>
      </c>
      <c r="D391" s="17">
        <v>0</v>
      </c>
      <c r="E391" s="17">
        <v>1</v>
      </c>
      <c r="F391" s="17">
        <v>17</v>
      </c>
      <c r="G391" s="17">
        <v>0</v>
      </c>
      <c r="H391" s="17">
        <v>25</v>
      </c>
    </row>
    <row r="392" spans="1:8" x14ac:dyDescent="0.3">
      <c r="A392" s="16" t="s">
        <v>830</v>
      </c>
      <c r="B392">
        <f>3*190</f>
        <v>570</v>
      </c>
      <c r="C392">
        <f>3*4.5</f>
        <v>13.5</v>
      </c>
      <c r="D392">
        <f>3*2</f>
        <v>6</v>
      </c>
      <c r="E392">
        <f>3*11</f>
        <v>33</v>
      </c>
      <c r="F392">
        <f>3*24</f>
        <v>72</v>
      </c>
      <c r="G392">
        <f>3*1</f>
        <v>3</v>
      </c>
      <c r="H392">
        <f>3*430</f>
        <v>1290</v>
      </c>
    </row>
    <row r="393" spans="1:8" x14ac:dyDescent="0.3">
      <c r="A393" s="16" t="s">
        <v>833</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834</v>
      </c>
      <c r="B394" s="17">
        <v>190</v>
      </c>
      <c r="C394" s="17">
        <v>10</v>
      </c>
      <c r="D394" s="17">
        <v>6</v>
      </c>
      <c r="E394" s="17">
        <v>7</v>
      </c>
      <c r="F394" s="17">
        <v>34</v>
      </c>
      <c r="G394" s="17">
        <v>0</v>
      </c>
      <c r="H394" s="17">
        <v>15</v>
      </c>
    </row>
    <row r="395" spans="1:8" x14ac:dyDescent="0.3">
      <c r="A395" s="16" t="s">
        <v>838</v>
      </c>
      <c r="B395">
        <v>350</v>
      </c>
      <c r="C395">
        <v>11</v>
      </c>
      <c r="D395">
        <v>6</v>
      </c>
      <c r="E395">
        <v>14</v>
      </c>
      <c r="F395">
        <v>51</v>
      </c>
      <c r="G395">
        <v>5</v>
      </c>
      <c r="H395">
        <v>780</v>
      </c>
    </row>
    <row r="396" spans="1:8" x14ac:dyDescent="0.3">
      <c r="A396" s="16" t="s">
        <v>840</v>
      </c>
      <c r="B396">
        <v>350</v>
      </c>
      <c r="C396">
        <v>11</v>
      </c>
      <c r="D396">
        <v>1.5</v>
      </c>
      <c r="E396">
        <v>9</v>
      </c>
      <c r="F396">
        <v>55</v>
      </c>
      <c r="G396">
        <v>3</v>
      </c>
      <c r="H396">
        <v>570</v>
      </c>
    </row>
    <row r="397" spans="1:8" x14ac:dyDescent="0.3">
      <c r="A397" s="16" t="s">
        <v>841</v>
      </c>
      <c r="B397">
        <f>190*3</f>
        <v>570</v>
      </c>
      <c r="C397">
        <f>4*3</f>
        <v>12</v>
      </c>
      <c r="D397">
        <f>2.5*3</f>
        <v>7.5</v>
      </c>
      <c r="E397">
        <f>7*3</f>
        <v>21</v>
      </c>
      <c r="F397">
        <f>32*3</f>
        <v>96</v>
      </c>
      <c r="G397">
        <f>0*3</f>
        <v>0</v>
      </c>
      <c r="H397">
        <f>100*3</f>
        <v>300</v>
      </c>
    </row>
    <row r="398" spans="1:8" x14ac:dyDescent="0.3">
      <c r="A398" s="16" t="s">
        <v>844</v>
      </c>
      <c r="B398" s="17">
        <v>100</v>
      </c>
      <c r="C398" s="17">
        <v>1</v>
      </c>
      <c r="D398" s="17">
        <v>0</v>
      </c>
      <c r="E398" s="17">
        <v>16</v>
      </c>
      <c r="F398" s="17">
        <v>6</v>
      </c>
      <c r="G398" s="17">
        <v>4</v>
      </c>
      <c r="H398" s="17">
        <v>320</v>
      </c>
    </row>
    <row r="399" spans="1:8" x14ac:dyDescent="0.3">
      <c r="A399" s="16" t="s">
        <v>848</v>
      </c>
      <c r="B399" s="17">
        <v>94</v>
      </c>
      <c r="C399" s="17">
        <v>2.2999999999999998</v>
      </c>
      <c r="D399" s="17">
        <v>0.6</v>
      </c>
      <c r="E399" s="17">
        <v>2.5</v>
      </c>
      <c r="F399" s="17">
        <v>15.4</v>
      </c>
      <c r="G399" s="17">
        <v>0.9</v>
      </c>
      <c r="H399" s="17">
        <v>191</v>
      </c>
    </row>
    <row r="400" spans="1:8" x14ac:dyDescent="0.3">
      <c r="A400" s="16" t="s">
        <v>849</v>
      </c>
      <c r="B400" s="17">
        <f>B19+B13+B228*4+B57+B335+B6</f>
        <v>991</v>
      </c>
      <c r="C400" s="17">
        <f t="shared" ref="C400:H400" si="94">C19+C13+C228*4+C57+C335+C6</f>
        <v>83.5</v>
      </c>
      <c r="D400" s="17">
        <f t="shared" si="94"/>
        <v>19</v>
      </c>
      <c r="E400" s="17">
        <f t="shared" si="94"/>
        <v>13</v>
      </c>
      <c r="F400" s="17">
        <f t="shared" si="94"/>
        <v>52.5</v>
      </c>
      <c r="G400" s="17">
        <f t="shared" si="94"/>
        <v>9.5</v>
      </c>
      <c r="H400" s="17">
        <f t="shared" si="94"/>
        <v>802</v>
      </c>
    </row>
    <row r="401" spans="1:8" x14ac:dyDescent="0.3">
      <c r="A401" s="16" t="s">
        <v>851</v>
      </c>
      <c r="B401" s="17">
        <v>410</v>
      </c>
      <c r="C401" s="17">
        <v>14</v>
      </c>
      <c r="D401" s="17">
        <v>8</v>
      </c>
      <c r="E401" s="17">
        <v>12</v>
      </c>
      <c r="F401" s="17">
        <v>60</v>
      </c>
      <c r="G401" s="17">
        <v>0</v>
      </c>
      <c r="H401" s="17">
        <v>340</v>
      </c>
    </row>
    <row r="402" spans="1:8" x14ac:dyDescent="0.3">
      <c r="A402" s="16" t="s">
        <v>856</v>
      </c>
      <c r="B402" s="17">
        <v>180</v>
      </c>
      <c r="C402" s="17">
        <v>15</v>
      </c>
      <c r="D402" s="17">
        <v>2.5</v>
      </c>
      <c r="E402" s="17">
        <v>7</v>
      </c>
      <c r="F402" s="17">
        <v>8</v>
      </c>
      <c r="G402" s="17">
        <v>2</v>
      </c>
      <c r="H402" s="17">
        <v>135</v>
      </c>
    </row>
    <row r="403" spans="1:8" x14ac:dyDescent="0.3">
      <c r="A403" s="16" t="s">
        <v>857</v>
      </c>
      <c r="B403" s="17">
        <v>50</v>
      </c>
      <c r="C403" s="17">
        <v>0</v>
      </c>
      <c r="D403" s="17">
        <v>0</v>
      </c>
      <c r="E403" s="17">
        <v>0</v>
      </c>
      <c r="F403" s="17">
        <v>13</v>
      </c>
      <c r="G403" s="17">
        <v>0</v>
      </c>
      <c r="H403" s="17">
        <v>0</v>
      </c>
    </row>
    <row r="404" spans="1:8" x14ac:dyDescent="0.3">
      <c r="A404" s="16" t="s">
        <v>858</v>
      </c>
      <c r="B404" s="17">
        <v>180</v>
      </c>
      <c r="C404" s="17">
        <v>9</v>
      </c>
      <c r="D404" s="17">
        <v>2</v>
      </c>
      <c r="E404" s="17">
        <v>2</v>
      </c>
      <c r="F404" s="17">
        <v>22</v>
      </c>
      <c r="G404" s="17">
        <v>0</v>
      </c>
      <c r="H404" s="17">
        <v>170</v>
      </c>
    </row>
    <row r="405" spans="1:8" x14ac:dyDescent="0.3">
      <c r="A405" s="16" t="s">
        <v>859</v>
      </c>
      <c r="B405" s="17">
        <f>3*190</f>
        <v>570</v>
      </c>
      <c r="C405" s="17">
        <f>3*4</f>
        <v>12</v>
      </c>
      <c r="D405" s="17">
        <f>2.5*3</f>
        <v>7.5</v>
      </c>
      <c r="E405" s="17">
        <f>7*3</f>
        <v>21</v>
      </c>
      <c r="F405" s="17">
        <f>32*3</f>
        <v>96</v>
      </c>
      <c r="G405" s="17">
        <f>0*3</f>
        <v>0</v>
      </c>
      <c r="H405" s="17">
        <f>100*3</f>
        <v>300</v>
      </c>
    </row>
    <row r="406" spans="1:8" x14ac:dyDescent="0.3">
      <c r="A406" s="16" t="s">
        <v>863</v>
      </c>
      <c r="B406" s="17">
        <v>60</v>
      </c>
      <c r="C406" s="17">
        <v>1</v>
      </c>
      <c r="D406" s="17">
        <v>0</v>
      </c>
      <c r="E406" s="17">
        <v>2</v>
      </c>
      <c r="F406" s="17">
        <v>10</v>
      </c>
      <c r="G406" s="17">
        <v>2</v>
      </c>
      <c r="H406" s="17">
        <v>500</v>
      </c>
    </row>
    <row r="407" spans="1:8" x14ac:dyDescent="0.3">
      <c r="A407" s="16" t="s">
        <v>864</v>
      </c>
      <c r="B407" s="17">
        <v>200</v>
      </c>
      <c r="C407" s="17">
        <v>7</v>
      </c>
      <c r="D407" s="17">
        <v>2.5</v>
      </c>
      <c r="E407" s="17">
        <v>4</v>
      </c>
      <c r="F407" s="17">
        <v>32</v>
      </c>
      <c r="G407" s="17">
        <v>1</v>
      </c>
      <c r="H407" s="17">
        <v>370</v>
      </c>
    </row>
    <row r="408" spans="1:8" x14ac:dyDescent="0.3">
      <c r="A408" s="16" t="s">
        <v>865</v>
      </c>
      <c r="B408" s="17">
        <v>310</v>
      </c>
      <c r="C408" s="17">
        <v>15</v>
      </c>
      <c r="D408" s="17">
        <v>8</v>
      </c>
      <c r="E408" s="17">
        <v>15</v>
      </c>
      <c r="F408" s="17">
        <v>28</v>
      </c>
      <c r="G408" s="17">
        <v>1</v>
      </c>
      <c r="H408" s="17">
        <v>630</v>
      </c>
    </row>
    <row r="409" spans="1:8" x14ac:dyDescent="0.3">
      <c r="A409" s="16" t="s">
        <v>866</v>
      </c>
      <c r="B409" s="17">
        <v>320</v>
      </c>
      <c r="C409" s="17">
        <v>17</v>
      </c>
      <c r="D409" s="17">
        <v>7</v>
      </c>
      <c r="E409" s="17">
        <v>12</v>
      </c>
      <c r="F409" s="17">
        <v>29</v>
      </c>
      <c r="G409" s="17">
        <v>2</v>
      </c>
      <c r="H409" s="17">
        <v>480</v>
      </c>
    </row>
    <row r="410" spans="1:8" x14ac:dyDescent="0.3">
      <c r="A410" s="16" t="s">
        <v>867</v>
      </c>
      <c r="B410" s="17">
        <v>260</v>
      </c>
      <c r="C410" s="17">
        <v>9</v>
      </c>
      <c r="D410" s="17">
        <v>5</v>
      </c>
      <c r="E410" s="17">
        <v>11</v>
      </c>
      <c r="F410" s="17">
        <v>33</v>
      </c>
      <c r="G410" s="17">
        <v>2</v>
      </c>
      <c r="H410" s="17">
        <v>460</v>
      </c>
    </row>
    <row r="411" spans="1:8" x14ac:dyDescent="0.3">
      <c r="A411" s="16" t="s">
        <v>868</v>
      </c>
      <c r="B411" s="17">
        <v>140</v>
      </c>
      <c r="C411" s="17">
        <v>5</v>
      </c>
      <c r="D411" s="17">
        <v>0</v>
      </c>
      <c r="E411" s="17">
        <v>2</v>
      </c>
      <c r="F411" s="17">
        <v>22</v>
      </c>
      <c r="G411" s="17">
        <v>2</v>
      </c>
      <c r="H411" s="17">
        <v>240</v>
      </c>
    </row>
    <row r="412" spans="1:8" x14ac:dyDescent="0.3">
      <c r="A412" s="16" t="s">
        <v>869</v>
      </c>
      <c r="B412" s="17">
        <v>180</v>
      </c>
      <c r="C412" s="17">
        <v>9</v>
      </c>
      <c r="D412" s="17">
        <v>6</v>
      </c>
      <c r="E412" s="17">
        <v>3</v>
      </c>
      <c r="F412" s="17">
        <v>22</v>
      </c>
      <c r="G412" s="17">
        <v>1</v>
      </c>
      <c r="H412" s="17">
        <v>55</v>
      </c>
    </row>
    <row r="413" spans="1:8" x14ac:dyDescent="0.3">
      <c r="A413" s="16" t="s">
        <v>877</v>
      </c>
      <c r="B413" s="17">
        <v>720</v>
      </c>
      <c r="C413" s="17">
        <v>50</v>
      </c>
      <c r="D413" s="17">
        <v>17</v>
      </c>
      <c r="E413" s="17">
        <v>11</v>
      </c>
      <c r="F413" s="17">
        <v>58</v>
      </c>
      <c r="G413" s="17">
        <v>3</v>
      </c>
      <c r="H413" s="17">
        <v>1940</v>
      </c>
    </row>
    <row r="414" spans="1:8" x14ac:dyDescent="0.3">
      <c r="A414" s="16" t="s">
        <v>878</v>
      </c>
      <c r="B414" s="17">
        <v>670</v>
      </c>
      <c r="C414" s="17">
        <v>22</v>
      </c>
      <c r="D414" s="17">
        <v>3.5</v>
      </c>
      <c r="E414" s="17">
        <v>32</v>
      </c>
      <c r="F414" s="17">
        <v>84</v>
      </c>
      <c r="G414" s="17">
        <v>4</v>
      </c>
      <c r="H414" s="17">
        <v>3700</v>
      </c>
    </row>
    <row r="415" spans="1:8" x14ac:dyDescent="0.3">
      <c r="A415" s="16" t="s">
        <v>879</v>
      </c>
      <c r="B415" s="17">
        <v>140</v>
      </c>
      <c r="C415" s="17">
        <v>6</v>
      </c>
      <c r="D415" s="17">
        <v>1</v>
      </c>
      <c r="E415" s="17">
        <v>7</v>
      </c>
      <c r="F415" s="17">
        <v>13</v>
      </c>
      <c r="G415" s="17">
        <v>3</v>
      </c>
      <c r="H415" s="17">
        <v>400</v>
      </c>
    </row>
    <row r="416" spans="1:8" x14ac:dyDescent="0.3">
      <c r="A416" s="16" t="s">
        <v>880</v>
      </c>
      <c r="B416" s="17">
        <v>150</v>
      </c>
      <c r="C416" s="17">
        <v>7</v>
      </c>
      <c r="D416" s="17">
        <v>0.5</v>
      </c>
      <c r="E416" s="17">
        <v>2</v>
      </c>
      <c r="F416" s="17">
        <v>21</v>
      </c>
      <c r="G416" s="17">
        <v>2</v>
      </c>
      <c r="H416" s="17">
        <v>290</v>
      </c>
    </row>
    <row r="417" spans="1:8" x14ac:dyDescent="0.3">
      <c r="A417" s="16" t="s">
        <v>881</v>
      </c>
      <c r="B417" s="17">
        <v>160</v>
      </c>
      <c r="C417" s="17">
        <v>9</v>
      </c>
      <c r="D417" s="17">
        <v>3</v>
      </c>
      <c r="E417" s="17">
        <v>3</v>
      </c>
      <c r="F417" s="17">
        <v>18</v>
      </c>
      <c r="G417" s="17">
        <v>1</v>
      </c>
      <c r="H417" s="17">
        <v>110</v>
      </c>
    </row>
    <row r="418" spans="1:8" x14ac:dyDescent="0.3">
      <c r="B418" s="17">
        <f>B415</f>
        <v>140</v>
      </c>
      <c r="C418" s="17">
        <f t="shared" ref="C418:H418" si="95">C415</f>
        <v>6</v>
      </c>
      <c r="D418" s="17">
        <f t="shared" si="95"/>
        <v>1</v>
      </c>
      <c r="E418" s="17">
        <f t="shared" si="95"/>
        <v>7</v>
      </c>
      <c r="F418" s="17">
        <f t="shared" si="95"/>
        <v>13</v>
      </c>
      <c r="G418" s="17">
        <f t="shared" si="95"/>
        <v>3</v>
      </c>
      <c r="H418" s="17">
        <f t="shared" si="95"/>
        <v>400</v>
      </c>
    </row>
    <row r="419" spans="1:8" x14ac:dyDescent="0.3">
      <c r="B419" s="17"/>
      <c r="C419" s="17"/>
      <c r="D419" s="17"/>
      <c r="E419" s="17"/>
      <c r="F419" s="17"/>
      <c r="G419" s="17"/>
      <c r="H419" s="17"/>
    </row>
    <row r="420" spans="1:8" x14ac:dyDescent="0.3">
      <c r="B420" s="17"/>
      <c r="C420" s="17"/>
      <c r="D420" s="17"/>
      <c r="E420" s="17"/>
      <c r="F420" s="17"/>
      <c r="G420" s="17"/>
      <c r="H420" s="17"/>
    </row>
    <row r="421" spans="1:8" x14ac:dyDescent="0.3">
      <c r="B421" s="17"/>
      <c r="C421" s="17"/>
      <c r="D421" s="17"/>
      <c r="E421" s="17"/>
      <c r="F421" s="17"/>
      <c r="G421" s="17"/>
      <c r="H421" s="17"/>
    </row>
    <row r="422" spans="1:8" x14ac:dyDescent="0.3">
      <c r="B422" s="17"/>
      <c r="C422" s="17"/>
      <c r="D422" s="17"/>
      <c r="E422" s="17"/>
      <c r="F422" s="17"/>
      <c r="G422" s="17"/>
      <c r="H422" s="17"/>
    </row>
    <row r="423" spans="1:8" x14ac:dyDescent="0.3">
      <c r="B423" s="17"/>
      <c r="C423" s="17"/>
      <c r="D423" s="17"/>
      <c r="E423" s="17"/>
      <c r="F423" s="17"/>
      <c r="G423" s="17"/>
      <c r="H423" s="17"/>
    </row>
    <row r="424" spans="1:8" x14ac:dyDescent="0.3">
      <c r="B424" s="17"/>
      <c r="C424" s="17"/>
      <c r="D424" s="17"/>
      <c r="E424" s="17"/>
      <c r="F424" s="17"/>
      <c r="G424" s="17"/>
      <c r="H424" s="17"/>
    </row>
    <row r="425" spans="1:8" x14ac:dyDescent="0.3">
      <c r="B425" s="17"/>
      <c r="C425" s="17"/>
      <c r="D425" s="17"/>
      <c r="E425" s="17"/>
      <c r="F425" s="17"/>
      <c r="G425" s="17"/>
      <c r="H425" s="17"/>
    </row>
    <row r="426" spans="1:8" x14ac:dyDescent="0.3">
      <c r="B426" s="17"/>
      <c r="C426" s="17"/>
      <c r="D426" s="17"/>
      <c r="E426" s="17"/>
      <c r="F426" s="17"/>
      <c r="G426" s="17"/>
      <c r="H426" s="17"/>
    </row>
    <row r="427" spans="1:8" x14ac:dyDescent="0.3">
      <c r="B427" s="17"/>
      <c r="C427" s="17"/>
      <c r="D427" s="17"/>
      <c r="E427" s="17"/>
      <c r="F427" s="17"/>
      <c r="G427" s="17"/>
      <c r="H427" s="17"/>
    </row>
    <row r="428" spans="1:8" x14ac:dyDescent="0.3">
      <c r="B428" s="17"/>
      <c r="C428" s="17"/>
      <c r="D428" s="17"/>
      <c r="E428" s="17"/>
      <c r="F428" s="17"/>
      <c r="G428" s="17"/>
      <c r="H428" s="17"/>
    </row>
    <row r="429" spans="1:8" x14ac:dyDescent="0.3">
      <c r="B429" s="17"/>
      <c r="C429" s="17"/>
      <c r="D429" s="17"/>
      <c r="E429" s="17"/>
      <c r="F429" s="17"/>
      <c r="G429" s="17"/>
      <c r="H429" s="17"/>
    </row>
    <row r="430" spans="1:8" x14ac:dyDescent="0.3">
      <c r="B430" s="17"/>
      <c r="C430" s="17"/>
      <c r="D430" s="17"/>
      <c r="E430" s="17"/>
      <c r="F430" s="17"/>
      <c r="G430" s="17"/>
      <c r="H430" s="17"/>
    </row>
    <row r="431" spans="1:8" x14ac:dyDescent="0.3">
      <c r="B431" s="17"/>
      <c r="C431" s="17"/>
      <c r="D431" s="17"/>
      <c r="E431" s="17"/>
      <c r="F431" s="17"/>
      <c r="G431" s="17"/>
      <c r="H431" s="17"/>
    </row>
    <row r="432" spans="1:8" x14ac:dyDescent="0.3">
      <c r="B432" s="17"/>
      <c r="C432" s="17"/>
      <c r="D432" s="17"/>
      <c r="E432" s="17"/>
      <c r="F432" s="17"/>
      <c r="G432" s="17"/>
      <c r="H432" s="17"/>
    </row>
    <row r="433" spans="2:8" x14ac:dyDescent="0.3">
      <c r="B433" s="17"/>
      <c r="C433" s="17"/>
      <c r="D433" s="17"/>
      <c r="E433" s="17"/>
      <c r="F433" s="17"/>
      <c r="G433" s="17"/>
      <c r="H433" s="17"/>
    </row>
    <row r="434" spans="2:8" x14ac:dyDescent="0.3">
      <c r="B434" s="17"/>
      <c r="C434" s="17"/>
      <c r="D434" s="17"/>
      <c r="E434" s="17"/>
      <c r="F434" s="17"/>
      <c r="G434" s="17"/>
      <c r="H434" s="17"/>
    </row>
    <row r="435" spans="2:8" x14ac:dyDescent="0.3">
      <c r="B435" s="17"/>
      <c r="C435" s="17"/>
      <c r="D435" s="17"/>
      <c r="E435" s="17"/>
      <c r="F435" s="17"/>
      <c r="G435" s="17"/>
      <c r="H435" s="17"/>
    </row>
    <row r="436" spans="2:8" x14ac:dyDescent="0.3">
      <c r="B436" s="17"/>
      <c r="C436" s="17"/>
      <c r="D436" s="17"/>
      <c r="E436" s="17"/>
      <c r="F436" s="17"/>
      <c r="G436" s="17"/>
      <c r="H436" s="17"/>
    </row>
    <row r="437" spans="2:8" x14ac:dyDescent="0.3">
      <c r="B437" s="17"/>
      <c r="C437" s="17"/>
      <c r="D437" s="17"/>
      <c r="E437" s="17"/>
      <c r="F437" s="17"/>
      <c r="G437" s="17"/>
      <c r="H437" s="17"/>
    </row>
    <row r="438" spans="2:8" x14ac:dyDescent="0.3">
      <c r="B438" s="17"/>
      <c r="C438" s="17"/>
      <c r="D438" s="17"/>
      <c r="E438" s="17"/>
      <c r="F438" s="17"/>
      <c r="G438" s="17"/>
      <c r="H438" s="17"/>
    </row>
    <row r="439" spans="2:8" x14ac:dyDescent="0.3">
      <c r="B439" s="17"/>
      <c r="C439" s="17"/>
      <c r="D439" s="17"/>
      <c r="E439" s="17"/>
      <c r="F439" s="17"/>
      <c r="G439" s="17"/>
      <c r="H439" s="17"/>
    </row>
    <row r="440" spans="2:8" x14ac:dyDescent="0.3">
      <c r="B440" s="17"/>
      <c r="C440" s="17"/>
      <c r="D440" s="17"/>
      <c r="E440" s="17"/>
      <c r="F440" s="17"/>
      <c r="G440" s="17"/>
      <c r="H440" s="17"/>
    </row>
    <row r="441" spans="2:8" x14ac:dyDescent="0.3">
      <c r="B441" s="17"/>
      <c r="C441" s="17"/>
      <c r="D441" s="17"/>
      <c r="E441" s="17"/>
      <c r="F441" s="17"/>
      <c r="G441" s="17"/>
      <c r="H441" s="17"/>
    </row>
    <row r="442" spans="2:8" x14ac:dyDescent="0.3">
      <c r="B442" s="17"/>
      <c r="C442" s="17"/>
      <c r="D442" s="17"/>
      <c r="E442" s="17"/>
      <c r="F442" s="17"/>
      <c r="G442" s="17"/>
      <c r="H442" s="17"/>
    </row>
    <row r="443" spans="2:8" x14ac:dyDescent="0.3">
      <c r="B443" s="17"/>
      <c r="C443" s="17"/>
      <c r="D443" s="17"/>
      <c r="E443" s="17"/>
      <c r="F443" s="17"/>
      <c r="G443" s="17"/>
      <c r="H443" s="17"/>
    </row>
    <row r="444" spans="2:8" x14ac:dyDescent="0.3">
      <c r="B444" s="17"/>
      <c r="C444" s="17"/>
      <c r="D444" s="17"/>
      <c r="E444" s="17"/>
      <c r="F444" s="17"/>
      <c r="G444" s="17"/>
      <c r="H444" s="17"/>
    </row>
    <row r="445" spans="2:8" x14ac:dyDescent="0.3">
      <c r="B445" s="17"/>
      <c r="C445" s="17"/>
      <c r="D445" s="17"/>
      <c r="E445" s="17"/>
      <c r="F445" s="17"/>
      <c r="G445" s="17"/>
      <c r="H445" s="17"/>
    </row>
    <row r="446" spans="2:8" x14ac:dyDescent="0.3">
      <c r="B446" s="17"/>
      <c r="C446" s="17"/>
      <c r="D446" s="17"/>
      <c r="E446" s="17"/>
      <c r="F446" s="17"/>
      <c r="G446" s="17"/>
      <c r="H446" s="17"/>
    </row>
    <row r="447" spans="2:8" x14ac:dyDescent="0.3">
      <c r="B447" s="17"/>
      <c r="C447" s="17"/>
      <c r="D447" s="17"/>
      <c r="E447" s="17"/>
      <c r="F447" s="17"/>
      <c r="G447" s="17"/>
      <c r="H447" s="17"/>
    </row>
    <row r="448" spans="2:8" x14ac:dyDescent="0.3">
      <c r="B448" s="17"/>
      <c r="C448" s="17"/>
      <c r="D448" s="17"/>
      <c r="E448" s="17"/>
      <c r="F448" s="17"/>
      <c r="G448" s="17"/>
      <c r="H448" s="17"/>
    </row>
    <row r="449" spans="2:8" x14ac:dyDescent="0.3">
      <c r="B449" s="17"/>
      <c r="C449" s="17"/>
      <c r="D449" s="17"/>
      <c r="E449" s="17"/>
      <c r="F449" s="17"/>
      <c r="G449" s="17"/>
      <c r="H449" s="17"/>
    </row>
    <row r="450" spans="2:8" x14ac:dyDescent="0.3">
      <c r="B450" s="17"/>
      <c r="C450" s="17"/>
      <c r="D450" s="17"/>
      <c r="E450" s="17"/>
      <c r="F450" s="17"/>
      <c r="G450" s="17"/>
      <c r="H450" s="17"/>
    </row>
    <row r="451" spans="2:8" x14ac:dyDescent="0.3">
      <c r="B451" s="17"/>
      <c r="C451" s="17"/>
      <c r="D451" s="17"/>
      <c r="E451" s="17"/>
      <c r="F451" s="17"/>
      <c r="G451" s="17"/>
      <c r="H451" s="17"/>
    </row>
    <row r="452" spans="2:8" x14ac:dyDescent="0.3">
      <c r="B452" s="17"/>
      <c r="C452" s="17"/>
      <c r="D452" s="17"/>
      <c r="E452" s="17"/>
      <c r="F452" s="17"/>
      <c r="G452" s="17"/>
      <c r="H452" s="17"/>
    </row>
    <row r="453" spans="2:8" x14ac:dyDescent="0.3">
      <c r="B453" s="17"/>
      <c r="C453" s="17"/>
      <c r="D453" s="17"/>
      <c r="E453" s="17"/>
      <c r="F453" s="17"/>
      <c r="G453" s="17"/>
      <c r="H453" s="17"/>
    </row>
    <row r="454" spans="2:8" x14ac:dyDescent="0.3">
      <c r="B454" s="17"/>
      <c r="C454" s="17"/>
      <c r="D454" s="17"/>
      <c r="E454" s="17"/>
      <c r="F454" s="17"/>
      <c r="G454" s="17"/>
      <c r="H454" s="17"/>
    </row>
    <row r="455" spans="2:8" x14ac:dyDescent="0.3">
      <c r="B455" s="17"/>
      <c r="C455" s="17"/>
      <c r="D455" s="17"/>
      <c r="E455" s="17"/>
      <c r="F455" s="17"/>
      <c r="G455" s="17"/>
      <c r="H455" s="17"/>
    </row>
    <row r="456" spans="2:8" x14ac:dyDescent="0.3">
      <c r="B456" s="17"/>
      <c r="C456" s="17"/>
      <c r="D456" s="17"/>
      <c r="E456" s="17"/>
      <c r="F456" s="17"/>
      <c r="G456" s="17"/>
      <c r="H456" s="17"/>
    </row>
    <row r="457" spans="2:8" x14ac:dyDescent="0.3">
      <c r="B457" s="17"/>
      <c r="C457" s="17"/>
      <c r="D457" s="17"/>
      <c r="E457" s="17"/>
      <c r="F457" s="17"/>
      <c r="G457" s="17"/>
      <c r="H457" s="17"/>
    </row>
    <row r="458" spans="2:8" x14ac:dyDescent="0.3">
      <c r="B458" s="17"/>
      <c r="C458" s="17"/>
      <c r="D458" s="17"/>
      <c r="E458" s="17"/>
      <c r="F458" s="17"/>
      <c r="G458" s="17"/>
      <c r="H458" s="17"/>
    </row>
    <row r="459" spans="2:8" x14ac:dyDescent="0.3">
      <c r="B459" s="17"/>
      <c r="C459" s="17"/>
      <c r="D459" s="17"/>
      <c r="E459" s="17"/>
      <c r="F459" s="17"/>
      <c r="G459" s="17"/>
      <c r="H459" s="17"/>
    </row>
    <row r="460" spans="2:8" x14ac:dyDescent="0.3">
      <c r="B460" s="17"/>
      <c r="C460" s="17"/>
      <c r="D460" s="17"/>
      <c r="E460" s="17"/>
      <c r="F460" s="17"/>
      <c r="G460" s="17"/>
      <c r="H460" s="17"/>
    </row>
    <row r="461" spans="2:8" x14ac:dyDescent="0.3">
      <c r="B461" s="17"/>
      <c r="C461" s="17"/>
      <c r="D461" s="17"/>
      <c r="E461" s="17"/>
      <c r="F461" s="17"/>
      <c r="G461" s="17"/>
      <c r="H461" s="17"/>
    </row>
    <row r="462" spans="2:8" x14ac:dyDescent="0.3">
      <c r="B462" s="17"/>
      <c r="C462" s="17"/>
      <c r="D462" s="17"/>
      <c r="E462" s="17"/>
      <c r="F462" s="17"/>
      <c r="G462" s="17"/>
      <c r="H462" s="17"/>
    </row>
    <row r="463" spans="2:8" x14ac:dyDescent="0.3">
      <c r="B463" s="17"/>
      <c r="C463" s="17"/>
      <c r="D463" s="17"/>
      <c r="E463" s="17"/>
      <c r="F463" s="17"/>
      <c r="G463" s="17"/>
      <c r="H463" s="17"/>
    </row>
    <row r="464" spans="2:8" x14ac:dyDescent="0.3">
      <c r="B464" s="17"/>
      <c r="C464" s="17"/>
      <c r="D464" s="17"/>
      <c r="E464" s="17"/>
      <c r="F464" s="17"/>
      <c r="G464" s="17"/>
      <c r="H464" s="17"/>
    </row>
    <row r="465" spans="2:8" x14ac:dyDescent="0.3">
      <c r="B465" s="17"/>
      <c r="C465" s="17"/>
      <c r="D465" s="17"/>
      <c r="E465" s="17"/>
      <c r="F465" s="17"/>
      <c r="G465" s="17"/>
      <c r="H465" s="17"/>
    </row>
    <row r="466" spans="2:8" x14ac:dyDescent="0.3">
      <c r="B466" s="17"/>
      <c r="C466" s="17"/>
      <c r="D466" s="17"/>
      <c r="E466" s="17"/>
      <c r="F466" s="17"/>
      <c r="G466" s="17"/>
      <c r="H466" s="17"/>
    </row>
    <row r="467" spans="2:8" x14ac:dyDescent="0.3">
      <c r="B467" s="17"/>
      <c r="C467" s="17"/>
      <c r="D467" s="17"/>
      <c r="E467" s="17"/>
      <c r="F467" s="17"/>
      <c r="G467" s="17"/>
      <c r="H467" s="17"/>
    </row>
    <row r="468" spans="2:8" x14ac:dyDescent="0.3">
      <c r="B468" s="17"/>
      <c r="C468" s="17"/>
      <c r="D468" s="17"/>
      <c r="E468" s="17"/>
      <c r="F468" s="17"/>
      <c r="G468" s="17"/>
      <c r="H468" s="17"/>
    </row>
    <row r="469" spans="2:8" x14ac:dyDescent="0.3">
      <c r="B469" s="17"/>
      <c r="C469" s="17"/>
      <c r="D469" s="17"/>
      <c r="E469" s="17"/>
      <c r="F469" s="17"/>
      <c r="G469" s="17"/>
      <c r="H469" s="17"/>
    </row>
    <row r="470" spans="2:8" x14ac:dyDescent="0.3">
      <c r="B470" s="17"/>
      <c r="C470" s="17"/>
      <c r="D470" s="17"/>
      <c r="E470" s="17"/>
      <c r="F470" s="17"/>
      <c r="G470" s="17"/>
      <c r="H470" s="17"/>
    </row>
    <row r="471" spans="2:8" x14ac:dyDescent="0.3">
      <c r="B471" s="17"/>
      <c r="C471" s="17"/>
      <c r="D471" s="17"/>
      <c r="E471" s="17"/>
      <c r="F471" s="17"/>
      <c r="G471" s="17"/>
      <c r="H471" s="17"/>
    </row>
    <row r="472" spans="2:8" x14ac:dyDescent="0.3">
      <c r="B472" s="17"/>
      <c r="C472" s="17"/>
      <c r="D472" s="17"/>
      <c r="E472" s="17"/>
      <c r="F472" s="17"/>
      <c r="G472" s="17"/>
      <c r="H472" s="17"/>
    </row>
    <row r="473" spans="2:8" x14ac:dyDescent="0.3">
      <c r="B473" s="17"/>
      <c r="C473" s="17"/>
      <c r="D473" s="17"/>
      <c r="E473" s="17"/>
      <c r="F473" s="17"/>
      <c r="G473" s="17"/>
      <c r="H473" s="17"/>
    </row>
    <row r="474" spans="2:8" x14ac:dyDescent="0.3">
      <c r="B474" s="17"/>
      <c r="C474" s="17"/>
      <c r="D474" s="17"/>
      <c r="E474" s="17"/>
      <c r="F474" s="17"/>
      <c r="G474" s="17"/>
      <c r="H474" s="17"/>
    </row>
    <row r="475" spans="2:8" x14ac:dyDescent="0.3">
      <c r="B475" s="17"/>
      <c r="C475" s="17"/>
      <c r="D475" s="17"/>
      <c r="E475" s="17"/>
      <c r="F475" s="17"/>
      <c r="G475" s="17"/>
      <c r="H475" s="17"/>
    </row>
    <row r="476" spans="2:8" x14ac:dyDescent="0.3">
      <c r="B476" s="17"/>
      <c r="C476" s="17"/>
      <c r="D476" s="17"/>
      <c r="E476" s="17"/>
      <c r="F476" s="17"/>
      <c r="G476" s="17"/>
      <c r="H476" s="17"/>
    </row>
    <row r="477" spans="2:8" x14ac:dyDescent="0.3">
      <c r="B477" s="17"/>
      <c r="C477" s="17"/>
      <c r="D477" s="17"/>
      <c r="E477" s="17"/>
      <c r="F477" s="17"/>
      <c r="G477" s="17"/>
      <c r="H477" s="17"/>
    </row>
    <row r="478" spans="2:8" x14ac:dyDescent="0.3">
      <c r="B478" s="17"/>
      <c r="C478" s="17"/>
      <c r="D478" s="17"/>
      <c r="E478" s="17"/>
      <c r="F478" s="17"/>
      <c r="G478" s="17"/>
      <c r="H478" s="17"/>
    </row>
    <row r="479" spans="2:8" x14ac:dyDescent="0.3">
      <c r="B479" s="17"/>
      <c r="C479" s="17"/>
      <c r="D479" s="17"/>
      <c r="E479" s="17"/>
      <c r="F479" s="17"/>
      <c r="G479" s="17"/>
      <c r="H479" s="17"/>
    </row>
    <row r="480" spans="2:8" x14ac:dyDescent="0.3">
      <c r="B480" s="17"/>
      <c r="C480" s="17"/>
      <c r="D480" s="17"/>
      <c r="E480" s="17"/>
      <c r="F480" s="17"/>
      <c r="G480" s="17"/>
      <c r="H480" s="17"/>
    </row>
    <row r="481" spans="2:8" x14ac:dyDescent="0.3">
      <c r="B481" s="17"/>
      <c r="C481" s="17"/>
      <c r="D481" s="17"/>
      <c r="E481" s="17"/>
      <c r="F481" s="17"/>
      <c r="G481" s="17"/>
      <c r="H481" s="17"/>
    </row>
    <row r="482" spans="2:8" x14ac:dyDescent="0.3">
      <c r="B482" s="17"/>
      <c r="C482" s="17"/>
      <c r="D482" s="17"/>
      <c r="E482" s="17"/>
      <c r="F482" s="17"/>
      <c r="G482" s="17"/>
      <c r="H482" s="17"/>
    </row>
    <row r="483" spans="2:8" x14ac:dyDescent="0.3">
      <c r="B483" s="17"/>
      <c r="C483" s="17"/>
      <c r="D483" s="17"/>
      <c r="E483" s="17"/>
      <c r="F483" s="17"/>
      <c r="G483" s="17"/>
      <c r="H483" s="17"/>
    </row>
    <row r="484" spans="2:8" x14ac:dyDescent="0.3">
      <c r="B484" s="17"/>
      <c r="C484" s="17"/>
      <c r="D484" s="17"/>
      <c r="E484" s="17"/>
      <c r="F484" s="17"/>
      <c r="G484" s="17"/>
      <c r="H484" s="17"/>
    </row>
    <row r="485" spans="2:8" x14ac:dyDescent="0.3">
      <c r="B485" s="17"/>
      <c r="C485" s="17"/>
      <c r="D485" s="17"/>
      <c r="E485" s="17"/>
      <c r="F485" s="17"/>
      <c r="G485" s="17"/>
      <c r="H485" s="17"/>
    </row>
    <row r="486" spans="2:8" x14ac:dyDescent="0.3">
      <c r="B486" s="17"/>
      <c r="C486" s="17"/>
      <c r="D486" s="17"/>
      <c r="E486" s="17"/>
      <c r="F486" s="17"/>
      <c r="G486" s="17"/>
      <c r="H486" s="17"/>
    </row>
    <row r="487" spans="2:8" x14ac:dyDescent="0.3">
      <c r="B487" s="17"/>
      <c r="C487" s="17"/>
      <c r="D487" s="17"/>
      <c r="E487" s="17"/>
      <c r="F487" s="17"/>
      <c r="G487" s="17"/>
      <c r="H487" s="17"/>
    </row>
    <row r="488" spans="2:8" x14ac:dyDescent="0.3">
      <c r="B488" s="17"/>
      <c r="C488" s="17"/>
      <c r="D488" s="17"/>
      <c r="E488" s="17"/>
      <c r="F488" s="17"/>
      <c r="G488" s="17"/>
      <c r="H488" s="17"/>
    </row>
    <row r="489" spans="2:8" x14ac:dyDescent="0.3">
      <c r="B489" s="17"/>
      <c r="C489" s="17"/>
      <c r="D489" s="17"/>
      <c r="E489" s="17"/>
      <c r="F489" s="17"/>
      <c r="G489" s="17"/>
      <c r="H489" s="17"/>
    </row>
    <row r="490" spans="2:8" x14ac:dyDescent="0.3">
      <c r="B490" s="17"/>
      <c r="C490" s="17"/>
      <c r="D490" s="17"/>
      <c r="E490" s="17"/>
      <c r="F490" s="17"/>
      <c r="G490" s="17"/>
      <c r="H490" s="17"/>
    </row>
    <row r="491" spans="2:8" x14ac:dyDescent="0.3">
      <c r="B491" s="17"/>
      <c r="C491" s="17"/>
      <c r="D491" s="17"/>
      <c r="E491" s="17"/>
      <c r="F491" s="17"/>
      <c r="G491" s="17"/>
      <c r="H491" s="17"/>
    </row>
    <row r="492" spans="2:8" x14ac:dyDescent="0.3">
      <c r="B492" s="17"/>
      <c r="C492" s="17"/>
      <c r="D492" s="17"/>
      <c r="E492" s="17"/>
      <c r="F492" s="17"/>
      <c r="G492" s="17"/>
      <c r="H492" s="17"/>
    </row>
    <row r="493" spans="2:8" x14ac:dyDescent="0.3">
      <c r="B493" s="17"/>
      <c r="C493" s="17"/>
      <c r="D493" s="17"/>
      <c r="E493" s="17"/>
      <c r="F493" s="17"/>
      <c r="G493" s="17"/>
      <c r="H493" s="17"/>
    </row>
    <row r="494" spans="2:8" x14ac:dyDescent="0.3">
      <c r="B494" s="17"/>
      <c r="C494" s="17"/>
      <c r="D494" s="17"/>
      <c r="E494" s="17"/>
      <c r="F494" s="17"/>
      <c r="G494" s="17"/>
      <c r="H494" s="17"/>
    </row>
    <row r="495" spans="2:8" x14ac:dyDescent="0.3">
      <c r="B495" s="17"/>
      <c r="C495" s="17"/>
      <c r="D495" s="17"/>
      <c r="E495" s="17"/>
      <c r="F495" s="17"/>
      <c r="G495" s="17"/>
      <c r="H495" s="17"/>
    </row>
    <row r="496" spans="2:8" x14ac:dyDescent="0.3">
      <c r="B496" s="17"/>
      <c r="C496" s="17"/>
      <c r="D496" s="17"/>
      <c r="E496" s="17"/>
      <c r="F496" s="17"/>
      <c r="G496" s="17"/>
      <c r="H496" s="17"/>
    </row>
    <row r="497" spans="2:8" x14ac:dyDescent="0.3">
      <c r="B497" s="17"/>
      <c r="C497" s="17"/>
      <c r="D497" s="17"/>
      <c r="E497" s="17"/>
      <c r="F497" s="17"/>
      <c r="G497" s="17"/>
      <c r="H497" s="17"/>
    </row>
    <row r="498" spans="2:8" x14ac:dyDescent="0.3">
      <c r="B498" s="17"/>
      <c r="C498" s="17"/>
      <c r="D498" s="17"/>
      <c r="E498" s="17"/>
      <c r="F498" s="17"/>
      <c r="G498" s="17"/>
      <c r="H498" s="17"/>
    </row>
    <row r="499" spans="2:8" x14ac:dyDescent="0.3">
      <c r="B499" s="17"/>
      <c r="C499" s="17"/>
      <c r="D499" s="17"/>
      <c r="E499" s="17"/>
      <c r="F499" s="17"/>
      <c r="G499" s="17"/>
      <c r="H499" s="17"/>
    </row>
    <row r="500" spans="2:8" x14ac:dyDescent="0.3">
      <c r="B500" s="17"/>
      <c r="C500" s="17"/>
      <c r="D500" s="17"/>
      <c r="E500" s="17"/>
      <c r="F500" s="17"/>
      <c r="G500" s="17"/>
      <c r="H500" s="17"/>
    </row>
    <row r="501" spans="2:8" x14ac:dyDescent="0.3">
      <c r="B501" s="17"/>
      <c r="C501" s="17"/>
      <c r="D501" s="17"/>
      <c r="E501" s="17"/>
      <c r="F501" s="17"/>
      <c r="G501" s="17"/>
      <c r="H50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1"/>
  <sheetViews>
    <sheetView tabSelected="1" topLeftCell="Q1" zoomScale="85" zoomScaleNormal="85" workbookViewId="0">
      <pane ySplit="1" topLeftCell="A148" activePane="bottomLeft" state="frozen"/>
      <selection activeCell="O1" sqref="O1"/>
      <selection pane="bottomLeft" activeCell="Z164" sqref="Z164"/>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16384" width="9.109375" style="3"/>
  </cols>
  <sheetData>
    <row r="1" spans="1:62"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row>
    <row r="2" spans="1:62"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row>
    <row r="3" spans="1:62"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row>
    <row r="4" spans="1:62"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row>
    <row r="5" spans="1:62"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row>
    <row r="6" spans="1:62"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row>
    <row r="7" spans="1:62"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row>
    <row r="8" spans="1:62"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row>
    <row r="9" spans="1:62"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row>
    <row r="10" spans="1:62"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row>
    <row r="11" spans="1:62"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row>
    <row r="12" spans="1:62"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row>
    <row r="13" spans="1:62"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row>
    <row r="14" spans="1:62"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row>
    <row r="15" spans="1:62"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row>
    <row r="16" spans="1:62"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row>
    <row r="17" spans="1:62"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row>
    <row r="18" spans="1:62"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row>
    <row r="19" spans="1:62"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row>
    <row r="20" spans="1:62"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row>
    <row r="21" spans="1:62"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row>
    <row r="22" spans="1:62"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row>
    <row r="23" spans="1:62"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row>
    <row r="24" spans="1:62"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row>
    <row r="25" spans="1:62"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row>
    <row r="26" spans="1:62"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row>
    <row r="27" spans="1:62"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row>
    <row r="28" spans="1:62"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row>
    <row r="29" spans="1:62"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row>
    <row r="30" spans="1:62"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row>
    <row r="31" spans="1:62"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row>
    <row r="32" spans="1:62"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row>
    <row r="33" spans="1:62"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row>
    <row r="34" spans="1:62"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row>
    <row r="35" spans="1:62"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row>
    <row r="36" spans="1:62"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row>
    <row r="37" spans="1:62"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row>
    <row r="38" spans="1:62"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row>
    <row r="39" spans="1:62"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row>
    <row r="40" spans="1:62"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row>
    <row r="41" spans="1:62"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row>
    <row r="42" spans="1:62"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row>
    <row r="43" spans="1:62"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row>
    <row r="44" spans="1:62"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row>
    <row r="45" spans="1:62"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row>
    <row r="46" spans="1:62"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row>
    <row r="47" spans="1:62"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row>
    <row r="48" spans="1:62"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row>
    <row r="49" spans="1:62"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row>
    <row r="50" spans="1:62"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row>
    <row r="51" spans="1:62"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row>
    <row r="52" spans="1:62"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row>
    <row r="53" spans="1:62"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row>
    <row r="54" spans="1:62"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row>
    <row r="55" spans="1:62"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row>
    <row r="56" spans="1:62"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row>
    <row r="57" spans="1:62"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row>
    <row r="58" spans="1:62"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row>
    <row r="59" spans="1:62"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row>
    <row r="60" spans="1:62"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row>
    <row r="61" spans="1:62"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row>
    <row r="62" spans="1:62"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row>
    <row r="63" spans="1:62"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row>
    <row r="64" spans="1:62"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row>
    <row r="65" spans="1:62"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row>
    <row r="66" spans="1:62"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row>
    <row r="67" spans="1:62"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row>
    <row r="68" spans="1:62"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row>
    <row r="69" spans="1:62"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row>
    <row r="70" spans="1:62"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row>
    <row r="71" spans="1:62"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row>
    <row r="72" spans="1:62"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row>
    <row r="73" spans="1:62"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row>
    <row r="74" spans="1:62"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row>
    <row r="75" spans="1:62"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row>
    <row r="76" spans="1:62"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row>
    <row r="77" spans="1:62"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row>
    <row r="78" spans="1:62"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row>
    <row r="79" spans="1:62"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row>
    <row r="80" spans="1:62"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row>
    <row r="81" spans="1:62"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row>
    <row r="82" spans="1:62"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row>
    <row r="83" spans="1:62"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row>
    <row r="84" spans="1:62"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row>
    <row r="85" spans="1:62"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row>
    <row r="86" spans="1:62"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row>
    <row r="87" spans="1:62"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row>
    <row r="88" spans="1:62"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row>
    <row r="89" spans="1:62"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row>
    <row r="90" spans="1:62"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row>
    <row r="91" spans="1:62"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row>
    <row r="92" spans="1:62"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row>
    <row r="93" spans="1:62"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row>
    <row r="94" spans="1:62"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row>
    <row r="95" spans="1:62"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row>
    <row r="96" spans="1:62"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row>
    <row r="97" spans="1:62"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row>
    <row r="98" spans="1:62"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row>
    <row r="99" spans="1:62"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row>
    <row r="100" spans="1:62"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row>
    <row r="101" spans="1:62"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row>
    <row r="102" spans="1:62"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row>
    <row r="103" spans="1:62"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row>
    <row r="104" spans="1:62"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row>
    <row r="105" spans="1:62"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row>
    <row r="106" spans="1:62"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row>
    <row r="107" spans="1:62"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row>
    <row r="108" spans="1:62"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row>
    <row r="109" spans="1:62"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row>
    <row r="110" spans="1:62"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row>
    <row r="111" spans="1:62"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row>
    <row r="112" spans="1:62"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row>
    <row r="113" spans="1:62"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row>
    <row r="114" spans="1:62"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row>
    <row r="115" spans="1:62"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row>
    <row r="116" spans="1:62"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row>
    <row r="117" spans="1:62"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row>
    <row r="118" spans="1:62"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row>
    <row r="119" spans="1:62"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row>
    <row r="120" spans="1:62"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row>
    <row r="121" spans="1:62"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row>
    <row r="122" spans="1:62"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row>
    <row r="123" spans="1:62"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row>
    <row r="124" spans="1:62"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row>
    <row r="125" spans="1:62"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row>
    <row r="126" spans="1:62"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row>
    <row r="127" spans="1:62"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row>
    <row r="128" spans="1:62"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row>
    <row r="129" spans="1:62"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162" si="218">$AC129/$AB129</f>
        <v>5.1953375176123993E-2</v>
      </c>
      <c r="AJ129" s="6">
        <f t="shared" ref="AJ129:AJ162" si="219">$AD129/$AB129</f>
        <v>3.0600742923017805E-2</v>
      </c>
      <c r="AK129" s="6">
        <f t="shared" ref="AK129:AK162" si="220">$AE129/$AB129</f>
        <v>2.2769309593954144E-2</v>
      </c>
      <c r="AL129" s="6">
        <f t="shared" ref="AL129:AL162" si="221">$AF129/$AB129</f>
        <v>0.10213398232355576</v>
      </c>
      <c r="AM129" s="6">
        <f t="shared" ref="AM129:AM162" si="222">$AG129/$AB129</f>
        <v>3.607019341616498E-3</v>
      </c>
      <c r="AN129" s="6">
        <f t="shared" ref="AN129:AN162"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row>
    <row r="130" spans="1:62"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row>
    <row r="131" spans="1:62"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row>
    <row r="132" spans="1:62"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row>
    <row r="133" spans="1:62"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764</v>
      </c>
      <c r="AA133" s="10" t="s">
        <v>763</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row>
    <row r="134" spans="1:62"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767</v>
      </c>
      <c r="AA134" s="10" t="s">
        <v>766</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row>
    <row r="135" spans="1:62"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768</v>
      </c>
      <c r="AA135" s="10" t="s">
        <v>774</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row>
    <row r="136" spans="1:62"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778</v>
      </c>
      <c r="AA136" s="10" t="s">
        <v>777</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row>
    <row r="137" spans="1:62"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784</v>
      </c>
      <c r="AA137" s="10" t="s">
        <v>783</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row>
    <row r="138" spans="1:62"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790</v>
      </c>
      <c r="AA138" s="10" t="s">
        <v>786</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row>
    <row r="139" spans="1:62"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791</v>
      </c>
      <c r="AA139" s="10" t="s">
        <v>789</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row>
    <row r="140" spans="1:62"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792</v>
      </c>
      <c r="AA140" s="10" t="s">
        <v>796</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row>
    <row r="141" spans="1:62"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800</v>
      </c>
      <c r="AA141" s="10" t="s">
        <v>799</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row>
    <row r="142" spans="1:62"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805</v>
      </c>
      <c r="AA142" s="10" t="s">
        <v>807</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row>
    <row r="143" spans="1:62"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813</v>
      </c>
      <c r="AA143" s="10" t="s">
        <v>812</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row>
    <row r="144" spans="1:62"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814</v>
      </c>
      <c r="AA144" s="10" t="s">
        <v>820</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row>
    <row r="145" spans="1:62"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822</v>
      </c>
      <c r="AA145" s="10" t="s">
        <v>821</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row>
    <row r="146" spans="1:62"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824</v>
      </c>
      <c r="AA146" s="10" t="s">
        <v>826</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row>
    <row r="147" spans="1:62"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827</v>
      </c>
      <c r="AA147" s="10" t="s">
        <v>825</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row>
    <row r="148" spans="1:62"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828</v>
      </c>
      <c r="AA148" s="10" t="s">
        <v>829</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row>
    <row r="149" spans="1:62"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831</v>
      </c>
      <c r="AA149" s="10" t="s">
        <v>832</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row>
    <row r="150" spans="1:62"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836</v>
      </c>
      <c r="AA150" s="10" t="s">
        <v>835</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row>
    <row r="151" spans="1:62"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837</v>
      </c>
      <c r="AA151" s="10" t="s">
        <v>839</v>
      </c>
      <c r="AB151" s="5">
        <f>560+140+988.4+106+153+700+218+110</f>
        <v>2975.4</v>
      </c>
      <c r="AC151" s="6">
        <f>0+6+18.3+0.4+15.3+22+23.1+0</f>
        <v>85.1</v>
      </c>
      <c r="AD151" s="19">
        <f>0+0+3.3+0.1+9.6+12+3.6+0</f>
        <v>28.6</v>
      </c>
      <c r="AE151" s="6">
        <f>8+0+8+3.3+28+0.5+0</f>
        <v>47.8</v>
      </c>
      <c r="AF151" s="6">
        <f>136+20+132.45+16.7+1.2+102+3+28</f>
        <v>439.34999999999997</v>
      </c>
      <c r="AG151" s="6">
        <f>0+0+16.9+0.6+0+10+0.3+0</f>
        <v>27.8</v>
      </c>
      <c r="AH151" s="6">
        <f>200+60+2007+186+129+1560+367+175</f>
        <v>4684</v>
      </c>
      <c r="AI151" s="6">
        <f t="shared" si="218"/>
        <v>2.8601196477784498E-2</v>
      </c>
      <c r="AJ151" s="6">
        <f t="shared" si="219"/>
        <v>9.612152987833569E-3</v>
      </c>
      <c r="AK151" s="6">
        <f t="shared" si="220"/>
        <v>1.6065066881763793E-2</v>
      </c>
      <c r="AL151" s="6">
        <f t="shared" si="221"/>
        <v>0.14766081871345027</v>
      </c>
      <c r="AM151" s="6">
        <f t="shared" si="222"/>
        <v>9.3432815755864762E-3</v>
      </c>
      <c r="AN151" s="6">
        <f t="shared" si="223"/>
        <v>1.5742421187067284</v>
      </c>
      <c r="AO151" s="7">
        <v>4</v>
      </c>
      <c r="AP151" s="7">
        <v>1</v>
      </c>
      <c r="AQ151" s="7">
        <v>0</v>
      </c>
      <c r="AR151" s="10">
        <v>0</v>
      </c>
      <c r="AS151" s="7">
        <v>0</v>
      </c>
      <c r="AT151" s="7">
        <v>0</v>
      </c>
      <c r="AU151" s="7">
        <v>0</v>
      </c>
      <c r="AV151" s="7">
        <v>0</v>
      </c>
      <c r="AW151" s="7">
        <v>31</v>
      </c>
      <c r="AX151" s="7">
        <v>1</v>
      </c>
      <c r="AY151" s="5">
        <v>7.166666666666667</v>
      </c>
      <c r="AZ151" s="7">
        <v>0</v>
      </c>
      <c r="BA151" s="7">
        <v>0</v>
      </c>
      <c r="BB151" s="7">
        <v>0</v>
      </c>
      <c r="BC151" s="7">
        <v>1</v>
      </c>
      <c r="BD151" s="7">
        <v>1</v>
      </c>
      <c r="BE151" s="7">
        <v>0</v>
      </c>
      <c r="BF151" s="7">
        <v>0</v>
      </c>
      <c r="BG151" s="7">
        <v>0</v>
      </c>
      <c r="BH151" s="7">
        <v>0</v>
      </c>
      <c r="BI151" s="7">
        <v>0</v>
      </c>
      <c r="BJ151" s="7">
        <v>0</v>
      </c>
    </row>
    <row r="152" spans="1:62" ht="20.100000000000001" customHeight="1" x14ac:dyDescent="0.3">
      <c r="A152" s="3" t="s">
        <v>15</v>
      </c>
      <c r="B152" s="3">
        <v>20</v>
      </c>
      <c r="C152" s="8">
        <v>44361</v>
      </c>
      <c r="D152" s="9">
        <v>0.30972222222222223</v>
      </c>
      <c r="E152" s="4">
        <v>71</v>
      </c>
      <c r="F152" s="3">
        <v>0</v>
      </c>
      <c r="G152" s="3">
        <v>0</v>
      </c>
      <c r="H152" s="3">
        <v>0</v>
      </c>
      <c r="I152" s="3">
        <v>0</v>
      </c>
      <c r="J152" s="9">
        <v>0.31111111111111112</v>
      </c>
      <c r="K152" s="3">
        <v>144.4</v>
      </c>
      <c r="L152" s="11">
        <f t="shared" ref="L152" si="266">K152-K151</f>
        <v>1</v>
      </c>
      <c r="M152" s="5">
        <f t="shared" ref="M152" si="267">AB151</f>
        <v>2975.4</v>
      </c>
      <c r="N152" s="11">
        <v>31</v>
      </c>
      <c r="O152" s="11">
        <v>32.25</v>
      </c>
      <c r="P152" s="11">
        <v>10.5</v>
      </c>
      <c r="Q152" s="11">
        <v>10.625</v>
      </c>
      <c r="R152" s="11">
        <v>19.75</v>
      </c>
      <c r="S152" s="11">
        <v>19.75</v>
      </c>
      <c r="T152" s="11">
        <v>15</v>
      </c>
      <c r="U152" s="11">
        <v>15</v>
      </c>
      <c r="V152" s="11">
        <v>17</v>
      </c>
      <c r="W152" s="11">
        <v>16</v>
      </c>
      <c r="X152" s="11">
        <v>7</v>
      </c>
      <c r="Y152" s="11">
        <v>7</v>
      </c>
      <c r="Z152" s="3" t="s">
        <v>842</v>
      </c>
      <c r="AA152" s="10" t="s">
        <v>843</v>
      </c>
      <c r="AB152" s="5">
        <f>1050+436+175+142+80+110</f>
        <v>1993</v>
      </c>
      <c r="AC152" s="6">
        <f>33+46.2+5.5+3+6+0</f>
        <v>93.7</v>
      </c>
      <c r="AD152" s="6">
        <f>18+7.2+0.75+1.88+4+0</f>
        <v>31.83</v>
      </c>
      <c r="AE152" s="6">
        <f>42+1+4.5+5.25+8+0</f>
        <v>60.75</v>
      </c>
      <c r="AF152" s="6">
        <f>153+6+27.5+24+0+28</f>
        <v>238.5</v>
      </c>
      <c r="AG152" s="6">
        <f>15+0.6+1.5+0+0+0</f>
        <v>17.100000000000001</v>
      </c>
      <c r="AH152" s="6">
        <f>2340+734+285+75+400+175</f>
        <v>4009</v>
      </c>
      <c r="AI152" s="6">
        <f t="shared" si="218"/>
        <v>4.7014550928248876E-2</v>
      </c>
      <c r="AJ152" s="6">
        <f t="shared" si="219"/>
        <v>1.5970898143502256E-2</v>
      </c>
      <c r="AK152" s="6">
        <f t="shared" si="220"/>
        <v>3.0481685900652283E-2</v>
      </c>
      <c r="AL152" s="6">
        <f t="shared" si="221"/>
        <v>0.11966884094330156</v>
      </c>
      <c r="AM152" s="6">
        <f t="shared" si="222"/>
        <v>8.5800301053687907E-3</v>
      </c>
      <c r="AN152" s="6">
        <f t="shared" si="223"/>
        <v>2.0115403913697945</v>
      </c>
      <c r="AO152" s="7">
        <v>5</v>
      </c>
      <c r="AP152" s="7">
        <v>2</v>
      </c>
      <c r="AQ152" s="7">
        <v>0</v>
      </c>
      <c r="AR152" s="10">
        <v>0</v>
      </c>
      <c r="AS152" s="7">
        <v>0</v>
      </c>
      <c r="AT152" s="7">
        <v>0</v>
      </c>
      <c r="AU152" s="7">
        <v>0</v>
      </c>
      <c r="AV152" s="7">
        <v>0</v>
      </c>
      <c r="AW152" s="7">
        <v>31</v>
      </c>
      <c r="AX152" s="7">
        <v>1</v>
      </c>
      <c r="AY152" s="5">
        <v>8</v>
      </c>
      <c r="AZ152" s="7">
        <v>0</v>
      </c>
      <c r="BA152" s="7">
        <v>0</v>
      </c>
      <c r="BB152" s="7">
        <v>0</v>
      </c>
      <c r="BC152" s="7">
        <v>1</v>
      </c>
      <c r="BD152" s="7">
        <v>1</v>
      </c>
      <c r="BE152" s="7">
        <v>0</v>
      </c>
      <c r="BF152" s="7">
        <v>0</v>
      </c>
      <c r="BG152" s="7">
        <v>0</v>
      </c>
      <c r="BH152" s="7">
        <v>0</v>
      </c>
      <c r="BI152" s="7">
        <v>0</v>
      </c>
      <c r="BJ152" s="7">
        <v>0</v>
      </c>
    </row>
    <row r="153" spans="1:62" ht="20.100000000000001" customHeight="1" x14ac:dyDescent="0.3">
      <c r="A153" s="3" t="s">
        <v>16</v>
      </c>
      <c r="B153" s="3">
        <v>21</v>
      </c>
      <c r="C153" s="8">
        <v>44362</v>
      </c>
      <c r="D153" s="9">
        <v>0.28888888888888892</v>
      </c>
      <c r="E153" s="4">
        <v>70</v>
      </c>
      <c r="F153" s="3">
        <v>0</v>
      </c>
      <c r="G153" s="3">
        <v>0</v>
      </c>
      <c r="H153" s="3">
        <v>0</v>
      </c>
      <c r="I153" s="3">
        <v>0</v>
      </c>
      <c r="J153" s="9">
        <v>0.32569444444444445</v>
      </c>
      <c r="K153" s="3">
        <v>145.19999999999999</v>
      </c>
      <c r="L153" s="11">
        <f t="shared" ref="L153" si="268">K153-K152</f>
        <v>0.79999999999998295</v>
      </c>
      <c r="M153" s="5">
        <f t="shared" ref="M153" si="269">AB152</f>
        <v>1993</v>
      </c>
      <c r="N153" s="11">
        <v>31.5</v>
      </c>
      <c r="O153" s="11">
        <v>32.75</v>
      </c>
      <c r="P153" s="11">
        <v>10.5</v>
      </c>
      <c r="Q153" s="11">
        <v>10.625</v>
      </c>
      <c r="R153" s="11">
        <v>20.125</v>
      </c>
      <c r="S153" s="11">
        <v>20.125</v>
      </c>
      <c r="T153" s="11">
        <v>15</v>
      </c>
      <c r="U153" s="11">
        <v>15</v>
      </c>
      <c r="V153" s="11">
        <v>17</v>
      </c>
      <c r="W153" s="11">
        <v>15</v>
      </c>
      <c r="X153" s="11">
        <v>7</v>
      </c>
      <c r="Y153" s="11">
        <v>7</v>
      </c>
      <c r="Z153" s="3" t="s">
        <v>846</v>
      </c>
      <c r="AA153" s="10" t="s">
        <v>845</v>
      </c>
      <c r="AB153" s="5">
        <f>1050+436+40+80+60+350+140+110+190</f>
        <v>2456</v>
      </c>
      <c r="AC153" s="6">
        <f>33+46.2+3+5+0+11+2+0+4</f>
        <v>104.2</v>
      </c>
      <c r="AD153" s="6">
        <f>18+7.2+2+3.5+0+1.5+0+0+2.5</f>
        <v>34.700000000000003</v>
      </c>
      <c r="AE153" s="6">
        <f>42+1+4+6+0+0+6+0+7</f>
        <v>66</v>
      </c>
      <c r="AF153" s="6">
        <f>153+6+0+1+16+55+26+28+32</f>
        <v>317</v>
      </c>
      <c r="AG153" s="6">
        <f>15+0.6+0+0+2+3+4+0+0</f>
        <v>24.6</v>
      </c>
      <c r="AH153" s="6">
        <f>2340+734+200+190+300+570+210+175+100</f>
        <v>4819</v>
      </c>
      <c r="AI153" s="6">
        <f t="shared" si="218"/>
        <v>4.2426710097719873E-2</v>
      </c>
      <c r="AJ153" s="6">
        <f t="shared" si="219"/>
        <v>1.4128664495114008E-2</v>
      </c>
      <c r="AK153" s="6">
        <f t="shared" si="220"/>
        <v>2.6872964169381109E-2</v>
      </c>
      <c r="AL153" s="6">
        <f t="shared" si="221"/>
        <v>0.12907166123778502</v>
      </c>
      <c r="AM153" s="6">
        <f t="shared" si="222"/>
        <v>1.001628664495114E-2</v>
      </c>
      <c r="AN153" s="6">
        <f t="shared" si="223"/>
        <v>1.9621335504885993</v>
      </c>
      <c r="AO153" s="7">
        <v>4</v>
      </c>
      <c r="AP153" s="7">
        <v>1</v>
      </c>
      <c r="AQ153" s="7">
        <v>0</v>
      </c>
      <c r="AR153" s="10">
        <v>0</v>
      </c>
      <c r="AS153" s="7">
        <v>0</v>
      </c>
      <c r="AT153" s="7">
        <v>0</v>
      </c>
      <c r="AU153" s="7">
        <v>0</v>
      </c>
      <c r="AV153" s="7">
        <v>0</v>
      </c>
      <c r="AW153" s="7">
        <v>31</v>
      </c>
      <c r="AX153" s="7">
        <v>1</v>
      </c>
      <c r="AY153" s="5">
        <v>6</v>
      </c>
      <c r="AZ153" s="7">
        <v>0</v>
      </c>
      <c r="BA153" s="7">
        <v>0</v>
      </c>
      <c r="BB153" s="7">
        <v>0</v>
      </c>
      <c r="BC153" s="7">
        <v>1</v>
      </c>
      <c r="BD153" s="7">
        <v>1</v>
      </c>
      <c r="BE153" s="7">
        <v>0</v>
      </c>
      <c r="BF153" s="7">
        <v>0</v>
      </c>
      <c r="BG153" s="7">
        <v>0</v>
      </c>
      <c r="BH153" s="7">
        <v>0</v>
      </c>
      <c r="BI153" s="7">
        <v>0</v>
      </c>
      <c r="BJ153" s="7">
        <v>0</v>
      </c>
    </row>
    <row r="154" spans="1:62" ht="20.100000000000001" customHeight="1" x14ac:dyDescent="0.3">
      <c r="A154" s="3" t="s">
        <v>17</v>
      </c>
      <c r="B154" s="3">
        <v>22</v>
      </c>
      <c r="C154" s="8">
        <v>44363</v>
      </c>
      <c r="D154" s="9">
        <v>0.26874999999999999</v>
      </c>
      <c r="E154" s="4">
        <v>75</v>
      </c>
      <c r="F154" s="3">
        <v>0</v>
      </c>
      <c r="G154" s="3">
        <v>0</v>
      </c>
      <c r="H154" s="3">
        <v>0</v>
      </c>
      <c r="I154" s="3">
        <v>0</v>
      </c>
      <c r="J154" s="9">
        <v>0.29444444444444445</v>
      </c>
      <c r="K154" s="3">
        <v>146.4</v>
      </c>
      <c r="L154" s="11">
        <f t="shared" ref="L154" si="270">K154-K153</f>
        <v>1.2000000000000171</v>
      </c>
      <c r="M154" s="5">
        <f t="shared" ref="M154" si="271">AB153</f>
        <v>2456</v>
      </c>
      <c r="N154" s="11">
        <v>31.75</v>
      </c>
      <c r="O154" s="11">
        <v>32.75</v>
      </c>
      <c r="P154" s="11">
        <v>10.625</v>
      </c>
      <c r="Q154" s="11">
        <v>11</v>
      </c>
      <c r="R154" s="11">
        <v>20</v>
      </c>
      <c r="S154" s="11">
        <v>19.75</v>
      </c>
      <c r="T154" s="11">
        <v>15</v>
      </c>
      <c r="U154" s="11">
        <v>15</v>
      </c>
      <c r="V154" s="11">
        <v>16</v>
      </c>
      <c r="W154" s="11">
        <v>15</v>
      </c>
      <c r="X154" s="11">
        <v>7</v>
      </c>
      <c r="Y154" s="11">
        <v>7</v>
      </c>
      <c r="Z154" s="3" t="s">
        <v>847</v>
      </c>
      <c r="AA154" s="10" t="s">
        <v>850</v>
      </c>
      <c r="AB154" s="5">
        <f>200+160+90+280+991+180+142.5</f>
        <v>2043.5</v>
      </c>
      <c r="AC154" s="6">
        <f>2+10+0+4+83.5+0+3</f>
        <v>102.5</v>
      </c>
      <c r="AD154" s="6">
        <f>0+7+0+0+19+0+1.88</f>
        <v>27.88</v>
      </c>
      <c r="AE154" s="6">
        <f>32+12+0+12+13+0+5.25</f>
        <v>74.25</v>
      </c>
      <c r="AF154" s="6">
        <f>12+2+24+52+52.5+50+24</f>
        <v>216.5</v>
      </c>
      <c r="AG154" s="6">
        <f>8+0+3+0+9.5+0+0</f>
        <v>20.5</v>
      </c>
      <c r="AH154" s="6">
        <f>640+380+450+420+802+60+75</f>
        <v>2827</v>
      </c>
      <c r="AI154" s="6">
        <f t="shared" si="218"/>
        <v>5.0159040861267434E-2</v>
      </c>
      <c r="AJ154" s="6">
        <f t="shared" si="219"/>
        <v>1.3643259114264741E-2</v>
      </c>
      <c r="AK154" s="6">
        <f t="shared" si="220"/>
        <v>3.6334719843405923E-2</v>
      </c>
      <c r="AL154" s="6">
        <f t="shared" si="221"/>
        <v>0.10594568142892097</v>
      </c>
      <c r="AM154" s="6">
        <f t="shared" si="222"/>
        <v>1.0031808172253487E-2</v>
      </c>
      <c r="AN154" s="6">
        <f t="shared" si="223"/>
        <v>1.3834108147785662</v>
      </c>
      <c r="AO154" s="7">
        <v>5</v>
      </c>
      <c r="AP154" s="7">
        <v>1</v>
      </c>
      <c r="AQ154" s="7">
        <v>0</v>
      </c>
      <c r="AR154" s="10">
        <v>0</v>
      </c>
      <c r="AS154" s="7">
        <v>0</v>
      </c>
      <c r="AT154" s="7">
        <v>0</v>
      </c>
      <c r="AU154" s="7">
        <v>0</v>
      </c>
      <c r="AV154" s="7">
        <v>0</v>
      </c>
      <c r="AW154" s="7">
        <v>31</v>
      </c>
      <c r="AX154" s="7">
        <v>1</v>
      </c>
      <c r="AY154" s="5">
        <v>6.5</v>
      </c>
      <c r="AZ154" s="7">
        <v>0</v>
      </c>
      <c r="BA154" s="7">
        <v>0</v>
      </c>
      <c r="BB154" s="7">
        <v>0</v>
      </c>
      <c r="BC154" s="7">
        <v>1</v>
      </c>
      <c r="BD154" s="7">
        <v>1</v>
      </c>
      <c r="BE154" s="7">
        <v>0</v>
      </c>
      <c r="BF154" s="7">
        <v>0</v>
      </c>
      <c r="BG154" s="7">
        <v>0</v>
      </c>
      <c r="BH154" s="7">
        <v>0</v>
      </c>
      <c r="BI154" s="7">
        <v>0</v>
      </c>
      <c r="BJ154" s="7">
        <v>1</v>
      </c>
    </row>
    <row r="155" spans="1:62" ht="20.100000000000001" customHeight="1" x14ac:dyDescent="0.3">
      <c r="A155" s="3" t="s">
        <v>18</v>
      </c>
      <c r="B155" s="3">
        <v>0</v>
      </c>
      <c r="C155" s="8">
        <v>44364</v>
      </c>
      <c r="D155" s="9">
        <v>0.29583333333333334</v>
      </c>
      <c r="E155" s="4">
        <v>71</v>
      </c>
      <c r="F155" s="3">
        <v>0</v>
      </c>
      <c r="G155" s="3">
        <v>0</v>
      </c>
      <c r="H155" s="3">
        <v>0</v>
      </c>
      <c r="I155" s="3">
        <v>0</v>
      </c>
      <c r="J155" s="9">
        <v>0.48819444444444443</v>
      </c>
      <c r="K155" s="3">
        <v>143.4</v>
      </c>
      <c r="L155" s="11">
        <f t="shared" ref="L155" si="272">K155-K154</f>
        <v>-3</v>
      </c>
      <c r="M155" s="5">
        <f t="shared" ref="M155" si="273">AB154</f>
        <v>2043.5</v>
      </c>
      <c r="N155" s="11">
        <v>30.625</v>
      </c>
      <c r="O155" s="11">
        <v>31.625</v>
      </c>
      <c r="P155" s="11">
        <v>10.625</v>
      </c>
      <c r="Q155" s="11">
        <v>10.625</v>
      </c>
      <c r="R155" s="11">
        <v>19.75</v>
      </c>
      <c r="S155" s="11">
        <v>19.75</v>
      </c>
      <c r="T155" s="11">
        <v>15</v>
      </c>
      <c r="U155" s="11">
        <v>13</v>
      </c>
      <c r="V155" s="11">
        <v>15</v>
      </c>
      <c r="W155" s="11">
        <v>15</v>
      </c>
      <c r="X155" s="11">
        <v>7</v>
      </c>
      <c r="Y155" s="11">
        <v>7</v>
      </c>
      <c r="Z155" s="3" t="s">
        <v>852</v>
      </c>
      <c r="AA155" s="10" t="s">
        <v>853</v>
      </c>
      <c r="AB155" s="5">
        <f>100+40+60+140+625+90+410+120+80</f>
        <v>1665</v>
      </c>
      <c r="AC155" s="6">
        <f>1+2.5+0+2+12.5+3.5+14+0+5</f>
        <v>40.5</v>
      </c>
      <c r="AD155" s="6">
        <f>0+1.75+0+0+6.25+1+8+0+3.5</f>
        <v>20.5</v>
      </c>
      <c r="AE155" s="6">
        <f>16+3+0+6+25+3+12+0+6</f>
        <v>71</v>
      </c>
      <c r="AF155" s="6">
        <f>6+0.5+16+26+105+12+60+32+1</f>
        <v>258.5</v>
      </c>
      <c r="AG155" s="6">
        <f>4+0+2+4+2.5+3+0+4+0</f>
        <v>19.5</v>
      </c>
      <c r="AH155" s="6">
        <f>320+95+300+210+850+460+340+600+190</f>
        <v>3365</v>
      </c>
      <c r="AI155" s="6">
        <f t="shared" si="218"/>
        <v>2.4324324324324326E-2</v>
      </c>
      <c r="AJ155" s="6">
        <f t="shared" si="219"/>
        <v>1.2312312312312312E-2</v>
      </c>
      <c r="AK155" s="6">
        <f t="shared" si="220"/>
        <v>4.2642642642642642E-2</v>
      </c>
      <c r="AL155" s="6">
        <f t="shared" si="221"/>
        <v>0.15525525525525524</v>
      </c>
      <c r="AM155" s="6">
        <f t="shared" si="222"/>
        <v>1.1711711711711712E-2</v>
      </c>
      <c r="AN155" s="6">
        <f t="shared" si="223"/>
        <v>2.0210210210210211</v>
      </c>
      <c r="AO155" s="7">
        <v>5</v>
      </c>
      <c r="AP155" s="7">
        <v>2</v>
      </c>
      <c r="AQ155" s="7">
        <v>1</v>
      </c>
      <c r="AR155" s="10">
        <v>0</v>
      </c>
      <c r="AS155" s="7">
        <v>0</v>
      </c>
      <c r="AT155" s="7">
        <v>0</v>
      </c>
      <c r="AU155" s="7">
        <v>0</v>
      </c>
      <c r="AV155" s="7">
        <v>0</v>
      </c>
      <c r="AW155" s="7">
        <v>31</v>
      </c>
      <c r="AX155" s="7">
        <v>1</v>
      </c>
      <c r="AY155" s="5">
        <v>8.25</v>
      </c>
      <c r="AZ155" s="7">
        <v>0</v>
      </c>
      <c r="BA155" s="7">
        <v>0</v>
      </c>
      <c r="BB155" s="7">
        <v>0</v>
      </c>
      <c r="BC155" s="7">
        <v>1</v>
      </c>
      <c r="BD155" s="7">
        <v>1</v>
      </c>
      <c r="BE155" s="7">
        <v>0</v>
      </c>
      <c r="BF155" s="7">
        <v>1</v>
      </c>
      <c r="BG155" s="7">
        <v>15</v>
      </c>
      <c r="BH155" s="7">
        <v>0</v>
      </c>
      <c r="BI155" s="7">
        <v>0</v>
      </c>
      <c r="BJ155" s="7">
        <v>1</v>
      </c>
    </row>
    <row r="156" spans="1:62" ht="20.100000000000001" customHeight="1" x14ac:dyDescent="0.3">
      <c r="A156" s="3" t="s">
        <v>137</v>
      </c>
      <c r="B156" s="3">
        <v>1</v>
      </c>
      <c r="C156" s="8">
        <v>44365</v>
      </c>
      <c r="D156" s="9">
        <v>0.26111111111111113</v>
      </c>
      <c r="E156" s="4">
        <v>70</v>
      </c>
      <c r="F156" s="3">
        <v>0</v>
      </c>
      <c r="G156" s="3">
        <v>0</v>
      </c>
      <c r="H156" s="3">
        <v>0</v>
      </c>
      <c r="I156" s="3">
        <v>0</v>
      </c>
      <c r="J156" s="9">
        <v>0.30138888888888887</v>
      </c>
      <c r="K156" s="3">
        <v>143.4</v>
      </c>
      <c r="L156" s="11">
        <f t="shared" ref="L156" si="274">K156-K155</f>
        <v>0</v>
      </c>
      <c r="M156" s="5">
        <f t="shared" ref="M156" si="275">AB155</f>
        <v>1665</v>
      </c>
      <c r="N156" s="11">
        <v>31.875</v>
      </c>
      <c r="O156" s="11">
        <v>32.25</v>
      </c>
      <c r="P156" s="11">
        <v>10.625</v>
      </c>
      <c r="Q156" s="11">
        <v>10.875</v>
      </c>
      <c r="R156" s="11">
        <v>20</v>
      </c>
      <c r="S156" s="11">
        <v>20.25</v>
      </c>
      <c r="T156" s="11">
        <v>16</v>
      </c>
      <c r="U156" s="11">
        <v>15</v>
      </c>
      <c r="V156" s="11">
        <v>16</v>
      </c>
      <c r="W156" s="11">
        <v>16</v>
      </c>
      <c r="X156" s="11">
        <v>7</v>
      </c>
      <c r="Y156" s="11">
        <v>7</v>
      </c>
      <c r="Z156" s="3" t="s">
        <v>855</v>
      </c>
      <c r="AA156" s="10" t="s">
        <v>854</v>
      </c>
      <c r="AB156" s="5">
        <f>250+45+80+30+70+277+140</f>
        <v>892</v>
      </c>
      <c r="AC156" s="6">
        <f>5+1.75+5+2.25+5+5.59+7</f>
        <v>31.59</v>
      </c>
      <c r="AD156" s="6">
        <f>2.5+1+4+2+4+1+5</f>
        <v>19.5</v>
      </c>
      <c r="AE156" s="6">
        <f>10+2+6+3+1+9+2</f>
        <v>33</v>
      </c>
      <c r="AF156" s="6">
        <f>42+6+1+0+4+48+18</f>
        <v>119</v>
      </c>
      <c r="AG156" s="6">
        <f>1+2+0+0+0+4+2</f>
        <v>9</v>
      </c>
      <c r="AH156" s="6">
        <f>340+230+190+150+20+451+90</f>
        <v>1471</v>
      </c>
      <c r="AI156" s="6">
        <f t="shared" si="218"/>
        <v>3.5414798206278027E-2</v>
      </c>
      <c r="AJ156" s="6">
        <f t="shared" si="219"/>
        <v>2.1860986547085202E-2</v>
      </c>
      <c r="AK156" s="6">
        <f t="shared" si="220"/>
        <v>3.6995515695067267E-2</v>
      </c>
      <c r="AL156" s="6">
        <f t="shared" si="221"/>
        <v>0.13340807174887892</v>
      </c>
      <c r="AM156" s="6">
        <f t="shared" si="222"/>
        <v>1.0089686098654708E-2</v>
      </c>
      <c r="AN156" s="6">
        <f t="shared" si="223"/>
        <v>1.649103139013453</v>
      </c>
      <c r="AO156" s="7">
        <v>4</v>
      </c>
      <c r="AP156" s="7">
        <v>1</v>
      </c>
      <c r="AQ156" s="7">
        <v>1</v>
      </c>
      <c r="AR156" s="10">
        <v>0</v>
      </c>
      <c r="AS156" s="7">
        <v>0</v>
      </c>
      <c r="AT156" s="7">
        <v>0</v>
      </c>
      <c r="AU156" s="7">
        <v>0</v>
      </c>
      <c r="AV156" s="7">
        <v>0</v>
      </c>
      <c r="AW156" s="7">
        <v>31</v>
      </c>
      <c r="AX156" s="7">
        <v>1</v>
      </c>
      <c r="AY156" s="5">
        <v>6</v>
      </c>
      <c r="AZ156" s="7">
        <v>0</v>
      </c>
      <c r="BA156" s="7">
        <v>1</v>
      </c>
      <c r="BB156" s="7">
        <v>0</v>
      </c>
      <c r="BC156" s="7">
        <v>1</v>
      </c>
      <c r="BD156" s="7">
        <v>1</v>
      </c>
      <c r="BE156" s="7">
        <v>0</v>
      </c>
      <c r="BF156" s="7">
        <v>0</v>
      </c>
      <c r="BG156" s="7">
        <v>0</v>
      </c>
      <c r="BH156" s="7">
        <v>0</v>
      </c>
      <c r="BI156" s="7">
        <v>0</v>
      </c>
      <c r="BJ156" s="7">
        <v>1</v>
      </c>
    </row>
    <row r="157" spans="1:62" ht="20.100000000000001" customHeight="1" x14ac:dyDescent="0.3">
      <c r="A157" s="3" t="s">
        <v>19</v>
      </c>
      <c r="B157" s="3">
        <v>2</v>
      </c>
      <c r="C157" s="8">
        <v>44366</v>
      </c>
      <c r="D157" s="9">
        <v>0.2638888888888889</v>
      </c>
      <c r="E157" s="4">
        <v>66</v>
      </c>
      <c r="F157" s="3">
        <v>0</v>
      </c>
      <c r="G157" s="3">
        <v>0</v>
      </c>
      <c r="H157" s="3">
        <v>0</v>
      </c>
      <c r="I157" s="3">
        <v>0</v>
      </c>
      <c r="J157" s="9">
        <v>0.27916666666666667</v>
      </c>
      <c r="K157" s="3">
        <v>140</v>
      </c>
      <c r="L157" s="11">
        <f t="shared" ref="L157" si="276">K157-K156</f>
        <v>-3.4000000000000057</v>
      </c>
      <c r="M157" s="5">
        <f t="shared" ref="M157" si="277">AB156</f>
        <v>892</v>
      </c>
      <c r="N157" s="11">
        <v>30.5</v>
      </c>
      <c r="O157" s="11">
        <v>32.25</v>
      </c>
      <c r="P157" s="11">
        <v>10.75</v>
      </c>
      <c r="Q157" s="11">
        <v>10.75</v>
      </c>
      <c r="R157" s="11">
        <v>19.75</v>
      </c>
      <c r="S157" s="11">
        <v>19.75</v>
      </c>
      <c r="T157" s="11">
        <v>15</v>
      </c>
      <c r="U157" s="11">
        <v>13</v>
      </c>
      <c r="V157" s="11">
        <v>16</v>
      </c>
      <c r="W157" s="11">
        <v>16</v>
      </c>
      <c r="X157" s="11">
        <v>7</v>
      </c>
      <c r="Y157" s="11">
        <v>7</v>
      </c>
      <c r="Z157" s="3" t="s">
        <v>860</v>
      </c>
      <c r="AA157" s="10" t="s">
        <v>861</v>
      </c>
      <c r="AB157" s="5">
        <f>140+180+100+900+285+250+80+8.5+6.25+40</f>
        <v>1989.75</v>
      </c>
      <c r="AC157" s="6">
        <f>2+15+0+45+6+5+5+0+0+0.2</f>
        <v>78.2</v>
      </c>
      <c r="AD157" s="6">
        <f>0+2.5+0+10+3.75+2.5+3.5+0+0+0.1</f>
        <v>22.35</v>
      </c>
      <c r="AE157" s="6">
        <f>6+7+0+10+10.5+10+6+0+0+0.6</f>
        <v>50.1</v>
      </c>
      <c r="AF157" s="6">
        <f>26+8+26+110+48+42+1+36+1.5+10.1</f>
        <v>308.60000000000002</v>
      </c>
      <c r="AG157" s="6">
        <f>4+2+0+0+0+1+0+0+0.25+1.4</f>
        <v>8.65</v>
      </c>
      <c r="AH157" s="6">
        <f>210+135+0+850+150+340+190+1+0+2</f>
        <v>1878</v>
      </c>
      <c r="AI157" s="6">
        <f t="shared" si="218"/>
        <v>3.9301419776353812E-2</v>
      </c>
      <c r="AJ157" s="6">
        <f t="shared" si="219"/>
        <v>1.1232566905390125E-2</v>
      </c>
      <c r="AK157" s="6">
        <f t="shared" si="220"/>
        <v>2.5179042593290617E-2</v>
      </c>
      <c r="AL157" s="6">
        <f t="shared" si="221"/>
        <v>0.15509486116346277</v>
      </c>
      <c r="AM157" s="6">
        <f t="shared" si="222"/>
        <v>4.3472798090212336E-3</v>
      </c>
      <c r="AN157" s="6">
        <f t="shared" si="223"/>
        <v>0.94383716547304941</v>
      </c>
      <c r="AO157" s="7">
        <v>5</v>
      </c>
      <c r="AP157" s="7">
        <v>2</v>
      </c>
      <c r="AQ157" s="7">
        <v>1</v>
      </c>
      <c r="AR157" s="10">
        <v>0</v>
      </c>
      <c r="AS157" s="7">
        <v>0</v>
      </c>
      <c r="AT157" s="7">
        <v>0</v>
      </c>
      <c r="AU157" s="7">
        <v>0</v>
      </c>
      <c r="AV157" s="7">
        <v>0</v>
      </c>
      <c r="AW157" s="7">
        <v>31</v>
      </c>
      <c r="AX157" s="7">
        <v>1</v>
      </c>
      <c r="AY157" s="5">
        <v>6.5</v>
      </c>
      <c r="AZ157" s="7">
        <v>0</v>
      </c>
      <c r="BA157" s="7">
        <v>0</v>
      </c>
      <c r="BB157" s="7">
        <v>0</v>
      </c>
      <c r="BC157" s="7">
        <v>1</v>
      </c>
      <c r="BD157" s="7">
        <v>1</v>
      </c>
      <c r="BE157" s="7">
        <v>0</v>
      </c>
      <c r="BF157" s="7">
        <v>0</v>
      </c>
      <c r="BG157" s="7">
        <v>0</v>
      </c>
      <c r="BH157" s="7">
        <v>0</v>
      </c>
      <c r="BI157" s="7">
        <v>0</v>
      </c>
      <c r="BJ157" s="7">
        <v>1</v>
      </c>
    </row>
    <row r="158" spans="1:62" ht="20.100000000000001" customHeight="1" x14ac:dyDescent="0.3">
      <c r="A158" s="3" t="s">
        <v>23</v>
      </c>
      <c r="B158" s="3">
        <v>3</v>
      </c>
      <c r="C158" s="8">
        <v>44367</v>
      </c>
      <c r="D158" s="9">
        <v>0.2638888888888889</v>
      </c>
      <c r="E158" s="4">
        <v>66</v>
      </c>
      <c r="F158" s="3">
        <v>0</v>
      </c>
      <c r="G158" s="3">
        <v>0</v>
      </c>
      <c r="H158" s="3">
        <v>0</v>
      </c>
      <c r="I158" s="3">
        <v>0</v>
      </c>
      <c r="J158" s="9">
        <v>0.31111111111111112</v>
      </c>
      <c r="K158" s="3">
        <v>138.80000000000001</v>
      </c>
      <c r="L158" s="11">
        <f t="shared" ref="L158" si="278">K158-K157</f>
        <v>-1.1999999999999886</v>
      </c>
      <c r="M158" s="5">
        <f t="shared" ref="M158" si="279">AB157</f>
        <v>1989.75</v>
      </c>
      <c r="N158" s="11">
        <v>30</v>
      </c>
      <c r="O158" s="11">
        <v>31.5</v>
      </c>
      <c r="P158" s="11">
        <v>10.5</v>
      </c>
      <c r="Q158" s="11">
        <v>10.625</v>
      </c>
      <c r="R158" s="11">
        <v>19.5</v>
      </c>
      <c r="S158" s="11">
        <v>19.5</v>
      </c>
      <c r="T158" s="11">
        <v>15</v>
      </c>
      <c r="U158" s="11">
        <v>12</v>
      </c>
      <c r="V158" s="11">
        <v>16</v>
      </c>
      <c r="W158" s="11">
        <v>17</v>
      </c>
      <c r="X158" s="11">
        <v>7</v>
      </c>
      <c r="Y158" s="11">
        <v>7</v>
      </c>
      <c r="Z158" s="3" t="s">
        <v>862</v>
      </c>
      <c r="AA158" s="10" t="s">
        <v>871</v>
      </c>
      <c r="AB158" s="5">
        <f>285+900+500+90+240+280+145+120+15+105</f>
        <v>2680</v>
      </c>
      <c r="AC158" s="6">
        <f>6+45+10+3.5+15+10+15.4+10+0.25+0</f>
        <v>115.15</v>
      </c>
      <c r="AD158" s="6">
        <f>3.75+10+5+1+10.5+0+2.4+7+0+0</f>
        <v>39.65</v>
      </c>
      <c r="AE158" s="6">
        <f>10.5+10+20+3+18+4+0.33+2+0.5+1</f>
        <v>69.33</v>
      </c>
      <c r="AF158" s="6">
        <f>48+110+84+12+3+44+2+4+2.5+27</f>
        <v>336.5</v>
      </c>
      <c r="AG158" s="6">
        <f>0+0+2+3+0+4+0.2+0+0.5+3</f>
        <v>12.7</v>
      </c>
      <c r="AH158" s="6">
        <f>150+850+680+460+570+480+244.67+30+125+1</f>
        <v>3590.67</v>
      </c>
      <c r="AI158" s="6">
        <f t="shared" si="218"/>
        <v>4.2966417910447766E-2</v>
      </c>
      <c r="AJ158" s="6">
        <f t="shared" si="219"/>
        <v>1.4794776119402985E-2</v>
      </c>
      <c r="AK158" s="6">
        <f t="shared" si="220"/>
        <v>2.5869402985074626E-2</v>
      </c>
      <c r="AL158" s="6">
        <f t="shared" si="221"/>
        <v>0.12555970149253731</v>
      </c>
      <c r="AM158" s="6">
        <f t="shared" si="222"/>
        <v>4.738805970149253E-3</v>
      </c>
      <c r="AN158" s="6">
        <f t="shared" si="223"/>
        <v>1.3398022388059703</v>
      </c>
      <c r="AO158" s="7">
        <v>5</v>
      </c>
      <c r="AP158" s="7">
        <v>1</v>
      </c>
      <c r="AQ158" s="7">
        <v>1</v>
      </c>
      <c r="AR158" s="10">
        <v>0</v>
      </c>
      <c r="AS158" s="7">
        <v>0</v>
      </c>
      <c r="AT158" s="7">
        <v>0</v>
      </c>
      <c r="AU158" s="7">
        <v>0</v>
      </c>
      <c r="AV158" s="7">
        <v>0</v>
      </c>
      <c r="AW158" s="7">
        <v>31</v>
      </c>
      <c r="AX158" s="7">
        <v>1</v>
      </c>
      <c r="AY158" s="5">
        <v>8</v>
      </c>
      <c r="AZ158" s="7">
        <v>0</v>
      </c>
      <c r="BA158" s="7">
        <v>0</v>
      </c>
      <c r="BB158" s="7">
        <v>0</v>
      </c>
      <c r="BC158" s="7">
        <v>1</v>
      </c>
      <c r="BD158" s="7">
        <v>1</v>
      </c>
      <c r="BE158" s="7">
        <v>0</v>
      </c>
      <c r="BF158" s="7">
        <v>0</v>
      </c>
      <c r="BG158" s="7">
        <v>0</v>
      </c>
      <c r="BH158" s="7">
        <v>0</v>
      </c>
      <c r="BI158" s="7">
        <v>0</v>
      </c>
      <c r="BJ158" s="7">
        <v>1</v>
      </c>
    </row>
    <row r="159" spans="1:62" ht="20.100000000000001" customHeight="1" x14ac:dyDescent="0.3">
      <c r="A159" s="3" t="s">
        <v>15</v>
      </c>
      <c r="B159" s="3">
        <v>4</v>
      </c>
      <c r="C159" s="8">
        <v>44368</v>
      </c>
      <c r="D159" s="9">
        <v>0.29166666666666669</v>
      </c>
      <c r="E159" s="4">
        <v>63</v>
      </c>
      <c r="F159" s="3">
        <v>0</v>
      </c>
      <c r="G159" s="3">
        <v>0</v>
      </c>
      <c r="H159" s="3">
        <v>0</v>
      </c>
      <c r="I159" s="3">
        <v>0</v>
      </c>
      <c r="J159" s="9">
        <v>0.29444444444444445</v>
      </c>
      <c r="K159" s="3">
        <v>140.4</v>
      </c>
      <c r="L159" s="11">
        <f t="shared" ref="L159" si="280">K159-K158</f>
        <v>1.5999999999999943</v>
      </c>
      <c r="M159" s="5">
        <f t="shared" ref="M159" si="281">AB158</f>
        <v>2680</v>
      </c>
      <c r="N159" s="11">
        <v>30.5</v>
      </c>
      <c r="O159" s="11">
        <v>31.25</v>
      </c>
      <c r="P159" s="11">
        <v>10.625</v>
      </c>
      <c r="Q159" s="11">
        <v>10.75</v>
      </c>
      <c r="R159" s="11">
        <v>19.75</v>
      </c>
      <c r="S159" s="11">
        <v>19.5</v>
      </c>
      <c r="T159" s="11">
        <v>15</v>
      </c>
      <c r="U159" s="11">
        <v>12</v>
      </c>
      <c r="V159" s="11">
        <v>16</v>
      </c>
      <c r="W159" s="11">
        <v>15</v>
      </c>
      <c r="X159" s="11">
        <v>7</v>
      </c>
      <c r="Y159" s="11">
        <v>7</v>
      </c>
      <c r="Z159" s="3" t="s">
        <v>870</v>
      </c>
      <c r="AA159" s="10" t="s">
        <v>872</v>
      </c>
      <c r="AB159" s="5">
        <f>1550+436+285+200+270+50+280+180+30+80+180+30+80+140+105</f>
        <v>3896</v>
      </c>
      <c r="AC159" s="6">
        <f>75+46.2+6+7+13.5+3+10+15+0.5+5+15+0.5+5+7+0</f>
        <v>208.7</v>
      </c>
      <c r="AD159" s="6">
        <f>40+7.2+3.75+2.5+9+3+0+10.5+0+3.5+10.5+0+3.5+5+0</f>
        <v>98.45</v>
      </c>
      <c r="AE159" s="6">
        <f>75+1+10.5+4+4.5+0+4+3+1+6+3+1+6+2+1</f>
        <v>122</v>
      </c>
      <c r="AF159" s="6">
        <f>140+6+48+32+33+6+44+6+5+1+6+5+1+18+27</f>
        <v>378</v>
      </c>
      <c r="AG159" s="6">
        <f>5+0.6+0+1+1.5+0+4+0+1+0+0+1+0+2+3</f>
        <v>19.100000000000001</v>
      </c>
      <c r="AH159" s="6">
        <f>3150+734+150+370+82.5+0+480+45+250+190+45+250+190+90+1</f>
        <v>6027.5</v>
      </c>
      <c r="AI159" s="6">
        <f t="shared" si="218"/>
        <v>5.3567761806981515E-2</v>
      </c>
      <c r="AJ159" s="6">
        <f t="shared" si="219"/>
        <v>2.5269507186858317E-2</v>
      </c>
      <c r="AK159" s="6">
        <f t="shared" si="220"/>
        <v>3.1314168377823408E-2</v>
      </c>
      <c r="AL159" s="6">
        <f t="shared" si="221"/>
        <v>9.7022587268993835E-2</v>
      </c>
      <c r="AM159" s="6">
        <f t="shared" si="222"/>
        <v>4.9024640657084192E-3</v>
      </c>
      <c r="AN159" s="6">
        <f t="shared" si="223"/>
        <v>1.547099589322382</v>
      </c>
      <c r="AO159" s="7">
        <v>4</v>
      </c>
      <c r="AP159" s="7">
        <v>2</v>
      </c>
      <c r="AQ159" s="7">
        <v>1</v>
      </c>
      <c r="AR159" s="10">
        <v>0</v>
      </c>
      <c r="AS159" s="7">
        <v>0</v>
      </c>
      <c r="AT159" s="7">
        <v>0</v>
      </c>
      <c r="AU159" s="7">
        <v>0</v>
      </c>
      <c r="AV159" s="7">
        <v>0</v>
      </c>
      <c r="AW159" s="7">
        <v>31</v>
      </c>
      <c r="AX159" s="7">
        <v>1</v>
      </c>
      <c r="AY159" s="5">
        <v>7</v>
      </c>
      <c r="AZ159" s="7">
        <v>0</v>
      </c>
      <c r="BA159" s="7">
        <v>0</v>
      </c>
      <c r="BB159" s="7">
        <v>0</v>
      </c>
      <c r="BC159" s="7">
        <v>1</v>
      </c>
      <c r="BD159" s="7">
        <v>1</v>
      </c>
      <c r="BE159" s="7">
        <v>0</v>
      </c>
      <c r="BF159" s="7">
        <v>0</v>
      </c>
      <c r="BG159" s="7">
        <v>0</v>
      </c>
      <c r="BH159" s="7">
        <v>0</v>
      </c>
      <c r="BI159" s="7">
        <v>0</v>
      </c>
      <c r="BJ159" s="7">
        <v>1</v>
      </c>
    </row>
    <row r="160" spans="1:62" ht="20.100000000000001" customHeight="1" x14ac:dyDescent="0.3">
      <c r="A160" s="3" t="s">
        <v>16</v>
      </c>
      <c r="B160" s="3">
        <v>5</v>
      </c>
      <c r="C160" s="8">
        <v>44369</v>
      </c>
      <c r="D160" s="9">
        <v>0.30555555555555552</v>
      </c>
      <c r="E160" s="4">
        <v>63</v>
      </c>
      <c r="F160" s="3">
        <v>0</v>
      </c>
      <c r="G160" s="3">
        <v>0</v>
      </c>
      <c r="H160" s="3">
        <v>0</v>
      </c>
      <c r="I160" s="3">
        <v>0</v>
      </c>
      <c r="J160" s="9">
        <v>0.36527777777777781</v>
      </c>
      <c r="K160" s="3">
        <v>143.4</v>
      </c>
      <c r="L160" s="11">
        <f t="shared" ref="L160" si="282">K160-K159</f>
        <v>3</v>
      </c>
      <c r="M160" s="5">
        <f t="shared" ref="M160" si="283">AB159</f>
        <v>3896</v>
      </c>
      <c r="N160" s="11">
        <v>31</v>
      </c>
      <c r="O160" s="11">
        <v>32.25</v>
      </c>
      <c r="P160" s="11">
        <v>10.625</v>
      </c>
      <c r="Q160" s="11">
        <v>10.75</v>
      </c>
      <c r="R160" s="11">
        <v>19.75</v>
      </c>
      <c r="S160" s="11">
        <v>19.625</v>
      </c>
      <c r="T160" s="11">
        <v>15</v>
      </c>
      <c r="U160" s="11">
        <v>12</v>
      </c>
      <c r="V160" s="11">
        <v>15</v>
      </c>
      <c r="W160" s="11">
        <v>15</v>
      </c>
      <c r="X160" s="11">
        <v>7</v>
      </c>
      <c r="Y160" s="11">
        <v>7</v>
      </c>
      <c r="Z160" s="3" t="s">
        <v>874</v>
      </c>
      <c r="AA160" s="10" t="s">
        <v>873</v>
      </c>
      <c r="AB160" s="5">
        <f>200+270+50+720+218+60+200</f>
        <v>1718</v>
      </c>
      <c r="AC160" s="6">
        <f>7+13.5+3+38.25+23.1+4.25+7</f>
        <v>96.1</v>
      </c>
      <c r="AD160" s="6">
        <f>2.5+9+3+15.75+3.6+0+2.5</f>
        <v>36.35</v>
      </c>
      <c r="AE160" s="6">
        <f>4+4.5+0+27+0.5+1+4</f>
        <v>41</v>
      </c>
      <c r="AF160" s="6">
        <f>32+33+6+65.25+3+11+32</f>
        <v>182.25</v>
      </c>
      <c r="AG160" s="6">
        <f>1+1.5+0+4.5+0.3+0.5+1</f>
        <v>8.8000000000000007</v>
      </c>
      <c r="AH160" s="6">
        <f>370+82.5+0+1080+367+80+370</f>
        <v>2349.5</v>
      </c>
      <c r="AI160" s="6">
        <f t="shared" si="218"/>
        <v>5.5937136204889402E-2</v>
      </c>
      <c r="AJ160" s="6">
        <f t="shared" si="219"/>
        <v>2.1158323632130386E-2</v>
      </c>
      <c r="AK160" s="6">
        <f t="shared" si="220"/>
        <v>2.3864959254947613E-2</v>
      </c>
      <c r="AL160" s="6">
        <f t="shared" si="221"/>
        <v>0.1060826542491269</v>
      </c>
      <c r="AM160" s="6">
        <f t="shared" si="222"/>
        <v>5.1222351571594878E-3</v>
      </c>
      <c r="AN160" s="6">
        <f t="shared" si="223"/>
        <v>1.3675785797438882</v>
      </c>
      <c r="AO160" s="7">
        <v>4</v>
      </c>
      <c r="AP160" s="7">
        <v>1</v>
      </c>
      <c r="AQ160" s="7">
        <v>0</v>
      </c>
      <c r="AR160" s="10">
        <v>0</v>
      </c>
      <c r="AS160" s="7">
        <v>0</v>
      </c>
      <c r="AT160" s="7">
        <v>0</v>
      </c>
      <c r="AU160" s="7">
        <v>0</v>
      </c>
      <c r="AV160" s="7">
        <v>0</v>
      </c>
      <c r="AW160" s="7">
        <v>31</v>
      </c>
      <c r="AX160" s="7">
        <v>1</v>
      </c>
      <c r="AY160" s="5">
        <v>6.3</v>
      </c>
      <c r="AZ160" s="7">
        <v>0</v>
      </c>
      <c r="BA160" s="7">
        <v>1</v>
      </c>
      <c r="BB160" s="7">
        <v>0</v>
      </c>
      <c r="BC160" s="7">
        <v>1</v>
      </c>
      <c r="BD160" s="7">
        <v>1</v>
      </c>
      <c r="BE160" s="7">
        <v>0</v>
      </c>
      <c r="BF160" s="7">
        <v>1</v>
      </c>
      <c r="BG160" s="7">
        <v>20</v>
      </c>
      <c r="BH160" s="7">
        <v>0</v>
      </c>
      <c r="BI160" s="7">
        <v>0</v>
      </c>
      <c r="BJ160" s="7">
        <v>1</v>
      </c>
    </row>
    <row r="161" spans="1:62" ht="20.100000000000001" customHeight="1" x14ac:dyDescent="0.3">
      <c r="A161" s="3" t="s">
        <v>17</v>
      </c>
      <c r="B161" s="3">
        <v>6</v>
      </c>
      <c r="C161" s="8">
        <v>44370</v>
      </c>
      <c r="D161" s="9">
        <v>0.3263888888888889</v>
      </c>
      <c r="E161" s="4">
        <v>67</v>
      </c>
      <c r="F161" s="3">
        <v>0</v>
      </c>
      <c r="G161" s="3">
        <v>0</v>
      </c>
      <c r="H161" s="3">
        <v>0</v>
      </c>
      <c r="I161" s="3">
        <v>0</v>
      </c>
      <c r="J161" s="9">
        <v>0.32291666666666669</v>
      </c>
      <c r="K161" s="3">
        <v>141.6</v>
      </c>
      <c r="L161" s="11">
        <f t="shared" ref="L161" si="284">K161-K160</f>
        <v>-1.8000000000000114</v>
      </c>
      <c r="M161" s="5">
        <f t="shared" ref="M161" si="285">AB160</f>
        <v>1718</v>
      </c>
      <c r="N161" s="11">
        <v>30.5</v>
      </c>
      <c r="O161" s="11">
        <v>31.75</v>
      </c>
      <c r="P161" s="11">
        <v>10.625</v>
      </c>
      <c r="Q161" s="11">
        <v>10.5</v>
      </c>
      <c r="R161" s="11">
        <v>19.75</v>
      </c>
      <c r="S161" s="11">
        <v>19.875</v>
      </c>
      <c r="T161" s="11">
        <v>15</v>
      </c>
      <c r="U161" s="11">
        <v>15</v>
      </c>
      <c r="V161" s="11">
        <v>17</v>
      </c>
      <c r="W161" s="11">
        <v>17</v>
      </c>
      <c r="X161" s="11">
        <v>7</v>
      </c>
      <c r="Y161" s="11">
        <v>7</v>
      </c>
      <c r="Z161" s="3" t="s">
        <v>875</v>
      </c>
      <c r="AA161" s="10" t="s">
        <v>876</v>
      </c>
      <c r="AB161" s="5">
        <f>200+160+180+30+554.5+40+153+140+390+60+80+200+37.5+240</f>
        <v>2465</v>
      </c>
      <c r="AC161" s="6">
        <f>2+10+15+0.5+11.18+4.5+15.3+6+13.5+1+5+7+2.25+12.75</f>
        <v>105.98</v>
      </c>
      <c r="AD161" s="6">
        <f>0+7+10.5+0+2.15+1+9.6+0+7.5+0+3.5+2.5+2.25+5.25</f>
        <v>51.25</v>
      </c>
      <c r="AE161" s="6">
        <f>4+12+3+1+17.8+0+3.3+0+16.5+2+6+4+0+9</f>
        <v>78.599999999999994</v>
      </c>
      <c r="AF161" s="6">
        <f>42+2+6+5+96.55+0+1.2+20+49.5+10+1+32+4.5+21.75</f>
        <v>291.5</v>
      </c>
      <c r="AG161" s="6">
        <f>4+0+0+1+8.35+0+0+0+3+2+0+1+0+1.5</f>
        <v>20.85</v>
      </c>
      <c r="AH161" s="6">
        <f>40+380+45+250+901+40+129+60+690+500+190+370+0+360</f>
        <v>3955</v>
      </c>
      <c r="AI161" s="6">
        <f t="shared" si="218"/>
        <v>4.2993914807302233E-2</v>
      </c>
      <c r="AJ161" s="6">
        <f t="shared" si="219"/>
        <v>2.0791075050709939E-2</v>
      </c>
      <c r="AK161" s="6">
        <f t="shared" si="220"/>
        <v>3.1886409736308317E-2</v>
      </c>
      <c r="AL161" s="6">
        <f t="shared" si="221"/>
        <v>0.11825557809330629</v>
      </c>
      <c r="AM161" s="6">
        <f t="shared" si="222"/>
        <v>8.4584178498985814E-3</v>
      </c>
      <c r="AN161" s="6">
        <f t="shared" si="223"/>
        <v>1.6044624746450304</v>
      </c>
      <c r="AO161" s="7">
        <v>5</v>
      </c>
      <c r="AP161" s="7">
        <v>1</v>
      </c>
      <c r="AQ161" s="7">
        <v>0</v>
      </c>
      <c r="AR161" s="10">
        <v>0</v>
      </c>
      <c r="AS161" s="7">
        <v>0</v>
      </c>
      <c r="AT161" s="7">
        <v>0</v>
      </c>
      <c r="AU161" s="7">
        <v>0</v>
      </c>
      <c r="AV161" s="7">
        <v>0</v>
      </c>
      <c r="AW161" s="7">
        <v>31</v>
      </c>
      <c r="AX161" s="7">
        <v>1</v>
      </c>
      <c r="AY161" s="5">
        <v>6</v>
      </c>
      <c r="AZ161" s="7">
        <v>0</v>
      </c>
      <c r="BA161" s="7">
        <v>1</v>
      </c>
      <c r="BB161" s="7">
        <v>0</v>
      </c>
      <c r="BC161" s="7">
        <v>1</v>
      </c>
      <c r="BD161" s="7">
        <v>1</v>
      </c>
      <c r="BE161" s="7">
        <v>0</v>
      </c>
      <c r="BF161" s="7">
        <v>0</v>
      </c>
      <c r="BG161" s="7">
        <v>0</v>
      </c>
      <c r="BH161" s="7">
        <v>0</v>
      </c>
      <c r="BI161" s="7">
        <v>0</v>
      </c>
      <c r="BJ161" s="7">
        <v>1</v>
      </c>
    </row>
    <row r="162" spans="1:62" ht="20.100000000000001" customHeight="1" x14ac:dyDescent="0.3">
      <c r="A162" s="3" t="s">
        <v>18</v>
      </c>
      <c r="B162" s="3">
        <v>7</v>
      </c>
      <c r="C162" s="8">
        <v>44371</v>
      </c>
      <c r="D162" s="9">
        <v>0.29652777777777778</v>
      </c>
      <c r="E162" s="4">
        <v>62</v>
      </c>
      <c r="F162" s="3">
        <v>0</v>
      </c>
      <c r="G162" s="3">
        <v>0</v>
      </c>
      <c r="H162" s="3">
        <v>0</v>
      </c>
      <c r="I162" s="3">
        <v>0</v>
      </c>
      <c r="J162" s="9">
        <v>0.35000000000000003</v>
      </c>
      <c r="K162" s="3">
        <v>139.4</v>
      </c>
      <c r="L162" s="11">
        <f t="shared" ref="L162" si="286">K162-K161</f>
        <v>-2.1999999999999886</v>
      </c>
      <c r="M162" s="5">
        <f t="shared" ref="M162" si="287">AB161</f>
        <v>2465</v>
      </c>
      <c r="N162" s="11">
        <v>30.5</v>
      </c>
      <c r="O162" s="11">
        <v>32</v>
      </c>
      <c r="P162" s="11">
        <v>10.75</v>
      </c>
      <c r="Q162" s="11">
        <v>10.625</v>
      </c>
      <c r="R162" s="11">
        <v>19.75</v>
      </c>
      <c r="S162" s="11">
        <v>19.875</v>
      </c>
      <c r="T162" s="11">
        <v>15</v>
      </c>
      <c r="U162" s="11">
        <v>15</v>
      </c>
      <c r="V162" s="11">
        <v>17</v>
      </c>
      <c r="W162" s="11">
        <v>15</v>
      </c>
      <c r="X162" s="11">
        <v>7</v>
      </c>
      <c r="Y162" s="11">
        <v>7</v>
      </c>
      <c r="Z162" s="3" t="s">
        <v>882</v>
      </c>
      <c r="AA162" s="10" t="s">
        <v>883</v>
      </c>
      <c r="AB162" s="5">
        <f>150+240+360+60+390+148.9+240+150+70+135.4+120+74.4+30+140</f>
        <v>2308.7000000000003</v>
      </c>
      <c r="AC162" s="6">
        <f>1.5+15+30+1+13.5+4.9+16.7+7+5+7.7+6.8+2.44+0.5+6</f>
        <v>118.04</v>
      </c>
      <c r="AD162" s="6">
        <f>0+10.5+21+0+7.5+0.78+5.7+0.5+3.5+5.1+2.25+0.39+0+1</f>
        <v>58.220000000000006</v>
      </c>
      <c r="AE162" s="6">
        <f>3+18+6+2+16.5+7.11+3.7+2+1+1.7+2.25+3.56+1+7</f>
        <v>74.820000000000007</v>
      </c>
      <c r="AF162" s="6">
        <f>31.5+3+12+10+49.5+18.7+19.3+21+4+17+13.5+9.33+5+13</f>
        <v>226.83</v>
      </c>
      <c r="AG162" s="6">
        <f>3+0+0+2+3+0.9+1+2+0+1.7+0.75+0.44+1+3</f>
        <v>18.79</v>
      </c>
      <c r="AH162" s="6">
        <f>30+570+90+500+690+822.2+646.7+290+20+34+82.5+411.11+250+400</f>
        <v>4836.5099999999993</v>
      </c>
      <c r="AI162" s="6">
        <f t="shared" si="218"/>
        <v>5.1128340624593926E-2</v>
      </c>
      <c r="AJ162" s="6">
        <f t="shared" si="219"/>
        <v>2.5217654957335297E-2</v>
      </c>
      <c r="AK162" s="6">
        <f t="shared" si="220"/>
        <v>3.2407848572789881E-2</v>
      </c>
      <c r="AL162" s="6">
        <f t="shared" si="221"/>
        <v>9.8250097457443578E-2</v>
      </c>
      <c r="AM162" s="6">
        <f t="shared" si="222"/>
        <v>8.1387793996621459E-3</v>
      </c>
      <c r="AN162" s="6">
        <f t="shared" si="223"/>
        <v>2.0949062242820631</v>
      </c>
      <c r="AO162" s="7">
        <v>5</v>
      </c>
      <c r="AP162" s="7">
        <v>2</v>
      </c>
      <c r="AQ162" s="7">
        <v>0</v>
      </c>
      <c r="AR162" s="10">
        <v>0</v>
      </c>
      <c r="AS162" s="7">
        <v>0</v>
      </c>
      <c r="AT162" s="7">
        <v>0</v>
      </c>
      <c r="AU162" s="7">
        <v>0</v>
      </c>
      <c r="AV162" s="7">
        <v>0</v>
      </c>
      <c r="AW162" s="7">
        <v>0</v>
      </c>
      <c r="AX162" s="7">
        <v>0</v>
      </c>
      <c r="AY162" s="5">
        <v>7.5</v>
      </c>
      <c r="AZ162" s="7">
        <v>0</v>
      </c>
      <c r="BA162" s="7">
        <v>0</v>
      </c>
      <c r="BB162" s="7">
        <v>0</v>
      </c>
      <c r="BC162" s="7">
        <v>1</v>
      </c>
      <c r="BD162" s="7">
        <v>1</v>
      </c>
      <c r="BE162" s="7">
        <v>0</v>
      </c>
      <c r="BF162" s="7">
        <v>0</v>
      </c>
      <c r="BG162" s="7">
        <v>0</v>
      </c>
      <c r="BH162" s="7">
        <v>0</v>
      </c>
      <c r="BI162" s="7">
        <v>0</v>
      </c>
      <c r="BJ162" s="7">
        <v>1</v>
      </c>
    </row>
    <row r="163" spans="1:62" ht="20.100000000000001" customHeight="1" x14ac:dyDescent="0.3">
      <c r="A163" s="3" t="s">
        <v>137</v>
      </c>
      <c r="B163" s="3">
        <v>8</v>
      </c>
      <c r="C163" s="8">
        <v>44372</v>
      </c>
      <c r="D163" s="9">
        <v>0.24652777777777779</v>
      </c>
      <c r="E163" s="4">
        <v>60</v>
      </c>
      <c r="F163" s="3">
        <v>0</v>
      </c>
      <c r="G163" s="3">
        <v>0</v>
      </c>
      <c r="H163" s="3">
        <v>0</v>
      </c>
      <c r="I163" s="3">
        <v>0</v>
      </c>
      <c r="J163" s="9">
        <v>0.25694444444444448</v>
      </c>
      <c r="K163" s="3">
        <v>139.80000000000001</v>
      </c>
      <c r="L163" s="11">
        <f t="shared" ref="L163" si="288">K163-K162</f>
        <v>0.40000000000000568</v>
      </c>
      <c r="M163" s="5">
        <f t="shared" ref="M163" si="289">AB162</f>
        <v>2308.7000000000003</v>
      </c>
      <c r="N163" s="11">
        <v>31</v>
      </c>
      <c r="O163" s="11">
        <v>32.25</v>
      </c>
      <c r="P163" s="11">
        <v>10.625</v>
      </c>
      <c r="Q163" s="11">
        <v>10.625</v>
      </c>
      <c r="R163" s="11">
        <v>19.625</v>
      </c>
      <c r="S163" s="11">
        <v>19.625</v>
      </c>
      <c r="T163" s="11">
        <v>15</v>
      </c>
      <c r="U163" s="11">
        <v>15</v>
      </c>
      <c r="V163" s="11">
        <v>18</v>
      </c>
      <c r="W163" s="11">
        <v>15</v>
      </c>
      <c r="X163" s="11">
        <v>7</v>
      </c>
      <c r="Y163" s="11">
        <v>7</v>
      </c>
      <c r="Z163" s="3" t="s">
        <v>884</v>
      </c>
      <c r="AO163" s="7">
        <v>5</v>
      </c>
      <c r="AQ163" s="7">
        <v>0</v>
      </c>
      <c r="AR163" s="10">
        <v>0</v>
      </c>
      <c r="AS163" s="7">
        <v>0</v>
      </c>
      <c r="AT163" s="7">
        <v>0</v>
      </c>
      <c r="AU163" s="7">
        <v>0</v>
      </c>
      <c r="AV163" s="7">
        <v>0</v>
      </c>
      <c r="AW163" s="7">
        <v>31</v>
      </c>
      <c r="AX163" s="7">
        <v>1</v>
      </c>
      <c r="AY163" s="5">
        <v>6</v>
      </c>
      <c r="AZ163" s="7">
        <v>0</v>
      </c>
      <c r="BA163" s="7">
        <v>1</v>
      </c>
      <c r="BB163" s="7">
        <v>0</v>
      </c>
      <c r="BC163" s="7">
        <v>1</v>
      </c>
      <c r="BD163" s="7">
        <v>1</v>
      </c>
      <c r="BE163" s="7">
        <v>0</v>
      </c>
      <c r="BF163" s="7">
        <v>0</v>
      </c>
      <c r="BG163" s="7">
        <v>0</v>
      </c>
      <c r="BH163" s="7">
        <v>0</v>
      </c>
      <c r="BI163" s="7">
        <v>0</v>
      </c>
      <c r="BJ163" s="7">
        <v>1</v>
      </c>
    </row>
    <row r="164" spans="1:62" ht="20.100000000000001" customHeight="1" x14ac:dyDescent="0.3"/>
    <row r="165" spans="1:62" ht="20.100000000000001" customHeight="1" x14ac:dyDescent="0.3"/>
    <row r="166" spans="1:62" ht="20.100000000000001" customHeight="1" x14ac:dyDescent="0.3"/>
    <row r="167" spans="1:62" ht="20.100000000000001" customHeight="1" x14ac:dyDescent="0.3"/>
    <row r="168" spans="1:62" ht="20.100000000000001" customHeight="1" x14ac:dyDescent="0.3"/>
    <row r="169" spans="1:62" ht="20.100000000000001" customHeight="1" x14ac:dyDescent="0.3"/>
    <row r="170" spans="1:62" ht="20.100000000000001" customHeight="1" x14ac:dyDescent="0.3"/>
    <row r="171" spans="1:62" ht="20.100000000000001" customHeight="1" x14ac:dyDescent="0.3"/>
    <row r="172" spans="1:62" ht="20.100000000000001" customHeight="1" x14ac:dyDescent="0.3"/>
    <row r="173" spans="1:62" ht="20.100000000000001" customHeight="1" x14ac:dyDescent="0.3"/>
    <row r="174" spans="1:62" ht="20.100000000000001" customHeight="1" x14ac:dyDescent="0.3"/>
    <row r="175" spans="1:62" ht="20.100000000000001" customHeight="1" x14ac:dyDescent="0.3"/>
    <row r="176" spans="1:62" ht="20.100000000000001" customHeight="1" x14ac:dyDescent="0.3"/>
    <row r="177" ht="20.100000000000001" customHeight="1" x14ac:dyDescent="0.3"/>
    <row r="178" ht="20.100000000000001" customHeight="1" x14ac:dyDescent="0.3"/>
    <row r="179" ht="20.100000000000001" customHeight="1" x14ac:dyDescent="0.3"/>
    <row r="180" ht="20.100000000000001" customHeight="1" x14ac:dyDescent="0.3"/>
    <row r="181" ht="20.100000000000001" customHeight="1" x14ac:dyDescent="0.3"/>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3" sqref="B63"/>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NutritionalData</vt:lpstr>
      <vt:lpstr>researchMeasures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2021-06-25T13:14:21Z</dcterms:modified>
</cp:coreProperties>
</file>