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63D88C58-32C1-4304-AFDD-61D03A26E24F}"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Sheet1" sheetId="7" r:id="rId3"/>
    <sheet name="dataDictionary" sheetId="5" r:id="rId4"/>
    <sheet name="vacationRedondo" sheetId="6" r:id="rId5"/>
  </sheets>
  <definedNames>
    <definedName name="_xlnm._FilterDatabase" localSheetId="1" hidden="1">researchMeasures!$BA$1:$BA$195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24" i="1" l="1"/>
  <c r="M224" i="1"/>
  <c r="AH223" i="1"/>
  <c r="AG223" i="1"/>
  <c r="AF223" i="1"/>
  <c r="AE223" i="1"/>
  <c r="AD223" i="1"/>
  <c r="AJ223" i="1" s="1"/>
  <c r="AC223" i="1"/>
  <c r="AB223" i="1"/>
  <c r="C549" i="4"/>
  <c r="D549" i="4"/>
  <c r="E549" i="4"/>
  <c r="F549" i="4"/>
  <c r="G549" i="4"/>
  <c r="H549" i="4"/>
  <c r="B549" i="4"/>
  <c r="C545" i="4"/>
  <c r="D545" i="4"/>
  <c r="E545" i="4"/>
  <c r="F545" i="4"/>
  <c r="G545" i="4"/>
  <c r="H545" i="4"/>
  <c r="B545" i="4"/>
  <c r="L223" i="1"/>
  <c r="M223" i="1"/>
  <c r="AI222" i="1"/>
  <c r="AJ222" i="1"/>
  <c r="AK222" i="1"/>
  <c r="AL222" i="1"/>
  <c r="AM222" i="1"/>
  <c r="AN222" i="1"/>
  <c r="AH222" i="1"/>
  <c r="AG222" i="1"/>
  <c r="AF222" i="1"/>
  <c r="AE222" i="1"/>
  <c r="AD222" i="1"/>
  <c r="AC222" i="1"/>
  <c r="AB222" i="1"/>
  <c r="L222" i="1"/>
  <c r="M222" i="1"/>
  <c r="AI221" i="1"/>
  <c r="AJ221" i="1"/>
  <c r="AK221" i="1"/>
  <c r="AL221" i="1"/>
  <c r="AM221" i="1"/>
  <c r="AN221" i="1"/>
  <c r="AH221" i="1"/>
  <c r="AG221" i="1"/>
  <c r="AF221" i="1"/>
  <c r="AE221" i="1"/>
  <c r="AD221" i="1"/>
  <c r="AC221" i="1"/>
  <c r="AB221" i="1"/>
  <c r="L221" i="1"/>
  <c r="M221" i="1"/>
  <c r="AI220" i="1"/>
  <c r="AJ220" i="1"/>
  <c r="AK220" i="1"/>
  <c r="AL220" i="1"/>
  <c r="AM220" i="1"/>
  <c r="AN220" i="1"/>
  <c r="AH220" i="1"/>
  <c r="AG220" i="1"/>
  <c r="AF220" i="1"/>
  <c r="AE220" i="1"/>
  <c r="AD220" i="1"/>
  <c r="AC220" i="1"/>
  <c r="AB220" i="1"/>
  <c r="L220" i="1"/>
  <c r="M220" i="1"/>
  <c r="AH219" i="1"/>
  <c r="AF219" i="1"/>
  <c r="AE219" i="1"/>
  <c r="AD219" i="1"/>
  <c r="AC219" i="1"/>
  <c r="AB219" i="1"/>
  <c r="AN219" i="1" s="1"/>
  <c r="AG219" i="1"/>
  <c r="AI218" i="1"/>
  <c r="AJ218" i="1"/>
  <c r="AK218" i="1"/>
  <c r="AL218" i="1"/>
  <c r="AM218" i="1"/>
  <c r="AN218" i="1"/>
  <c r="AH218" i="1"/>
  <c r="AG218" i="1"/>
  <c r="AF218" i="1"/>
  <c r="AE218" i="1"/>
  <c r="AD218" i="1"/>
  <c r="AC218" i="1"/>
  <c r="AB218" i="1"/>
  <c r="M219" i="1" s="1"/>
  <c r="L219" i="1"/>
  <c r="L218" i="1"/>
  <c r="M218" i="1"/>
  <c r="AI217" i="1"/>
  <c r="AJ217" i="1"/>
  <c r="AK217" i="1"/>
  <c r="AL217" i="1"/>
  <c r="AM217" i="1"/>
  <c r="AN217" i="1"/>
  <c r="AH217" i="1"/>
  <c r="AG217" i="1"/>
  <c r="AF217" i="1"/>
  <c r="AE217" i="1"/>
  <c r="AD217" i="1"/>
  <c r="AC217" i="1"/>
  <c r="AB217" i="1"/>
  <c r="C540" i="4"/>
  <c r="D540" i="4"/>
  <c r="E540" i="4"/>
  <c r="F540" i="4"/>
  <c r="G540" i="4"/>
  <c r="H540" i="4"/>
  <c r="B540" i="4"/>
  <c r="L217" i="1"/>
  <c r="M217" i="1"/>
  <c r="AH216" i="1"/>
  <c r="AG216" i="1"/>
  <c r="AF216" i="1"/>
  <c r="AE216" i="1"/>
  <c r="AD216" i="1"/>
  <c r="AC216" i="1"/>
  <c r="AB216" i="1"/>
  <c r="AH215" i="1"/>
  <c r="AG215" i="1"/>
  <c r="AF215" i="1"/>
  <c r="AE215" i="1"/>
  <c r="AD215" i="1"/>
  <c r="AC215" i="1"/>
  <c r="AB215" i="1"/>
  <c r="AI215" i="1" s="1"/>
  <c r="L216" i="1"/>
  <c r="AH214" i="1"/>
  <c r="AG214" i="1"/>
  <c r="AF214" i="1"/>
  <c r="AE214" i="1"/>
  <c r="AD214" i="1"/>
  <c r="AC214" i="1"/>
  <c r="AB214" i="1"/>
  <c r="L215" i="1"/>
  <c r="M215" i="1"/>
  <c r="AN214" i="1"/>
  <c r="L214" i="1"/>
  <c r="M214" i="1"/>
  <c r="AI213" i="1"/>
  <c r="AJ213" i="1"/>
  <c r="AK213" i="1"/>
  <c r="AL213" i="1"/>
  <c r="AM213" i="1"/>
  <c r="AN213" i="1"/>
  <c r="AH213" i="1"/>
  <c r="AG213" i="1"/>
  <c r="AF213" i="1"/>
  <c r="AE213" i="1"/>
  <c r="AD213" i="1"/>
  <c r="AC213" i="1"/>
  <c r="AB213" i="1"/>
  <c r="C525" i="4"/>
  <c r="D525" i="4"/>
  <c r="E525" i="4"/>
  <c r="F525" i="4"/>
  <c r="G525" i="4"/>
  <c r="H525" i="4"/>
  <c r="B525" i="4"/>
  <c r="C524" i="4"/>
  <c r="D524" i="4"/>
  <c r="E524" i="4"/>
  <c r="F524" i="4"/>
  <c r="G524" i="4"/>
  <c r="H524" i="4"/>
  <c r="B524" i="4"/>
  <c r="H523" i="4"/>
  <c r="G523" i="4"/>
  <c r="F523" i="4"/>
  <c r="E523" i="4"/>
  <c r="D523" i="4"/>
  <c r="C523" i="4"/>
  <c r="B523" i="4"/>
  <c r="L213" i="1"/>
  <c r="M213" i="1"/>
  <c r="AI212" i="1"/>
  <c r="AJ212" i="1"/>
  <c r="AK212" i="1"/>
  <c r="AL212" i="1"/>
  <c r="AM212" i="1"/>
  <c r="AN212" i="1"/>
  <c r="AH212" i="1"/>
  <c r="AG212" i="1"/>
  <c r="AF212" i="1"/>
  <c r="AE212" i="1"/>
  <c r="AD212" i="1"/>
  <c r="AC212" i="1"/>
  <c r="AB212" i="1"/>
  <c r="L212" i="1"/>
  <c r="M212" i="1"/>
  <c r="AH211" i="1"/>
  <c r="AG211" i="1"/>
  <c r="AF211" i="1"/>
  <c r="AE211" i="1"/>
  <c r="AD211" i="1"/>
  <c r="AC211" i="1"/>
  <c r="AB211" i="1"/>
  <c r="C521" i="4"/>
  <c r="D521" i="4"/>
  <c r="E521" i="4"/>
  <c r="F521" i="4"/>
  <c r="G521" i="4"/>
  <c r="H521" i="4"/>
  <c r="B521" i="4"/>
  <c r="C520" i="4"/>
  <c r="D520" i="4"/>
  <c r="E520" i="4"/>
  <c r="F520" i="4"/>
  <c r="G520" i="4"/>
  <c r="H520" i="4"/>
  <c r="B520" i="4"/>
  <c r="L211" i="1"/>
  <c r="M211" i="1"/>
  <c r="AI210" i="1"/>
  <c r="AJ210" i="1"/>
  <c r="AK210" i="1"/>
  <c r="AL210" i="1"/>
  <c r="AM210" i="1"/>
  <c r="AN210" i="1"/>
  <c r="AH210" i="1"/>
  <c r="AG210" i="1"/>
  <c r="AF210" i="1"/>
  <c r="AE210" i="1"/>
  <c r="AD210" i="1"/>
  <c r="AC210" i="1"/>
  <c r="AB210" i="1"/>
  <c r="C514" i="4"/>
  <c r="D514" i="4"/>
  <c r="E514" i="4"/>
  <c r="F514" i="4"/>
  <c r="G514" i="4"/>
  <c r="H514" i="4"/>
  <c r="B514" i="4"/>
  <c r="L210" i="1"/>
  <c r="M210" i="1"/>
  <c r="AI209" i="1"/>
  <c r="AJ209" i="1"/>
  <c r="AK209" i="1"/>
  <c r="AL209" i="1"/>
  <c r="AM209" i="1"/>
  <c r="AN209" i="1"/>
  <c r="AH209" i="1"/>
  <c r="AG209" i="1"/>
  <c r="AF209" i="1"/>
  <c r="AE209" i="1"/>
  <c r="AD209" i="1"/>
  <c r="AC209" i="1"/>
  <c r="AB209" i="1"/>
  <c r="L209" i="1"/>
  <c r="M209" i="1"/>
  <c r="AH208" i="1"/>
  <c r="AG208" i="1"/>
  <c r="AF208" i="1"/>
  <c r="AE208" i="1"/>
  <c r="AD208" i="1"/>
  <c r="AC208" i="1"/>
  <c r="AB208" i="1"/>
  <c r="C510" i="4"/>
  <c r="D510" i="4"/>
  <c r="E510" i="4"/>
  <c r="F510" i="4"/>
  <c r="G510" i="4"/>
  <c r="H510" i="4"/>
  <c r="B510" i="4"/>
  <c r="C509" i="4"/>
  <c r="D509" i="4"/>
  <c r="E509" i="4"/>
  <c r="F509" i="4"/>
  <c r="G509" i="4"/>
  <c r="H509" i="4"/>
  <c r="B509" i="4"/>
  <c r="L208" i="1"/>
  <c r="M208" i="1"/>
  <c r="AI207" i="1"/>
  <c r="AJ207" i="1"/>
  <c r="AK207" i="1"/>
  <c r="AL207" i="1"/>
  <c r="AM207" i="1"/>
  <c r="AN207" i="1"/>
  <c r="AH207" i="1"/>
  <c r="AG207" i="1"/>
  <c r="AF207" i="1"/>
  <c r="AE207" i="1"/>
  <c r="AD207" i="1"/>
  <c r="AC207" i="1"/>
  <c r="AB207" i="1"/>
  <c r="C507" i="4"/>
  <c r="B507" i="4"/>
  <c r="L207" i="1"/>
  <c r="M207" i="1"/>
  <c r="AI206" i="1"/>
  <c r="AJ206" i="1"/>
  <c r="AK206" i="1"/>
  <c r="AL206" i="1"/>
  <c r="AM206" i="1"/>
  <c r="AN206" i="1"/>
  <c r="AH206" i="1"/>
  <c r="AG206" i="1"/>
  <c r="AF206" i="1"/>
  <c r="AE206" i="1"/>
  <c r="AD206" i="1"/>
  <c r="AC206" i="1"/>
  <c r="AB206" i="1"/>
  <c r="L206" i="1"/>
  <c r="M206" i="1"/>
  <c r="AI205" i="1"/>
  <c r="AJ205" i="1"/>
  <c r="AK205" i="1"/>
  <c r="AL205" i="1"/>
  <c r="AM205" i="1"/>
  <c r="AN205" i="1"/>
  <c r="AH205" i="1"/>
  <c r="AG205" i="1"/>
  <c r="AF205" i="1"/>
  <c r="AE205" i="1"/>
  <c r="AD205" i="1"/>
  <c r="AC205" i="1"/>
  <c r="AB205" i="1"/>
  <c r="AK223" i="1" l="1"/>
  <c r="AI223" i="1"/>
  <c r="AN223" i="1"/>
  <c r="AM223" i="1"/>
  <c r="AL223" i="1"/>
  <c r="AK219" i="1"/>
  <c r="AI219" i="1"/>
  <c r="AL219" i="1"/>
  <c r="AJ219" i="1"/>
  <c r="AM219" i="1"/>
  <c r="AJ216" i="1"/>
  <c r="AN216" i="1"/>
  <c r="AK216" i="1"/>
  <c r="AI216" i="1"/>
  <c r="AM216" i="1"/>
  <c r="AL216" i="1"/>
  <c r="AK215" i="1"/>
  <c r="AN215" i="1"/>
  <c r="AJ215" i="1"/>
  <c r="M216" i="1"/>
  <c r="AM215" i="1"/>
  <c r="AL215" i="1"/>
  <c r="AI214" i="1"/>
  <c r="AM214" i="1"/>
  <c r="AJ214" i="1"/>
  <c r="AL214" i="1"/>
  <c r="AK214" i="1"/>
  <c r="AJ211" i="1"/>
  <c r="AI211" i="1"/>
  <c r="AN211" i="1"/>
  <c r="AM211" i="1"/>
  <c r="AK211" i="1"/>
  <c r="AL211" i="1"/>
  <c r="AI208" i="1"/>
  <c r="AL208" i="1"/>
  <c r="AJ208" i="1"/>
  <c r="AN208" i="1"/>
  <c r="AM208" i="1"/>
  <c r="AK208" i="1"/>
  <c r="L205" i="1"/>
  <c r="M205" i="1"/>
  <c r="AI204" i="1"/>
  <c r="AJ204" i="1"/>
  <c r="AK204" i="1"/>
  <c r="AL204" i="1"/>
  <c r="AM204" i="1"/>
  <c r="AN204" i="1"/>
  <c r="AH204" i="1"/>
  <c r="AG204" i="1"/>
  <c r="AF204" i="1"/>
  <c r="AE204" i="1"/>
  <c r="AD204" i="1"/>
  <c r="AC204" i="1"/>
  <c r="AB204" i="1"/>
  <c r="AY204" i="1"/>
  <c r="BG204" i="1"/>
  <c r="L204" i="1"/>
  <c r="M204" i="1"/>
  <c r="AH203" i="1"/>
  <c r="AG203" i="1"/>
  <c r="AF203" i="1"/>
  <c r="AE203" i="1"/>
  <c r="AD203" i="1"/>
  <c r="AC203" i="1"/>
  <c r="AB203" i="1"/>
  <c r="AJ203" i="1" s="1"/>
  <c r="C501" i="4"/>
  <c r="D501" i="4"/>
  <c r="E501" i="4"/>
  <c r="F501" i="4"/>
  <c r="G501" i="4"/>
  <c r="H501" i="4"/>
  <c r="B501" i="4"/>
  <c r="AI202" i="1"/>
  <c r="AJ202" i="1"/>
  <c r="AK202" i="1"/>
  <c r="AL202" i="1"/>
  <c r="AM202" i="1"/>
  <c r="AN202" i="1"/>
  <c r="AH202" i="1"/>
  <c r="AG202" i="1"/>
  <c r="AF202" i="1"/>
  <c r="AE202" i="1"/>
  <c r="AD202" i="1"/>
  <c r="AC202" i="1"/>
  <c r="AB202" i="1"/>
  <c r="M203" i="1" s="1"/>
  <c r="C496" i="4"/>
  <c r="D496" i="4"/>
  <c r="E496" i="4"/>
  <c r="F496" i="4"/>
  <c r="G496" i="4"/>
  <c r="H496" i="4"/>
  <c r="B496" i="4"/>
  <c r="L203" i="1"/>
  <c r="G21" i="6"/>
  <c r="F10" i="6"/>
  <c r="G16" i="6" s="1"/>
  <c r="H23" i="6" s="1"/>
  <c r="L202" i="1"/>
  <c r="AH201" i="1"/>
  <c r="AG201" i="1"/>
  <c r="AF201" i="1"/>
  <c r="AE201" i="1"/>
  <c r="AD201" i="1"/>
  <c r="AC201" i="1"/>
  <c r="AB201" i="1"/>
  <c r="M202" i="1" s="1"/>
  <c r="L201" i="1"/>
  <c r="AH200" i="1"/>
  <c r="AG200" i="1"/>
  <c r="AF200" i="1"/>
  <c r="AE200" i="1"/>
  <c r="AD200" i="1"/>
  <c r="AC200" i="1"/>
  <c r="AB200" i="1"/>
  <c r="M201" i="1" s="1"/>
  <c r="L200" i="1"/>
  <c r="AH199" i="1"/>
  <c r="AG199" i="1"/>
  <c r="AF199" i="1"/>
  <c r="AE199" i="1"/>
  <c r="AD199" i="1"/>
  <c r="AC199" i="1"/>
  <c r="AB199" i="1"/>
  <c r="M200" i="1" s="1"/>
  <c r="C482" i="4"/>
  <c r="D482" i="4"/>
  <c r="E482" i="4"/>
  <c r="F482" i="4"/>
  <c r="G482" i="4"/>
  <c r="H482" i="4"/>
  <c r="B482" i="4"/>
  <c r="C481" i="4"/>
  <c r="D481" i="4"/>
  <c r="E481" i="4"/>
  <c r="F481" i="4"/>
  <c r="G481" i="4"/>
  <c r="H481" i="4"/>
  <c r="B481" i="4"/>
  <c r="L199" i="1"/>
  <c r="AH198" i="1"/>
  <c r="AG198" i="1"/>
  <c r="AF198" i="1"/>
  <c r="AE198" i="1"/>
  <c r="AD198" i="1"/>
  <c r="AC198" i="1"/>
  <c r="AB198" i="1"/>
  <c r="AH197" i="1"/>
  <c r="AG197" i="1"/>
  <c r="AF197" i="1"/>
  <c r="AE197" i="1"/>
  <c r="AD197" i="1"/>
  <c r="AC197" i="1"/>
  <c r="AB197" i="1"/>
  <c r="M198" i="1" s="1"/>
  <c r="L198" i="1"/>
  <c r="AH196" i="1"/>
  <c r="AG196" i="1"/>
  <c r="AF196" i="1"/>
  <c r="AE196" i="1"/>
  <c r="AD196" i="1"/>
  <c r="AC196" i="1"/>
  <c r="AB196" i="1"/>
  <c r="M197" i="1" s="1"/>
  <c r="L197" i="1"/>
  <c r="L196" i="1"/>
  <c r="AH195" i="1"/>
  <c r="AG195" i="1"/>
  <c r="AF195" i="1"/>
  <c r="AE195" i="1"/>
  <c r="AD195" i="1"/>
  <c r="AC195" i="1"/>
  <c r="AB195" i="1"/>
  <c r="AM195" i="1" s="1"/>
  <c r="L195" i="1"/>
  <c r="AH194" i="1"/>
  <c r="AG194" i="1"/>
  <c r="AF194" i="1"/>
  <c r="AE194" i="1"/>
  <c r="AD194" i="1"/>
  <c r="AC194" i="1"/>
  <c r="AB194" i="1"/>
  <c r="AH193" i="1"/>
  <c r="AG193" i="1"/>
  <c r="AF193" i="1"/>
  <c r="AE193" i="1"/>
  <c r="AD193" i="1"/>
  <c r="AC193" i="1"/>
  <c r="AB193" i="1"/>
  <c r="L194" i="1"/>
  <c r="L193" i="1"/>
  <c r="AH192" i="1"/>
  <c r="AG192" i="1"/>
  <c r="AF192" i="1"/>
  <c r="AE192" i="1"/>
  <c r="AD192" i="1"/>
  <c r="AC192" i="1"/>
  <c r="AB192" i="1"/>
  <c r="C471" i="4"/>
  <c r="D471" i="4"/>
  <c r="E471" i="4"/>
  <c r="F471" i="4"/>
  <c r="G471" i="4"/>
  <c r="H471" i="4"/>
  <c r="B471" i="4"/>
  <c r="L192" i="1"/>
  <c r="AH191" i="1"/>
  <c r="AG191" i="1"/>
  <c r="AF191" i="1"/>
  <c r="AE191" i="1"/>
  <c r="AD191" i="1"/>
  <c r="AC191" i="1"/>
  <c r="AB191" i="1"/>
  <c r="C467" i="4"/>
  <c r="D467" i="4"/>
  <c r="E467" i="4"/>
  <c r="F467" i="4"/>
  <c r="G467" i="4"/>
  <c r="H467" i="4"/>
  <c r="B467" i="4"/>
  <c r="L191" i="1"/>
  <c r="AH190" i="1"/>
  <c r="AG190" i="1"/>
  <c r="AF190" i="1"/>
  <c r="AE190" i="1"/>
  <c r="AD190" i="1"/>
  <c r="AC190" i="1"/>
  <c r="AB190" i="1"/>
  <c r="M191" i="1" s="1"/>
  <c r="AH189" i="1"/>
  <c r="AG189" i="1"/>
  <c r="AF189" i="1"/>
  <c r="AE189" i="1"/>
  <c r="AD189" i="1"/>
  <c r="AC189" i="1"/>
  <c r="AB189" i="1"/>
  <c r="M190" i="1" s="1"/>
  <c r="L190" i="1"/>
  <c r="AI203" i="1" l="1"/>
  <c r="AM203" i="1"/>
  <c r="AK203" i="1"/>
  <c r="AN203" i="1"/>
  <c r="AL203" i="1"/>
  <c r="AL199" i="1"/>
  <c r="AN192" i="1"/>
  <c r="AK200" i="1"/>
  <c r="AN200" i="1"/>
  <c r="AN196" i="1"/>
  <c r="AI200" i="1"/>
  <c r="AJ191" i="1"/>
  <c r="AK192" i="1"/>
  <c r="AK195" i="1"/>
  <c r="AL192" i="1"/>
  <c r="AN201" i="1"/>
  <c r="AI189" i="1"/>
  <c r="AJ189" i="1"/>
  <c r="AM192" i="1"/>
  <c r="AK196" i="1"/>
  <c r="AK201" i="1"/>
  <c r="AL196" i="1"/>
  <c r="AI201" i="1"/>
  <c r="AM196" i="1"/>
  <c r="AM201" i="1"/>
  <c r="AI196" i="1"/>
  <c r="AJ194" i="1"/>
  <c r="AL201" i="1"/>
  <c r="AN189" i="1"/>
  <c r="AI191" i="1"/>
  <c r="AI193" i="1"/>
  <c r="AL191" i="1"/>
  <c r="AJ193" i="1"/>
  <c r="AJ195" i="1"/>
  <c r="AN199" i="1"/>
  <c r="AI195" i="1"/>
  <c r="AL193" i="1"/>
  <c r="AK193" i="1"/>
  <c r="AJ192" i="1"/>
  <c r="AL195" i="1"/>
  <c r="M194" i="1"/>
  <c r="AN193" i="1"/>
  <c r="M195" i="1"/>
  <c r="AN195" i="1"/>
  <c r="AJ196" i="1"/>
  <c r="AJ198" i="1"/>
  <c r="AK199" i="1"/>
  <c r="M193" i="1"/>
  <c r="AL200" i="1"/>
  <c r="AM193" i="1"/>
  <c r="M196" i="1"/>
  <c r="M199" i="1"/>
  <c r="AJ201" i="1"/>
  <c r="AJ199" i="1"/>
  <c r="AM200" i="1"/>
  <c r="AJ200" i="1"/>
  <c r="AM191" i="1"/>
  <c r="AI199" i="1"/>
  <c r="AN191" i="1"/>
  <c r="AM199" i="1"/>
  <c r="AM189" i="1"/>
  <c r="AL189" i="1"/>
  <c r="AI192" i="1"/>
  <c r="AK189" i="1"/>
  <c r="M192" i="1"/>
  <c r="AL198" i="1"/>
  <c r="AN198" i="1"/>
  <c r="AM198" i="1"/>
  <c r="AK198" i="1"/>
  <c r="AI198" i="1"/>
  <c r="AJ197" i="1"/>
  <c r="AN197" i="1"/>
  <c r="AL197" i="1"/>
  <c r="AK197" i="1"/>
  <c r="AI197" i="1"/>
  <c r="AM197" i="1"/>
  <c r="AM194" i="1"/>
  <c r="AN194" i="1"/>
  <c r="AL194" i="1"/>
  <c r="AK194" i="1"/>
  <c r="AI194" i="1"/>
  <c r="AK191" i="1"/>
  <c r="AL190" i="1"/>
  <c r="AI190" i="1"/>
  <c r="AN190" i="1"/>
  <c r="AJ190" i="1"/>
  <c r="AM190" i="1"/>
  <c r="AK190" i="1"/>
  <c r="AH188" i="1"/>
  <c r="AN188" i="1" s="1"/>
  <c r="AG188" i="1"/>
  <c r="AF188" i="1"/>
  <c r="AE188" i="1"/>
  <c r="AD188" i="1"/>
  <c r="AC188" i="1"/>
  <c r="AB188" i="1"/>
  <c r="M189" i="1" s="1"/>
  <c r="L189" i="1"/>
  <c r="L188" i="1"/>
  <c r="AH187" i="1"/>
  <c r="AG187" i="1"/>
  <c r="AF187" i="1"/>
  <c r="AE187" i="1"/>
  <c r="AD187" i="1"/>
  <c r="AC187" i="1"/>
  <c r="AB187" i="1"/>
  <c r="M188" i="1" s="1"/>
  <c r="AY187" i="1"/>
  <c r="BG187" i="1"/>
  <c r="L187" i="1"/>
  <c r="AH186" i="1"/>
  <c r="AG186" i="1"/>
  <c r="AF186" i="1"/>
  <c r="AE186" i="1"/>
  <c r="AD186" i="1"/>
  <c r="AC186" i="1"/>
  <c r="AB186" i="1"/>
  <c r="M187" i="1" s="1"/>
  <c r="C462" i="4"/>
  <c r="D462" i="4"/>
  <c r="E462" i="4"/>
  <c r="F462" i="4"/>
  <c r="G462" i="4"/>
  <c r="H462" i="4"/>
  <c r="B462" i="4"/>
  <c r="L186" i="1"/>
  <c r="AH185" i="1"/>
  <c r="AG185" i="1"/>
  <c r="AF185" i="1"/>
  <c r="AE185" i="1"/>
  <c r="AD185" i="1"/>
  <c r="AC185" i="1"/>
  <c r="AB185" i="1"/>
  <c r="M186" i="1" s="1"/>
  <c r="C457" i="4"/>
  <c r="D457" i="4"/>
  <c r="E457" i="4"/>
  <c r="F457" i="4"/>
  <c r="G457" i="4"/>
  <c r="H457" i="4"/>
  <c r="B457" i="4"/>
  <c r="L185" i="1"/>
  <c r="AH184" i="1"/>
  <c r="AG184" i="1"/>
  <c r="AF184" i="1"/>
  <c r="AE184" i="1"/>
  <c r="AD184" i="1"/>
  <c r="AC184" i="1"/>
  <c r="AB184" i="1"/>
  <c r="L184" i="1"/>
  <c r="AH183" i="1"/>
  <c r="AG183" i="1"/>
  <c r="AF183" i="1"/>
  <c r="AE183" i="1"/>
  <c r="AD183" i="1"/>
  <c r="AC183" i="1"/>
  <c r="AB183" i="1"/>
  <c r="M184" i="1" s="1"/>
  <c r="C454" i="4"/>
  <c r="D454" i="4"/>
  <c r="E454" i="4"/>
  <c r="F454" i="4"/>
  <c r="G454" i="4"/>
  <c r="H454" i="4"/>
  <c r="B454" i="4"/>
  <c r="L183" i="1"/>
  <c r="AH182" i="1"/>
  <c r="AG182" i="1"/>
  <c r="AF182" i="1"/>
  <c r="AE182" i="1"/>
  <c r="AD182" i="1"/>
  <c r="AJ182" i="1" s="1"/>
  <c r="AC182" i="1"/>
  <c r="AB182" i="1"/>
  <c r="M183" i="1" s="1"/>
  <c r="C453" i="4"/>
  <c r="D453" i="4"/>
  <c r="E453" i="4"/>
  <c r="F453" i="4"/>
  <c r="G453" i="4"/>
  <c r="H453" i="4"/>
  <c r="B453" i="4"/>
  <c r="C452" i="4"/>
  <c r="D452" i="4"/>
  <c r="E452" i="4"/>
  <c r="F452" i="4"/>
  <c r="G452" i="4"/>
  <c r="H452" i="4"/>
  <c r="B452" i="4"/>
  <c r="L182" i="1"/>
  <c r="AH181" i="1"/>
  <c r="AG181" i="1"/>
  <c r="AF181" i="1"/>
  <c r="AE181" i="1"/>
  <c r="AD181" i="1"/>
  <c r="AC181" i="1"/>
  <c r="AB181" i="1"/>
  <c r="M182" i="1" s="1"/>
  <c r="L181" i="1"/>
  <c r="AH180" i="1"/>
  <c r="AG180" i="1"/>
  <c r="AF180" i="1"/>
  <c r="AE180" i="1"/>
  <c r="AD180" i="1"/>
  <c r="AC180" i="1"/>
  <c r="AB180" i="1"/>
  <c r="AH179" i="1"/>
  <c r="AG179" i="1"/>
  <c r="AF179" i="1"/>
  <c r="AE179" i="1"/>
  <c r="AD179" i="1"/>
  <c r="AC179" i="1"/>
  <c r="AB179" i="1"/>
  <c r="L180" i="1"/>
  <c r="C451" i="4"/>
  <c r="D451" i="4"/>
  <c r="E451" i="4"/>
  <c r="F451" i="4"/>
  <c r="G451" i="4"/>
  <c r="H451" i="4"/>
  <c r="B451" i="4"/>
  <c r="C450" i="4"/>
  <c r="D450" i="4"/>
  <c r="E450" i="4"/>
  <c r="F450" i="4"/>
  <c r="G450" i="4"/>
  <c r="H450" i="4"/>
  <c r="B450" i="4"/>
  <c r="H449" i="4"/>
  <c r="G449" i="4"/>
  <c r="F449" i="4"/>
  <c r="E449" i="4"/>
  <c r="D449" i="4"/>
  <c r="C449" i="4"/>
  <c r="B449" i="4"/>
  <c r="C447" i="4"/>
  <c r="D447" i="4"/>
  <c r="E447" i="4"/>
  <c r="F447" i="4"/>
  <c r="G447" i="4"/>
  <c r="H447" i="4"/>
  <c r="B447" i="4"/>
  <c r="L179" i="1"/>
  <c r="AH178" i="1"/>
  <c r="AG178" i="1"/>
  <c r="AF178" i="1"/>
  <c r="AE178" i="1"/>
  <c r="AD178" i="1"/>
  <c r="AC178" i="1"/>
  <c r="AB178" i="1"/>
  <c r="M179" i="1" s="1"/>
  <c r="C444" i="4"/>
  <c r="C445" i="4" s="1"/>
  <c r="L178" i="1"/>
  <c r="AH177" i="1"/>
  <c r="AG177" i="1"/>
  <c r="AF177" i="1"/>
  <c r="AE177" i="1"/>
  <c r="AD177" i="1"/>
  <c r="AC177" i="1"/>
  <c r="AB177" i="1"/>
  <c r="M178" i="1" s="1"/>
  <c r="C443" i="4"/>
  <c r="D443" i="4"/>
  <c r="E443" i="4"/>
  <c r="F443" i="4"/>
  <c r="G443" i="4"/>
  <c r="H443" i="4"/>
  <c r="B443" i="4"/>
  <c r="L177" i="1"/>
  <c r="AY177" i="1"/>
  <c r="AH176" i="1"/>
  <c r="AG176" i="1"/>
  <c r="AF176" i="1"/>
  <c r="AE176" i="1"/>
  <c r="AD176" i="1"/>
  <c r="AC176" i="1"/>
  <c r="AB176" i="1"/>
  <c r="AH175" i="1"/>
  <c r="AG175" i="1"/>
  <c r="AF175" i="1"/>
  <c r="AE175" i="1"/>
  <c r="AD175" i="1"/>
  <c r="AC175" i="1"/>
  <c r="AB175" i="1"/>
  <c r="AL175" i="1" s="1"/>
  <c r="L176" i="1"/>
  <c r="L175" i="1"/>
  <c r="AH174" i="1"/>
  <c r="AG174" i="1"/>
  <c r="AF174" i="1"/>
  <c r="AE174" i="1"/>
  <c r="AD174" i="1"/>
  <c r="AC174" i="1"/>
  <c r="AB174" i="1"/>
  <c r="M175" i="1" s="1"/>
  <c r="L174" i="1"/>
  <c r="AH173" i="1"/>
  <c r="AG173" i="1"/>
  <c r="AF173" i="1"/>
  <c r="AE173" i="1"/>
  <c r="AD173" i="1"/>
  <c r="AC173" i="1"/>
  <c r="AB173" i="1"/>
  <c r="M174" i="1" s="1"/>
  <c r="D436" i="4"/>
  <c r="L173" i="1"/>
  <c r="AH172" i="1"/>
  <c r="AG172" i="1"/>
  <c r="AF172" i="1"/>
  <c r="AE172" i="1"/>
  <c r="AD172" i="1"/>
  <c r="AC172" i="1"/>
  <c r="AB172" i="1"/>
  <c r="M173" i="1" s="1"/>
  <c r="L172" i="1"/>
  <c r="AH171" i="1"/>
  <c r="AG171" i="1"/>
  <c r="AF171" i="1"/>
  <c r="AE171" i="1"/>
  <c r="AD171" i="1"/>
  <c r="AC171" i="1"/>
  <c r="AB171" i="1"/>
  <c r="M172" i="1" s="1"/>
  <c r="AH170" i="1"/>
  <c r="AG170" i="1"/>
  <c r="AF170" i="1"/>
  <c r="AE170" i="1"/>
  <c r="AD170" i="1"/>
  <c r="AC170" i="1"/>
  <c r="AB170" i="1"/>
  <c r="L171" i="1"/>
  <c r="L170" i="1"/>
  <c r="AH169" i="1"/>
  <c r="AG169" i="1"/>
  <c r="AF169" i="1"/>
  <c r="AE169" i="1"/>
  <c r="AD169" i="1"/>
  <c r="AC169" i="1"/>
  <c r="AB169" i="1"/>
  <c r="L169" i="1"/>
  <c r="AH168" i="1"/>
  <c r="AG168" i="1"/>
  <c r="AF168" i="1"/>
  <c r="AE168" i="1"/>
  <c r="AD168" i="1"/>
  <c r="AC168" i="1"/>
  <c r="AB168" i="1"/>
  <c r="M169" i="1" s="1"/>
  <c r="L168" i="1"/>
  <c r="AH167" i="1"/>
  <c r="AG167" i="1"/>
  <c r="AF167" i="1"/>
  <c r="AE167" i="1"/>
  <c r="AD167" i="1"/>
  <c r="AC167" i="1"/>
  <c r="AB167" i="1"/>
  <c r="M168" i="1" s="1"/>
  <c r="H428" i="4"/>
  <c r="G428" i="4"/>
  <c r="F428" i="4"/>
  <c r="E428" i="4"/>
  <c r="D428" i="4"/>
  <c r="C428" i="4"/>
  <c r="B428" i="4"/>
  <c r="L167" i="1"/>
  <c r="AH166" i="1"/>
  <c r="AG166" i="1"/>
  <c r="AF166" i="1"/>
  <c r="AE166" i="1"/>
  <c r="AD166" i="1"/>
  <c r="AC166" i="1"/>
  <c r="AB166" i="1"/>
  <c r="L166" i="1"/>
  <c r="AH165" i="1"/>
  <c r="AG165" i="1"/>
  <c r="AF165" i="1"/>
  <c r="AE165" i="1"/>
  <c r="AD165" i="1"/>
  <c r="AC165" i="1"/>
  <c r="AB165" i="1"/>
  <c r="M166" i="1" s="1"/>
  <c r="L165" i="1"/>
  <c r="AH164" i="1"/>
  <c r="AG164" i="1"/>
  <c r="AF164" i="1"/>
  <c r="AE164" i="1"/>
  <c r="AD164" i="1"/>
  <c r="AC164" i="1"/>
  <c r="AB164" i="1"/>
  <c r="M165" i="1" s="1"/>
  <c r="AH163" i="1"/>
  <c r="AG163" i="1"/>
  <c r="AF163" i="1"/>
  <c r="AE163" i="1"/>
  <c r="AD163" i="1"/>
  <c r="AC163" i="1"/>
  <c r="AB163" i="1"/>
  <c r="M164" i="1" s="1"/>
  <c r="H424" i="4"/>
  <c r="G424" i="4"/>
  <c r="F424" i="4"/>
  <c r="E424" i="4"/>
  <c r="D424" i="4"/>
  <c r="C424" i="4"/>
  <c r="B424" i="4"/>
  <c r="L164" i="1"/>
  <c r="C423" i="4"/>
  <c r="D423" i="4"/>
  <c r="D444" i="4" s="1"/>
  <c r="D445" i="4" s="1"/>
  <c r="E423" i="4"/>
  <c r="E444" i="4" s="1"/>
  <c r="E445" i="4" s="1"/>
  <c r="F423" i="4"/>
  <c r="F444" i="4" s="1"/>
  <c r="F445" i="4" s="1"/>
  <c r="G423" i="4"/>
  <c r="G444" i="4" s="1"/>
  <c r="G445" i="4" s="1"/>
  <c r="H423" i="4"/>
  <c r="H444" i="4" s="1"/>
  <c r="H445" i="4" s="1"/>
  <c r="B423" i="4"/>
  <c r="B444" i="4" s="1"/>
  <c r="B445" i="4" s="1"/>
  <c r="H418" i="4"/>
  <c r="G418" i="4"/>
  <c r="F418" i="4"/>
  <c r="E418" i="4"/>
  <c r="D418" i="4"/>
  <c r="C418" i="4"/>
  <c r="B418" i="4"/>
  <c r="L163" i="1"/>
  <c r="AH162" i="1"/>
  <c r="AG162" i="1"/>
  <c r="AF162" i="1"/>
  <c r="AE162" i="1"/>
  <c r="AD162" i="1"/>
  <c r="AC162" i="1"/>
  <c r="AB162" i="1"/>
  <c r="M163" i="1" s="1"/>
  <c r="L162" i="1"/>
  <c r="AH161" i="1"/>
  <c r="AG161" i="1"/>
  <c r="AF161" i="1"/>
  <c r="AE161" i="1"/>
  <c r="AD161" i="1"/>
  <c r="AC161" i="1"/>
  <c r="AB161" i="1"/>
  <c r="M162" i="1" s="1"/>
  <c r="L161" i="1"/>
  <c r="AH160" i="1"/>
  <c r="AG160" i="1"/>
  <c r="AF160" i="1"/>
  <c r="AE160" i="1"/>
  <c r="AD160" i="1"/>
  <c r="AC160" i="1"/>
  <c r="AB160" i="1"/>
  <c r="L160" i="1"/>
  <c r="AH159" i="1"/>
  <c r="AG159" i="1"/>
  <c r="AF159" i="1"/>
  <c r="AE159" i="1"/>
  <c r="AD159" i="1"/>
  <c r="AC159" i="1"/>
  <c r="AB159" i="1"/>
  <c r="M160" i="1" s="1"/>
  <c r="AH158" i="1"/>
  <c r="AG158" i="1"/>
  <c r="AF158" i="1"/>
  <c r="AE158" i="1"/>
  <c r="AD158" i="1"/>
  <c r="AC158" i="1"/>
  <c r="AB158" i="1"/>
  <c r="M159" i="1" s="1"/>
  <c r="L159" i="1"/>
  <c r="L158" i="1"/>
  <c r="AH157" i="1"/>
  <c r="AG157" i="1"/>
  <c r="AF157" i="1"/>
  <c r="AE157" i="1"/>
  <c r="AD157" i="1"/>
  <c r="AC157" i="1"/>
  <c r="AB157" i="1"/>
  <c r="H405" i="4"/>
  <c r="G405" i="4"/>
  <c r="F405" i="4"/>
  <c r="E405" i="4"/>
  <c r="D405" i="4"/>
  <c r="C405" i="4"/>
  <c r="B405" i="4"/>
  <c r="L157" i="1"/>
  <c r="AH156" i="1"/>
  <c r="AG156" i="1"/>
  <c r="AF156" i="1"/>
  <c r="AE156" i="1"/>
  <c r="AD156" i="1"/>
  <c r="AC156" i="1"/>
  <c r="AB156" i="1"/>
  <c r="M157" i="1" s="1"/>
  <c r="AH155" i="1"/>
  <c r="AG155" i="1"/>
  <c r="AF155" i="1"/>
  <c r="AE155" i="1"/>
  <c r="AD155" i="1"/>
  <c r="AC155" i="1"/>
  <c r="AB155" i="1"/>
  <c r="L156" i="1"/>
  <c r="L155" i="1"/>
  <c r="AH154" i="1"/>
  <c r="AG154" i="1"/>
  <c r="AF154" i="1"/>
  <c r="AE154" i="1"/>
  <c r="AD154" i="1"/>
  <c r="AC154" i="1"/>
  <c r="AB154" i="1"/>
  <c r="M155" i="1" s="1"/>
  <c r="C400" i="4"/>
  <c r="D400" i="4"/>
  <c r="E400" i="4"/>
  <c r="F400" i="4"/>
  <c r="G400" i="4"/>
  <c r="H400" i="4"/>
  <c r="B400" i="4"/>
  <c r="L154" i="1"/>
  <c r="AH153" i="1"/>
  <c r="AG153" i="1"/>
  <c r="AF153" i="1"/>
  <c r="AE153" i="1"/>
  <c r="AD153" i="1"/>
  <c r="AC153" i="1"/>
  <c r="AB153" i="1"/>
  <c r="M154" i="1" s="1"/>
  <c r="L153" i="1"/>
  <c r="AH152" i="1"/>
  <c r="AG152" i="1"/>
  <c r="AF152" i="1"/>
  <c r="AE152" i="1"/>
  <c r="AD152" i="1"/>
  <c r="AC152" i="1"/>
  <c r="AB152" i="1"/>
  <c r="H397" i="4"/>
  <c r="G397" i="4"/>
  <c r="F397" i="4"/>
  <c r="E397" i="4"/>
  <c r="D397" i="4"/>
  <c r="C397" i="4"/>
  <c r="B397" i="4"/>
  <c r="L152" i="1"/>
  <c r="AH151" i="1"/>
  <c r="AF151" i="1"/>
  <c r="AG151" i="1"/>
  <c r="AE151" i="1"/>
  <c r="AD151" i="1"/>
  <c r="AC151" i="1"/>
  <c r="AB151" i="1"/>
  <c r="M152" i="1" s="1"/>
  <c r="L151" i="1"/>
  <c r="AH150" i="1"/>
  <c r="AG150" i="1"/>
  <c r="AF150" i="1"/>
  <c r="AE150" i="1"/>
  <c r="AD150" i="1"/>
  <c r="AC150" i="1"/>
  <c r="AB150" i="1"/>
  <c r="M151" i="1" s="1"/>
  <c r="L150" i="1"/>
  <c r="AH149" i="1"/>
  <c r="AG149" i="1"/>
  <c r="AF149" i="1"/>
  <c r="AE149" i="1"/>
  <c r="AD149" i="1"/>
  <c r="AC149" i="1"/>
  <c r="AB149" i="1"/>
  <c r="M150" i="1" s="1"/>
  <c r="L149" i="1"/>
  <c r="H392" i="4"/>
  <c r="G392" i="4"/>
  <c r="F392" i="4"/>
  <c r="E392" i="4"/>
  <c r="D392" i="4"/>
  <c r="C392" i="4"/>
  <c r="B392" i="4"/>
  <c r="AH147" i="1"/>
  <c r="AG147" i="1"/>
  <c r="AF147" i="1"/>
  <c r="AE147" i="1"/>
  <c r="AD147" i="1"/>
  <c r="AC147" i="1"/>
  <c r="AB147" i="1"/>
  <c r="M148" i="1" s="1"/>
  <c r="AH148" i="1"/>
  <c r="AG148" i="1"/>
  <c r="AF148" i="1"/>
  <c r="AE148" i="1"/>
  <c r="AD148" i="1"/>
  <c r="AC148" i="1"/>
  <c r="AB148" i="1"/>
  <c r="AG146" i="1"/>
  <c r="AH146" i="1"/>
  <c r="AF146" i="1"/>
  <c r="AE146" i="1"/>
  <c r="AD146" i="1"/>
  <c r="AC146" i="1"/>
  <c r="AB146" i="1"/>
  <c r="L148" i="1"/>
  <c r="L147" i="1"/>
  <c r="L146" i="1"/>
  <c r="AH145" i="1"/>
  <c r="AG145" i="1"/>
  <c r="AF145" i="1"/>
  <c r="AE145" i="1"/>
  <c r="AD145" i="1"/>
  <c r="AC145" i="1"/>
  <c r="AB145" i="1"/>
  <c r="M146" i="1" s="1"/>
  <c r="AH144" i="1"/>
  <c r="AG144" i="1"/>
  <c r="AF144" i="1"/>
  <c r="AE144" i="1"/>
  <c r="AD144" i="1"/>
  <c r="AC144" i="1"/>
  <c r="AB144" i="1"/>
  <c r="M145" i="1" s="1"/>
  <c r="L145" i="1"/>
  <c r="L144" i="1"/>
  <c r="AH143" i="1"/>
  <c r="AG143" i="1"/>
  <c r="AF143" i="1"/>
  <c r="AE143" i="1"/>
  <c r="AD143" i="1"/>
  <c r="AC143" i="1"/>
  <c r="AB143" i="1"/>
  <c r="M144" i="1" s="1"/>
  <c r="AH133" i="1"/>
  <c r="AH142" i="1"/>
  <c r="AG142" i="1"/>
  <c r="AF142" i="1"/>
  <c r="AE142" i="1"/>
  <c r="AD142" i="1"/>
  <c r="AC142" i="1"/>
  <c r="AB142" i="1"/>
  <c r="M143" i="1" s="1"/>
  <c r="L143" i="1"/>
  <c r="L142" i="1"/>
  <c r="AH141" i="1"/>
  <c r="AG141" i="1"/>
  <c r="AF141" i="1"/>
  <c r="AE141" i="1"/>
  <c r="AD141" i="1"/>
  <c r="AC141" i="1"/>
  <c r="AB141" i="1"/>
  <c r="L141" i="1"/>
  <c r="AD140" i="1"/>
  <c r="AH140" i="1"/>
  <c r="AG140" i="1"/>
  <c r="AF140" i="1"/>
  <c r="AE140" i="1"/>
  <c r="AC140" i="1"/>
  <c r="AB140" i="1"/>
  <c r="M141" i="1" s="1"/>
  <c r="B374" i="4"/>
  <c r="C373" i="4"/>
  <c r="C374" i="4" s="1"/>
  <c r="D373" i="4"/>
  <c r="D374" i="4" s="1"/>
  <c r="E373" i="4"/>
  <c r="E374" i="4" s="1"/>
  <c r="F373" i="4"/>
  <c r="F374" i="4" s="1"/>
  <c r="G373" i="4"/>
  <c r="G374" i="4" s="1"/>
  <c r="H373" i="4"/>
  <c r="H374" i="4" s="1"/>
  <c r="B373" i="4"/>
  <c r="L140" i="1"/>
  <c r="AF136" i="1"/>
  <c r="AH139" i="1"/>
  <c r="AG139" i="1"/>
  <c r="AF139" i="1"/>
  <c r="AE139" i="1"/>
  <c r="AD139" i="1"/>
  <c r="AC139" i="1"/>
  <c r="AB139" i="1"/>
  <c r="M140" i="1" s="1"/>
  <c r="AH138" i="1"/>
  <c r="AG138" i="1"/>
  <c r="AF138" i="1"/>
  <c r="AE138" i="1"/>
  <c r="AD138" i="1"/>
  <c r="AC138" i="1"/>
  <c r="AB138" i="1"/>
  <c r="M139" i="1" s="1"/>
  <c r="L138" i="1"/>
  <c r="L139" i="1"/>
  <c r="AH137" i="1"/>
  <c r="AG137" i="1"/>
  <c r="AF137" i="1"/>
  <c r="AE137" i="1"/>
  <c r="AD137" i="1"/>
  <c r="AC137" i="1"/>
  <c r="AB137" i="1"/>
  <c r="L137" i="1"/>
  <c r="AH136" i="1"/>
  <c r="AG136" i="1"/>
  <c r="AE136" i="1"/>
  <c r="AD136" i="1"/>
  <c r="AC136" i="1"/>
  <c r="AB136" i="1"/>
  <c r="C364" i="4"/>
  <c r="D364" i="4"/>
  <c r="E364" i="4"/>
  <c r="F364" i="4"/>
  <c r="G364" i="4"/>
  <c r="H364" i="4"/>
  <c r="B364" i="4"/>
  <c r="L136" i="1"/>
  <c r="AH135" i="1"/>
  <c r="AG135" i="1"/>
  <c r="AF135" i="1"/>
  <c r="AE135" i="1"/>
  <c r="AD135" i="1"/>
  <c r="AC135" i="1"/>
  <c r="AB135" i="1"/>
  <c r="M136" i="1" s="1"/>
  <c r="L135" i="1"/>
  <c r="AD134" i="1"/>
  <c r="AE134" i="1"/>
  <c r="AF134" i="1"/>
  <c r="AH134" i="1"/>
  <c r="AG134" i="1"/>
  <c r="AC134" i="1"/>
  <c r="AB134" i="1"/>
  <c r="C357" i="4"/>
  <c r="D357" i="4"/>
  <c r="E357" i="4"/>
  <c r="F357" i="4"/>
  <c r="G357" i="4"/>
  <c r="H357" i="4"/>
  <c r="B357" i="4"/>
  <c r="L134" i="1"/>
  <c r="AG133" i="1"/>
  <c r="AF133" i="1"/>
  <c r="AE133" i="1"/>
  <c r="AD133" i="1"/>
  <c r="AC133" i="1"/>
  <c r="AB133" i="1"/>
  <c r="M134" i="1" s="1"/>
  <c r="C356" i="4"/>
  <c r="D356" i="4"/>
  <c r="E356" i="4"/>
  <c r="F356" i="4"/>
  <c r="G356" i="4"/>
  <c r="H356" i="4"/>
  <c r="B356" i="4"/>
  <c r="AM186" i="1" l="1"/>
  <c r="AN157" i="1"/>
  <c r="AI186" i="1"/>
  <c r="AK142" i="1"/>
  <c r="AK143" i="1"/>
  <c r="AJ165" i="1"/>
  <c r="AJ166" i="1"/>
  <c r="AK177" i="1"/>
  <c r="AK186" i="1"/>
  <c r="AM142" i="1"/>
  <c r="AM143" i="1"/>
  <c r="AM145" i="1"/>
  <c r="AN176" i="1"/>
  <c r="AN177" i="1"/>
  <c r="AI172" i="1"/>
  <c r="AI175" i="1"/>
  <c r="AN152" i="1"/>
  <c r="AN153" i="1"/>
  <c r="AJ163" i="1"/>
  <c r="AL137" i="1"/>
  <c r="AN147" i="1"/>
  <c r="AM180" i="1"/>
  <c r="AK163" i="1"/>
  <c r="AL141" i="1"/>
  <c r="AM175" i="1"/>
  <c r="AI143" i="1"/>
  <c r="AL166" i="1"/>
  <c r="AJ136" i="1"/>
  <c r="AN150" i="1"/>
  <c r="AN148" i="1"/>
  <c r="AJ152" i="1"/>
  <c r="AJ155" i="1"/>
  <c r="AI156" i="1"/>
  <c r="AI157" i="1"/>
  <c r="AN158" i="1"/>
  <c r="AN160" i="1"/>
  <c r="AN161" i="1"/>
  <c r="AI170" i="1"/>
  <c r="AL172" i="1"/>
  <c r="AK160" i="1"/>
  <c r="AK173" i="1"/>
  <c r="AI178" i="1"/>
  <c r="AJ144" i="1"/>
  <c r="AI161" i="1"/>
  <c r="AL165" i="1"/>
  <c r="AM172" i="1"/>
  <c r="AI183" i="1"/>
  <c r="AK136" i="1"/>
  <c r="AI147" i="1"/>
  <c r="AL169" i="1"/>
  <c r="AL138" i="1"/>
  <c r="AM138" i="1"/>
  <c r="AK147" i="1"/>
  <c r="AM156" i="1"/>
  <c r="AJ161" i="1"/>
  <c r="AN167" i="1"/>
  <c r="AK178" i="1"/>
  <c r="AJ183" i="1"/>
  <c r="AL186" i="1"/>
  <c r="AM147" i="1"/>
  <c r="AM149" i="1"/>
  <c r="AK169" i="1"/>
  <c r="AM178" i="1"/>
  <c r="M170" i="1"/>
  <c r="AJ174" i="1"/>
  <c r="AJ135" i="1"/>
  <c r="AJ138" i="1"/>
  <c r="AJ142" i="1"/>
  <c r="AN142" i="1"/>
  <c r="AN143" i="1"/>
  <c r="AK144" i="1"/>
  <c r="AJ147" i="1"/>
  <c r="AJ149" i="1"/>
  <c r="AI150" i="1"/>
  <c r="AJ154" i="1"/>
  <c r="AI155" i="1"/>
  <c r="AJ156" i="1"/>
  <c r="AJ157" i="1"/>
  <c r="AJ159" i="1"/>
  <c r="AI168" i="1"/>
  <c r="AI169" i="1"/>
  <c r="AM173" i="1"/>
  <c r="AI177" i="1"/>
  <c r="AN178" i="1"/>
  <c r="AK182" i="1"/>
  <c r="AN186" i="1"/>
  <c r="AJ187" i="1"/>
  <c r="AI188" i="1"/>
  <c r="AJ139" i="1"/>
  <c r="AL139" i="1"/>
  <c r="AJ148" i="1"/>
  <c r="AJ153" i="1"/>
  <c r="AL158" i="1"/>
  <c r="AJ167" i="1"/>
  <c r="AL174" i="1"/>
  <c r="AJ177" i="1"/>
  <c r="AL182" i="1"/>
  <c r="AN185" i="1"/>
  <c r="AL135" i="1"/>
  <c r="AM139" i="1"/>
  <c r="AM144" i="1"/>
  <c r="AK150" i="1"/>
  <c r="AM174" i="1"/>
  <c r="AN144" i="1"/>
  <c r="AN174" i="1"/>
  <c r="AN139" i="1"/>
  <c r="AL177" i="1"/>
  <c r="AN135" i="1"/>
  <c r="AJ143" i="1"/>
  <c r="AN145" i="1"/>
  <c r="AN149" i="1"/>
  <c r="AM150" i="1"/>
  <c r="AM153" i="1"/>
  <c r="AN154" i="1"/>
  <c r="AN156" i="1"/>
  <c r="AM169" i="1"/>
  <c r="AK172" i="1"/>
  <c r="AI173" i="1"/>
  <c r="AM177" i="1"/>
  <c r="AJ178" i="1"/>
  <c r="AL184" i="1"/>
  <c r="AJ186" i="1"/>
  <c r="AN187" i="1"/>
  <c r="AN181" i="1"/>
  <c r="AL142" i="1"/>
  <c r="AI144" i="1"/>
  <c r="AL156" i="1"/>
  <c r="AL178" i="1"/>
  <c r="AJ151" i="1"/>
  <c r="AM185" i="1"/>
  <c r="AN138" i="1"/>
  <c r="AL144" i="1"/>
  <c r="AL150" i="1"/>
  <c r="AI160" i="1"/>
  <c r="AM165" i="1"/>
  <c r="AJ168" i="1"/>
  <c r="AJ169" i="1"/>
  <c r="AN170" i="1"/>
  <c r="AN172" i="1"/>
  <c r="AJ173" i="1"/>
  <c r="AJ175" i="1"/>
  <c r="AM182" i="1"/>
  <c r="AK183" i="1"/>
  <c r="AI184" i="1"/>
  <c r="AI185" i="1"/>
  <c r="AJ188" i="1"/>
  <c r="M153" i="1"/>
  <c r="AM134" i="1"/>
  <c r="AK135" i="1"/>
  <c r="AM136" i="1"/>
  <c r="AJ145" i="1"/>
  <c r="AL148" i="1"/>
  <c r="AL149" i="1"/>
  <c r="AM151" i="1"/>
  <c r="AL153" i="1"/>
  <c r="AL155" i="1"/>
  <c r="AJ160" i="1"/>
  <c r="AI163" i="1"/>
  <c r="AN165" i="1"/>
  <c r="AI174" i="1"/>
  <c r="AK175" i="1"/>
  <c r="AL181" i="1"/>
  <c r="AN182" i="1"/>
  <c r="AL183" i="1"/>
  <c r="AJ184" i="1"/>
  <c r="AJ185" i="1"/>
  <c r="AJ137" i="1"/>
  <c r="AJ141" i="1"/>
  <c r="AI134" i="1"/>
  <c r="AI135" i="1"/>
  <c r="AI138" i="1"/>
  <c r="AI139" i="1"/>
  <c r="AI148" i="1"/>
  <c r="AI149" i="1"/>
  <c r="AL151" i="1"/>
  <c r="AK152" i="1"/>
  <c r="AI153" i="1"/>
  <c r="AI154" i="1"/>
  <c r="AM155" i="1"/>
  <c r="AI165" i="1"/>
  <c r="AM166" i="1"/>
  <c r="AK170" i="1"/>
  <c r="AL173" i="1"/>
  <c r="M181" i="1"/>
  <c r="AM181" i="1"/>
  <c r="AM183" i="1"/>
  <c r="M137" i="1"/>
  <c r="AN166" i="1"/>
  <c r="AN183" i="1"/>
  <c r="AK133" i="1"/>
  <c r="AN137" i="1"/>
  <c r="AN141" i="1"/>
  <c r="AL145" i="1"/>
  <c r="AN151" i="1"/>
  <c r="AL152" i="1"/>
  <c r="M156" i="1"/>
  <c r="AI182" i="1"/>
  <c r="AN134" i="1"/>
  <c r="AL136" i="1"/>
  <c r="AK138" i="1"/>
  <c r="AK139" i="1"/>
  <c r="AL143" i="1"/>
  <c r="AL147" i="1"/>
  <c r="AK151" i="1"/>
  <c r="AM152" i="1"/>
  <c r="AK157" i="1"/>
  <c r="AM158" i="1"/>
  <c r="AM160" i="1"/>
  <c r="M167" i="1"/>
  <c r="AN168" i="1"/>
  <c r="AN169" i="1"/>
  <c r="AJ170" i="1"/>
  <c r="AJ172" i="1"/>
  <c r="AN173" i="1"/>
  <c r="AK174" i="1"/>
  <c r="M176" i="1"/>
  <c r="AN175" i="1"/>
  <c r="AL179" i="1"/>
  <c r="AM184" i="1"/>
  <c r="AN184" i="1"/>
  <c r="AI151" i="1"/>
  <c r="AM135" i="1"/>
  <c r="M138" i="1"/>
  <c r="AI141" i="1"/>
  <c r="AI145" i="1"/>
  <c r="AM148" i="1"/>
  <c r="AI152" i="1"/>
  <c r="M161" i="1"/>
  <c r="AK165" i="1"/>
  <c r="AI166" i="1"/>
  <c r="AI167" i="1"/>
  <c r="AI181" i="1"/>
  <c r="M185" i="1"/>
  <c r="AI187" i="1"/>
  <c r="AM141" i="1"/>
  <c r="AM168" i="1"/>
  <c r="AM187" i="1"/>
  <c r="AL134" i="1"/>
  <c r="AK148" i="1"/>
  <c r="M149" i="1"/>
  <c r="AM157" i="1"/>
  <c r="AM167" i="1"/>
  <c r="AL168" i="1"/>
  <c r="AM188" i="1"/>
  <c r="AI137" i="1"/>
  <c r="AL154" i="1"/>
  <c r="AL167" i="1"/>
  <c r="AK168" i="1"/>
  <c r="AK154" i="1"/>
  <c r="AK185" i="1"/>
  <c r="AM170" i="1"/>
  <c r="AJ133" i="1"/>
  <c r="AM154" i="1"/>
  <c r="AL187" i="1"/>
  <c r="AM137" i="1"/>
  <c r="AK187" i="1"/>
  <c r="AK167" i="1"/>
  <c r="AI158" i="1"/>
  <c r="AL160" i="1"/>
  <c r="AK161" i="1"/>
  <c r="M135" i="1"/>
  <c r="M142" i="1"/>
  <c r="AI142" i="1"/>
  <c r="AK149" i="1"/>
  <c r="AK153" i="1"/>
  <c r="AK156" i="1"/>
  <c r="AJ158" i="1"/>
  <c r="AK166" i="1"/>
  <c r="AK171" i="1"/>
  <c r="AK176" i="1"/>
  <c r="M177" i="1"/>
  <c r="AK184" i="1"/>
  <c r="AK134" i="1"/>
  <c r="AI136" i="1"/>
  <c r="AK141" i="1"/>
  <c r="AL157" i="1"/>
  <c r="AM161" i="1"/>
  <c r="AL185" i="1"/>
  <c r="AJ134" i="1"/>
  <c r="AK137" i="1"/>
  <c r="AK145" i="1"/>
  <c r="M158" i="1"/>
  <c r="AK158" i="1"/>
  <c r="M171" i="1"/>
  <c r="AI176" i="1"/>
  <c r="AL170" i="1"/>
  <c r="AL188" i="1"/>
  <c r="AL161" i="1"/>
  <c r="AK188" i="1"/>
  <c r="AN136" i="1"/>
  <c r="AJ150" i="1"/>
  <c r="AN162" i="1"/>
  <c r="AJ181" i="1"/>
  <c r="AK181" i="1"/>
  <c r="AI180" i="1"/>
  <c r="AK180" i="1"/>
  <c r="AJ179" i="1"/>
  <c r="AI179" i="1"/>
  <c r="AK179" i="1"/>
  <c r="M180" i="1"/>
  <c r="AN179" i="1"/>
  <c r="AM179" i="1"/>
  <c r="AN180" i="1"/>
  <c r="AL180" i="1"/>
  <c r="AJ180" i="1"/>
  <c r="AM176" i="1"/>
  <c r="AJ176" i="1"/>
  <c r="AL176" i="1"/>
  <c r="AM171" i="1"/>
  <c r="AN171" i="1"/>
  <c r="AL171" i="1"/>
  <c r="AJ171" i="1"/>
  <c r="AI171" i="1"/>
  <c r="AI164" i="1"/>
  <c r="AN164" i="1"/>
  <c r="AM164" i="1"/>
  <c r="AL164" i="1"/>
  <c r="AK164" i="1"/>
  <c r="AJ164" i="1"/>
  <c r="AN163" i="1"/>
  <c r="AM163" i="1"/>
  <c r="AL163" i="1"/>
  <c r="AK162" i="1"/>
  <c r="AI162" i="1"/>
  <c r="AJ162" i="1"/>
  <c r="AM162" i="1"/>
  <c r="AL162" i="1"/>
  <c r="AI159" i="1"/>
  <c r="AN159" i="1"/>
  <c r="AM159" i="1"/>
  <c r="AL159" i="1"/>
  <c r="AK159" i="1"/>
  <c r="AN155" i="1"/>
  <c r="AK155" i="1"/>
  <c r="AN146" i="1"/>
  <c r="AL146" i="1"/>
  <c r="AK146" i="1"/>
  <c r="AJ146" i="1"/>
  <c r="AM146" i="1"/>
  <c r="AI146" i="1"/>
  <c r="M147" i="1"/>
  <c r="AL140" i="1"/>
  <c r="AI140" i="1"/>
  <c r="AN140" i="1"/>
  <c r="AK140" i="1"/>
  <c r="AM140" i="1"/>
  <c r="AJ140" i="1"/>
  <c r="AL133" i="1"/>
  <c r="AI133" i="1"/>
  <c r="AN133" i="1"/>
  <c r="AM133" i="1"/>
  <c r="L133" i="1"/>
  <c r="AH132" i="1"/>
  <c r="AG132" i="1"/>
  <c r="AF132" i="1"/>
  <c r="AE132" i="1"/>
  <c r="AD132" i="1"/>
  <c r="AC132" i="1"/>
  <c r="AB132" i="1"/>
  <c r="M133" i="1" s="1"/>
  <c r="L132" i="1"/>
  <c r="AH131" i="1"/>
  <c r="AG131" i="1"/>
  <c r="AF131" i="1"/>
  <c r="AE131" i="1"/>
  <c r="AD131" i="1"/>
  <c r="AC131" i="1"/>
  <c r="AB131" i="1"/>
  <c r="M132" i="1" s="1"/>
  <c r="L131" i="1"/>
  <c r="AH130" i="1"/>
  <c r="AG130" i="1"/>
  <c r="AF130" i="1"/>
  <c r="AE130" i="1"/>
  <c r="AD130" i="1"/>
  <c r="AC130" i="1"/>
  <c r="AB130" i="1"/>
  <c r="L130" i="1"/>
  <c r="AH128" i="1"/>
  <c r="AG128" i="1"/>
  <c r="AF128" i="1"/>
  <c r="AE128" i="1"/>
  <c r="AD128" i="1"/>
  <c r="AC128" i="1"/>
  <c r="AB128" i="1"/>
  <c r="AH129" i="1"/>
  <c r="AG129" i="1"/>
  <c r="AF129" i="1"/>
  <c r="AE129" i="1"/>
  <c r="AD129" i="1"/>
  <c r="AC129" i="1"/>
  <c r="AB129" i="1"/>
  <c r="B344" i="4"/>
  <c r="E344" i="4"/>
  <c r="F344" i="4"/>
  <c r="H344" i="4"/>
  <c r="G344" i="4"/>
  <c r="D344" i="4"/>
  <c r="C344" i="4"/>
  <c r="C343" i="4"/>
  <c r="D343" i="4"/>
  <c r="G343" i="4"/>
  <c r="H343" i="4"/>
  <c r="C342" i="4"/>
  <c r="H338" i="4"/>
  <c r="G338" i="4"/>
  <c r="F338" i="4"/>
  <c r="E338" i="4"/>
  <c r="D338" i="4"/>
  <c r="C338" i="4"/>
  <c r="B338" i="4"/>
  <c r="H337" i="4"/>
  <c r="H342" i="4" s="1"/>
  <c r="G337" i="4"/>
  <c r="G342" i="4" s="1"/>
  <c r="F337" i="4"/>
  <c r="F342" i="4" s="1"/>
  <c r="E337" i="4"/>
  <c r="E342" i="4" s="1"/>
  <c r="D337" i="4"/>
  <c r="D342" i="4" s="1"/>
  <c r="C337" i="4"/>
  <c r="B337" i="4"/>
  <c r="B342" i="4" s="1"/>
  <c r="H336" i="4"/>
  <c r="G336" i="4"/>
  <c r="F336" i="4"/>
  <c r="E336" i="4"/>
  <c r="D336" i="4"/>
  <c r="C336" i="4"/>
  <c r="B336" i="4"/>
  <c r="L129" i="1"/>
  <c r="L128" i="1"/>
  <c r="L127" i="1"/>
  <c r="AH127" i="1"/>
  <c r="AG127" i="1"/>
  <c r="AF127" i="1"/>
  <c r="AE127" i="1"/>
  <c r="AD127" i="1"/>
  <c r="AC127" i="1"/>
  <c r="AB127" i="1"/>
  <c r="M128" i="1" s="1"/>
  <c r="AH126" i="1"/>
  <c r="AG126" i="1"/>
  <c r="AF126" i="1"/>
  <c r="AE126" i="1"/>
  <c r="AD126" i="1"/>
  <c r="AC126" i="1"/>
  <c r="AB126" i="1"/>
  <c r="M127" i="1" s="1"/>
  <c r="L126" i="1"/>
  <c r="AH125" i="1"/>
  <c r="AG125" i="1"/>
  <c r="AF125" i="1"/>
  <c r="AE125" i="1"/>
  <c r="AD125" i="1"/>
  <c r="AC125" i="1"/>
  <c r="AB125" i="1"/>
  <c r="M126" i="1" s="1"/>
  <c r="C332" i="4"/>
  <c r="D332" i="4"/>
  <c r="E332" i="4"/>
  <c r="F332" i="4"/>
  <c r="G332" i="4"/>
  <c r="H332" i="4"/>
  <c r="B332" i="4"/>
  <c r="AH124" i="1"/>
  <c r="AG124" i="1"/>
  <c r="AF124" i="1"/>
  <c r="AE124" i="1"/>
  <c r="AD124" i="1"/>
  <c r="AC124" i="1"/>
  <c r="AB124" i="1"/>
  <c r="M125" i="1" s="1"/>
  <c r="L125" i="1"/>
  <c r="BG125" i="1"/>
  <c r="L124" i="1"/>
  <c r="AH123" i="1"/>
  <c r="AG123" i="1"/>
  <c r="AF123" i="1"/>
  <c r="AE123" i="1"/>
  <c r="AD123" i="1"/>
  <c r="AC123" i="1"/>
  <c r="AB123" i="1"/>
  <c r="M124" i="1" s="1"/>
  <c r="AH122" i="1"/>
  <c r="AG122" i="1"/>
  <c r="AF122" i="1"/>
  <c r="AE122" i="1"/>
  <c r="AD122" i="1"/>
  <c r="AC122" i="1"/>
  <c r="AB122" i="1"/>
  <c r="M123" i="1" s="1"/>
  <c r="C327" i="4"/>
  <c r="C328" i="4" s="1"/>
  <c r="D327" i="4"/>
  <c r="D328" i="4" s="1"/>
  <c r="E327" i="4"/>
  <c r="F327" i="4"/>
  <c r="F328" i="4" s="1"/>
  <c r="G327" i="4"/>
  <c r="G328" i="4" s="1"/>
  <c r="H327" i="4"/>
  <c r="H328" i="4" s="1"/>
  <c r="B327" i="4"/>
  <c r="B328" i="4" s="1"/>
  <c r="E328" i="4"/>
  <c r="L123" i="1"/>
  <c r="L122" i="1"/>
  <c r="AH121" i="1"/>
  <c r="AG121" i="1"/>
  <c r="AF121" i="1"/>
  <c r="AE121" i="1"/>
  <c r="AD121" i="1"/>
  <c r="AC121" i="1"/>
  <c r="AB121" i="1"/>
  <c r="M122" i="1" s="1"/>
  <c r="L121" i="1"/>
  <c r="AH120" i="1"/>
  <c r="AG120" i="1"/>
  <c r="AF120" i="1"/>
  <c r="AE120" i="1"/>
  <c r="AD120" i="1"/>
  <c r="AC120" i="1"/>
  <c r="AB120" i="1"/>
  <c r="M121" i="1" s="1"/>
  <c r="AL127" i="1" l="1"/>
  <c r="AJ128" i="1"/>
  <c r="AL122" i="1"/>
  <c r="AM122" i="1"/>
  <c r="AL121" i="1"/>
  <c r="AJ124" i="1"/>
  <c r="AJ132" i="1"/>
  <c r="AN122" i="1"/>
  <c r="AN127" i="1"/>
  <c r="AN125" i="1"/>
  <c r="AI123" i="1"/>
  <c r="AI122" i="1"/>
  <c r="AJ122" i="1"/>
  <c r="AN131" i="1"/>
  <c r="AI127" i="1"/>
  <c r="AK122" i="1"/>
  <c r="AJ125" i="1"/>
  <c r="AJ130" i="1"/>
  <c r="AL128" i="1"/>
  <c r="AI121" i="1"/>
  <c r="AK121" i="1"/>
  <c r="AK123" i="1"/>
  <c r="AJ121" i="1"/>
  <c r="AL124" i="1"/>
  <c r="AN124" i="1"/>
  <c r="AN128" i="1"/>
  <c r="AN130" i="1"/>
  <c r="AM131" i="1"/>
  <c r="AL120" i="1"/>
  <c r="AM121" i="1"/>
  <c r="AI125" i="1"/>
  <c r="AI126" i="1"/>
  <c r="AJ127" i="1"/>
  <c r="AN129" i="1"/>
  <c r="AN120" i="1"/>
  <c r="AN121" i="1"/>
  <c r="AI124" i="1"/>
  <c r="AK129" i="1"/>
  <c r="AI130" i="1"/>
  <c r="AN126" i="1"/>
  <c r="AI129" i="1"/>
  <c r="AK132" i="1"/>
  <c r="AJ120" i="1"/>
  <c r="AL123" i="1"/>
  <c r="AJ129" i="1"/>
  <c r="AI128" i="1"/>
  <c r="AL130" i="1"/>
  <c r="AL132" i="1"/>
  <c r="AJ123" i="1"/>
  <c r="AM123" i="1"/>
  <c r="M131" i="1"/>
  <c r="AM132" i="1"/>
  <c r="AN123" i="1"/>
  <c r="AN132" i="1"/>
  <c r="AM120" i="1"/>
  <c r="AK124" i="1"/>
  <c r="AJ126" i="1"/>
  <c r="AK127" i="1"/>
  <c r="AK130" i="1"/>
  <c r="AI132" i="1"/>
  <c r="AM124" i="1"/>
  <c r="AM127" i="1"/>
  <c r="AM130" i="1"/>
  <c r="AM126" i="1"/>
  <c r="AM125" i="1"/>
  <c r="AL126" i="1"/>
  <c r="AM129" i="1"/>
  <c r="M130" i="1"/>
  <c r="AL125" i="1"/>
  <c r="AK126" i="1"/>
  <c r="AL129" i="1"/>
  <c r="AK125" i="1"/>
  <c r="AL131" i="1"/>
  <c r="M129" i="1"/>
  <c r="AI120" i="1"/>
  <c r="AM128" i="1"/>
  <c r="F393" i="4"/>
  <c r="F390" i="4"/>
  <c r="G393" i="4"/>
  <c r="G390" i="4"/>
  <c r="H393" i="4"/>
  <c r="H390" i="4"/>
  <c r="B390" i="4"/>
  <c r="B393" i="4"/>
  <c r="C390" i="4"/>
  <c r="C393" i="4"/>
  <c r="D390" i="4"/>
  <c r="D393" i="4"/>
  <c r="E393" i="4"/>
  <c r="E390" i="4"/>
  <c r="AK131" i="1"/>
  <c r="AI131" i="1"/>
  <c r="AJ131" i="1"/>
  <c r="AK128" i="1"/>
  <c r="AK120" i="1"/>
  <c r="E325" i="4"/>
  <c r="F325" i="4"/>
  <c r="C324" i="4"/>
  <c r="C325" i="4" s="1"/>
  <c r="D324" i="4"/>
  <c r="D325" i="4" s="1"/>
  <c r="E324" i="4"/>
  <c r="F324" i="4"/>
  <c r="G324" i="4"/>
  <c r="G325" i="4" s="1"/>
  <c r="H324" i="4"/>
  <c r="H325" i="4" s="1"/>
  <c r="B324" i="4"/>
  <c r="B325" i="4" s="1"/>
  <c r="L120" i="1"/>
  <c r="AH119" i="1"/>
  <c r="AG119" i="1"/>
  <c r="AF119" i="1"/>
  <c r="AE119" i="1"/>
  <c r="AD119" i="1"/>
  <c r="AC119" i="1"/>
  <c r="AB119" i="1"/>
  <c r="M120" i="1" s="1"/>
  <c r="L119" i="1"/>
  <c r="AH118" i="1"/>
  <c r="AG118" i="1"/>
  <c r="AF118" i="1"/>
  <c r="AE118" i="1"/>
  <c r="AD118" i="1"/>
  <c r="AC118" i="1"/>
  <c r="AB118" i="1"/>
  <c r="M119" i="1" s="1"/>
  <c r="C320" i="4"/>
  <c r="D320" i="4"/>
  <c r="E320" i="4"/>
  <c r="F320" i="4"/>
  <c r="G320" i="4"/>
  <c r="H320" i="4"/>
  <c r="B320" i="4"/>
  <c r="L118" i="1"/>
  <c r="AH117" i="1"/>
  <c r="AG117" i="1"/>
  <c r="AF117" i="1"/>
  <c r="AE117" i="1"/>
  <c r="AD117" i="1"/>
  <c r="AC117" i="1"/>
  <c r="AB117" i="1"/>
  <c r="L117" i="1"/>
  <c r="AH116" i="1"/>
  <c r="AG116" i="1"/>
  <c r="AF116" i="1"/>
  <c r="AE116" i="1"/>
  <c r="AD116" i="1"/>
  <c r="AC116" i="1"/>
  <c r="AB116" i="1"/>
  <c r="M117" i="1" s="1"/>
  <c r="H315" i="4"/>
  <c r="G315" i="4"/>
  <c r="F315" i="4"/>
  <c r="E315" i="4"/>
  <c r="D315" i="4"/>
  <c r="C315" i="4"/>
  <c r="B315" i="4"/>
  <c r="L116" i="1"/>
  <c r="AH115" i="1"/>
  <c r="AG115" i="1"/>
  <c r="AF115" i="1"/>
  <c r="AE115" i="1"/>
  <c r="AD115" i="1"/>
  <c r="AC115" i="1"/>
  <c r="AB115" i="1"/>
  <c r="M116" i="1" s="1"/>
  <c r="B310" i="4"/>
  <c r="B311" i="4" s="1"/>
  <c r="C310" i="4"/>
  <c r="C311" i="4" s="1"/>
  <c r="D310" i="4"/>
  <c r="D311" i="4" s="1"/>
  <c r="E310" i="4"/>
  <c r="E311" i="4" s="1"/>
  <c r="F310" i="4"/>
  <c r="F311" i="4" s="1"/>
  <c r="G310" i="4"/>
  <c r="G311" i="4" s="1"/>
  <c r="H310" i="4"/>
  <c r="H311" i="4" s="1"/>
  <c r="L115" i="1"/>
  <c r="AH114" i="1"/>
  <c r="AG114" i="1"/>
  <c r="AF114" i="1"/>
  <c r="AE114" i="1"/>
  <c r="AD114" i="1"/>
  <c r="AC114" i="1"/>
  <c r="AB114" i="1"/>
  <c r="M115" i="1" s="1"/>
  <c r="H309" i="4"/>
  <c r="G309" i="4"/>
  <c r="F309" i="4"/>
  <c r="E309" i="4"/>
  <c r="D309" i="4"/>
  <c r="C309" i="4"/>
  <c r="B309" i="4"/>
  <c r="L114" i="1"/>
  <c r="AH113" i="1"/>
  <c r="AN113" i="1" s="1"/>
  <c r="AG113" i="1"/>
  <c r="AF113" i="1"/>
  <c r="AE113" i="1"/>
  <c r="AD113" i="1"/>
  <c r="AC113" i="1"/>
  <c r="AB113" i="1"/>
  <c r="M114" i="1" s="1"/>
  <c r="C308" i="4"/>
  <c r="D308" i="4"/>
  <c r="E308" i="4"/>
  <c r="F308" i="4"/>
  <c r="G308" i="4"/>
  <c r="H308" i="4"/>
  <c r="B308" i="4"/>
  <c r="L113" i="1"/>
  <c r="AH112" i="1"/>
  <c r="AG112" i="1"/>
  <c r="AF112" i="1"/>
  <c r="AE112" i="1"/>
  <c r="AD112" i="1"/>
  <c r="AC112" i="1"/>
  <c r="AB112" i="1"/>
  <c r="AI112" i="1" s="1"/>
  <c r="H307" i="4"/>
  <c r="G307" i="4"/>
  <c r="F307" i="4"/>
  <c r="E307" i="4"/>
  <c r="D307" i="4"/>
  <c r="C307" i="4"/>
  <c r="B307" i="4"/>
  <c r="L112" i="1"/>
  <c r="AH111" i="1"/>
  <c r="AG111" i="1"/>
  <c r="AF111" i="1"/>
  <c r="AE111" i="1"/>
  <c r="AD111" i="1"/>
  <c r="AC111" i="1"/>
  <c r="AB111" i="1"/>
  <c r="B306" i="4"/>
  <c r="H305" i="4"/>
  <c r="H306" i="4" s="1"/>
  <c r="G305" i="4"/>
  <c r="G306" i="4" s="1"/>
  <c r="F305" i="4"/>
  <c r="F306" i="4" s="1"/>
  <c r="E305" i="4"/>
  <c r="E306" i="4" s="1"/>
  <c r="D305" i="4"/>
  <c r="D306" i="4" s="1"/>
  <c r="C305" i="4"/>
  <c r="C306" i="4" s="1"/>
  <c r="B305" i="4"/>
  <c r="H304" i="4"/>
  <c r="G304" i="4"/>
  <c r="F304" i="4"/>
  <c r="E304" i="4"/>
  <c r="D304" i="4"/>
  <c r="C304" i="4"/>
  <c r="B304" i="4"/>
  <c r="H303" i="4"/>
  <c r="G303" i="4"/>
  <c r="F303" i="4"/>
  <c r="E303" i="4"/>
  <c r="D303" i="4"/>
  <c r="C303" i="4"/>
  <c r="B303" i="4"/>
  <c r="AK113" i="1" l="1"/>
  <c r="AN115" i="1"/>
  <c r="AN117" i="1"/>
  <c r="AN114" i="1"/>
  <c r="AK112" i="1"/>
  <c r="AL117" i="1"/>
  <c r="AL112" i="1"/>
  <c r="AN112" i="1"/>
  <c r="AM112" i="1"/>
  <c r="AN111" i="1"/>
  <c r="AK111" i="1"/>
  <c r="AN116" i="1"/>
  <c r="AN118" i="1"/>
  <c r="AN119" i="1"/>
  <c r="AI116" i="1"/>
  <c r="M112" i="1"/>
  <c r="AI115" i="1"/>
  <c r="AJ116" i="1"/>
  <c r="AI111" i="1"/>
  <c r="AL116" i="1"/>
  <c r="AJ111" i="1"/>
  <c r="AK116" i="1"/>
  <c r="AI113" i="1"/>
  <c r="AL115" i="1"/>
  <c r="AM116" i="1"/>
  <c r="AI117" i="1"/>
  <c r="AK115" i="1"/>
  <c r="AI118" i="1"/>
  <c r="AL111" i="1"/>
  <c r="M113" i="1"/>
  <c r="AJ118" i="1"/>
  <c r="AM111" i="1"/>
  <c r="AJ112" i="1"/>
  <c r="AI114" i="1"/>
  <c r="AJ115" i="1"/>
  <c r="AJ119" i="1"/>
  <c r="AJ117" i="1"/>
  <c r="AI119" i="1"/>
  <c r="AJ114" i="1"/>
  <c r="AM117" i="1"/>
  <c r="AM115" i="1"/>
  <c r="AK117" i="1"/>
  <c r="M118" i="1"/>
  <c r="AL114" i="1"/>
  <c r="AL119" i="1"/>
  <c r="AL118" i="1"/>
  <c r="AK119" i="1"/>
  <c r="AL113" i="1"/>
  <c r="AK118" i="1"/>
  <c r="AM114" i="1"/>
  <c r="AM119" i="1"/>
  <c r="AM118" i="1"/>
  <c r="AM113" i="1"/>
  <c r="AK114" i="1"/>
  <c r="AJ113" i="1"/>
  <c r="L111" i="1"/>
  <c r="AH110" i="1"/>
  <c r="AG110" i="1"/>
  <c r="AF110" i="1"/>
  <c r="AE110" i="1"/>
  <c r="AD110" i="1"/>
  <c r="AC110" i="1"/>
  <c r="AB110" i="1"/>
  <c r="M111" i="1" s="1"/>
  <c r="C301" i="4"/>
  <c r="D301" i="4"/>
  <c r="E301" i="4"/>
  <c r="F301" i="4"/>
  <c r="G301" i="4"/>
  <c r="H301" i="4"/>
  <c r="B301" i="4"/>
  <c r="L110" i="1"/>
  <c r="AH109" i="1"/>
  <c r="AG109" i="1"/>
  <c r="AF109" i="1"/>
  <c r="AE109" i="1"/>
  <c r="AD109" i="1"/>
  <c r="AC109" i="1"/>
  <c r="AB109" i="1"/>
  <c r="L109" i="1"/>
  <c r="AH108" i="1"/>
  <c r="AN108" i="1" s="1"/>
  <c r="AG108" i="1"/>
  <c r="AF108" i="1"/>
  <c r="AE108" i="1"/>
  <c r="AD108" i="1"/>
  <c r="AC108" i="1"/>
  <c r="AB108" i="1"/>
  <c r="M109" i="1" s="1"/>
  <c r="C299" i="4"/>
  <c r="D299" i="4"/>
  <c r="E299" i="4"/>
  <c r="F299" i="4"/>
  <c r="G299" i="4"/>
  <c r="H299" i="4"/>
  <c r="B299" i="4"/>
  <c r="L108" i="1"/>
  <c r="AH107" i="1"/>
  <c r="AG107" i="1"/>
  <c r="AF107" i="1"/>
  <c r="AE107" i="1"/>
  <c r="AD107" i="1"/>
  <c r="AC107" i="1"/>
  <c r="AB107" i="1"/>
  <c r="M108" i="1" s="1"/>
  <c r="L107" i="1"/>
  <c r="AH106" i="1"/>
  <c r="AG106" i="1"/>
  <c r="AF106" i="1"/>
  <c r="AE106" i="1"/>
  <c r="AD106" i="1"/>
  <c r="AC106" i="1"/>
  <c r="AB106" i="1"/>
  <c r="C290" i="4"/>
  <c r="C291" i="4" s="1"/>
  <c r="D290" i="4"/>
  <c r="D291" i="4" s="1"/>
  <c r="E290" i="4"/>
  <c r="E291" i="4" s="1"/>
  <c r="F290" i="4"/>
  <c r="F291" i="4" s="1"/>
  <c r="G290" i="4"/>
  <c r="G291" i="4" s="1"/>
  <c r="H290" i="4"/>
  <c r="H291" i="4" s="1"/>
  <c r="B290" i="4"/>
  <c r="B291" i="4" s="1"/>
  <c r="L106" i="1"/>
  <c r="AB105" i="1"/>
  <c r="M106" i="1" s="1"/>
  <c r="AC105" i="1"/>
  <c r="AD105" i="1"/>
  <c r="AE105" i="1"/>
  <c r="AF105" i="1"/>
  <c r="AH105" i="1"/>
  <c r="AG105" i="1"/>
  <c r="H288" i="4"/>
  <c r="G288" i="4"/>
  <c r="F288" i="4"/>
  <c r="E288" i="4"/>
  <c r="D288" i="4"/>
  <c r="C288" i="4"/>
  <c r="B288" i="4"/>
  <c r="L105" i="1"/>
  <c r="AH104" i="1"/>
  <c r="AG104" i="1"/>
  <c r="AF104" i="1"/>
  <c r="AE104" i="1"/>
  <c r="AD104" i="1"/>
  <c r="AC104" i="1"/>
  <c r="AB104" i="1"/>
  <c r="M105" i="1" s="1"/>
  <c r="H285" i="4"/>
  <c r="H286" i="4" s="1"/>
  <c r="C285" i="4"/>
  <c r="C286" i="4" s="1"/>
  <c r="D285" i="4"/>
  <c r="D286" i="4" s="1"/>
  <c r="E285" i="4"/>
  <c r="E286" i="4" s="1"/>
  <c r="F285" i="4"/>
  <c r="F286" i="4" s="1"/>
  <c r="G285" i="4"/>
  <c r="G286" i="4" s="1"/>
  <c r="B285" i="4"/>
  <c r="B286" i="4" s="1"/>
  <c r="L104" i="1"/>
  <c r="AH103" i="1"/>
  <c r="AG103" i="1"/>
  <c r="AF103" i="1"/>
  <c r="AE103" i="1"/>
  <c r="AD103" i="1"/>
  <c r="AC103" i="1"/>
  <c r="AB103" i="1"/>
  <c r="H282" i="4"/>
  <c r="H284" i="4" s="1"/>
  <c r="C282" i="4"/>
  <c r="C284" i="4" s="1"/>
  <c r="D282" i="4"/>
  <c r="D284" i="4" s="1"/>
  <c r="E282" i="4"/>
  <c r="E284" i="4" s="1"/>
  <c r="F282" i="4"/>
  <c r="F284" i="4" s="1"/>
  <c r="G282" i="4"/>
  <c r="G284" i="4" s="1"/>
  <c r="B282" i="4"/>
  <c r="B284" i="4" s="1"/>
  <c r="AN103" i="1" l="1"/>
  <c r="AK108" i="1"/>
  <c r="AN110" i="1"/>
  <c r="AI110" i="1"/>
  <c r="AJ108" i="1"/>
  <c r="AJ109" i="1"/>
  <c r="AL103" i="1"/>
  <c r="AL108" i="1"/>
  <c r="AI107" i="1"/>
  <c r="AJ106" i="1"/>
  <c r="AJ107" i="1"/>
  <c r="AJ104" i="1"/>
  <c r="AK105" i="1"/>
  <c r="AM108" i="1"/>
  <c r="AM110" i="1"/>
  <c r="AK103" i="1"/>
  <c r="AL104" i="1"/>
  <c r="AN106" i="1"/>
  <c r="AN107" i="1"/>
  <c r="AM104" i="1"/>
  <c r="AI109" i="1"/>
  <c r="AL110" i="1"/>
  <c r="AI103" i="1"/>
  <c r="AN104" i="1"/>
  <c r="M110" i="1"/>
  <c r="AJ103" i="1"/>
  <c r="M104" i="1"/>
  <c r="AI105" i="1"/>
  <c r="AI104" i="1"/>
  <c r="AK109" i="1"/>
  <c r="AM105" i="1"/>
  <c r="AK106" i="1"/>
  <c r="AI108" i="1"/>
  <c r="AM109" i="1"/>
  <c r="AK110" i="1"/>
  <c r="AL105" i="1"/>
  <c r="AL109" i="1"/>
  <c r="AM103" i="1"/>
  <c r="AK104" i="1"/>
  <c r="AI106" i="1"/>
  <c r="AN109" i="1"/>
  <c r="AM106" i="1"/>
  <c r="AL107" i="1"/>
  <c r="AL106" i="1"/>
  <c r="AJ105" i="1"/>
  <c r="M107" i="1"/>
  <c r="AJ110" i="1"/>
  <c r="AM107" i="1"/>
  <c r="AN105" i="1"/>
  <c r="AK107" i="1"/>
  <c r="L103" i="1"/>
  <c r="AH102" i="1"/>
  <c r="AG102" i="1"/>
  <c r="AF102" i="1"/>
  <c r="AE102" i="1"/>
  <c r="AD102" i="1"/>
  <c r="AC102" i="1"/>
  <c r="AB102" i="1"/>
  <c r="L102" i="1"/>
  <c r="AH101" i="1"/>
  <c r="AG101" i="1"/>
  <c r="AF101" i="1"/>
  <c r="AE101" i="1"/>
  <c r="AD101" i="1"/>
  <c r="AC101" i="1"/>
  <c r="AB101" i="1"/>
  <c r="M102" i="1" s="1"/>
  <c r="H272" i="4"/>
  <c r="H273" i="4" s="1"/>
  <c r="G272" i="4"/>
  <c r="G273" i="4" s="1"/>
  <c r="E272" i="4"/>
  <c r="E273" i="4" s="1"/>
  <c r="D272" i="4"/>
  <c r="D273" i="4" s="1"/>
  <c r="C272" i="4"/>
  <c r="C273" i="4" s="1"/>
  <c r="L101" i="1"/>
  <c r="AH100" i="1"/>
  <c r="AG100" i="1"/>
  <c r="AF100" i="1"/>
  <c r="AE100" i="1"/>
  <c r="AD100" i="1"/>
  <c r="AC100" i="1"/>
  <c r="AB100" i="1"/>
  <c r="M101" i="1" s="1"/>
  <c r="C269" i="4"/>
  <c r="D269" i="4"/>
  <c r="E269" i="4"/>
  <c r="F269" i="4"/>
  <c r="G269" i="4"/>
  <c r="H269" i="4"/>
  <c r="B269" i="4"/>
  <c r="AI100" i="1" l="1"/>
  <c r="AI102" i="1"/>
  <c r="AN101" i="1"/>
  <c r="AN102" i="1"/>
  <c r="AL100" i="1"/>
  <c r="AN100" i="1"/>
  <c r="AM100" i="1"/>
  <c r="AI101" i="1"/>
  <c r="AL102" i="1"/>
  <c r="AJ101" i="1"/>
  <c r="AJ100" i="1"/>
  <c r="AJ102" i="1"/>
  <c r="AK100" i="1"/>
  <c r="AM102" i="1"/>
  <c r="AK102" i="1"/>
  <c r="AK101" i="1"/>
  <c r="M103" i="1"/>
  <c r="AM101" i="1"/>
  <c r="AL101" i="1"/>
  <c r="AH99" i="1"/>
  <c r="AN99" i="1" s="1"/>
  <c r="AG99" i="1"/>
  <c r="AM99" i="1" s="1"/>
  <c r="AF99" i="1"/>
  <c r="AE99" i="1"/>
  <c r="AD99" i="1"/>
  <c r="AJ99" i="1" s="1"/>
  <c r="AC99" i="1"/>
  <c r="AI99" i="1" s="1"/>
  <c r="AB99" i="1"/>
  <c r="L100" i="1"/>
  <c r="M100" i="1"/>
  <c r="L99" i="1"/>
  <c r="AH98" i="1"/>
  <c r="AG98" i="1"/>
  <c r="AF98" i="1"/>
  <c r="AE98" i="1"/>
  <c r="AD98" i="1"/>
  <c r="AC98" i="1"/>
  <c r="AB98" i="1"/>
  <c r="D263" i="4"/>
  <c r="C262" i="4"/>
  <c r="C263" i="4" s="1"/>
  <c r="D262" i="4"/>
  <c r="E262" i="4"/>
  <c r="E263" i="4" s="1"/>
  <c r="F262" i="4"/>
  <c r="F263" i="4" s="1"/>
  <c r="G262" i="4"/>
  <c r="G263" i="4" s="1"/>
  <c r="H262" i="4"/>
  <c r="H263" i="4" s="1"/>
  <c r="B262" i="4"/>
  <c r="B263" i="4" s="1"/>
  <c r="AK98" i="1" l="1"/>
  <c r="AI98" i="1"/>
  <c r="AL99" i="1"/>
  <c r="M99" i="1"/>
  <c r="AJ98" i="1"/>
  <c r="AL98" i="1"/>
  <c r="AM98" i="1"/>
  <c r="AN98" i="1"/>
  <c r="AK99" i="1"/>
  <c r="L98" i="1"/>
  <c r="AH97" i="1"/>
  <c r="AG97" i="1"/>
  <c r="AF97" i="1"/>
  <c r="AE97" i="1"/>
  <c r="AD97" i="1"/>
  <c r="AC97" i="1"/>
  <c r="AB97" i="1"/>
  <c r="M98" i="1" s="1"/>
  <c r="L97" i="1"/>
  <c r="AH96" i="1"/>
  <c r="AG96" i="1"/>
  <c r="AF96" i="1"/>
  <c r="AE96" i="1"/>
  <c r="AD96" i="1"/>
  <c r="AC96" i="1"/>
  <c r="AB96" i="1"/>
  <c r="M97" i="1" s="1"/>
  <c r="AK97" i="1" l="1"/>
  <c r="AL96" i="1"/>
  <c r="AI97" i="1"/>
  <c r="AJ97" i="1"/>
  <c r="AN96" i="1"/>
  <c r="AM97" i="1"/>
  <c r="AI96" i="1"/>
  <c r="AN97" i="1"/>
  <c r="AJ96" i="1"/>
  <c r="AL97" i="1"/>
  <c r="AM96" i="1"/>
  <c r="AK96" i="1"/>
  <c r="AH95" i="1"/>
  <c r="AN95" i="1" s="1"/>
  <c r="AG95" i="1"/>
  <c r="AF95" i="1"/>
  <c r="AE95" i="1"/>
  <c r="AD95" i="1"/>
  <c r="AC95" i="1"/>
  <c r="AB95" i="1"/>
  <c r="L96" i="1"/>
  <c r="M96" i="1"/>
  <c r="G249" i="4"/>
  <c r="H248" i="4"/>
  <c r="G248" i="4"/>
  <c r="F248" i="4"/>
  <c r="E248" i="4"/>
  <c r="D248" i="4"/>
  <c r="C248" i="4"/>
  <c r="B248" i="4"/>
  <c r="H247" i="4"/>
  <c r="G247" i="4"/>
  <c r="F247" i="4"/>
  <c r="E247" i="4"/>
  <c r="D247" i="4"/>
  <c r="C247" i="4"/>
  <c r="B247" i="4"/>
  <c r="L95" i="1"/>
  <c r="AH94" i="1"/>
  <c r="AG94" i="1"/>
  <c r="AM94" i="1" s="1"/>
  <c r="AF94" i="1"/>
  <c r="AE94" i="1"/>
  <c r="AD94" i="1"/>
  <c r="AC94" i="1"/>
  <c r="AB94" i="1"/>
  <c r="AJ94" i="1" s="1"/>
  <c r="H245" i="4"/>
  <c r="H246" i="4" s="1"/>
  <c r="G245" i="4"/>
  <c r="G246" i="4" s="1"/>
  <c r="F245" i="4"/>
  <c r="F246" i="4" s="1"/>
  <c r="E245" i="4"/>
  <c r="E246" i="4" s="1"/>
  <c r="D245" i="4"/>
  <c r="D246" i="4" s="1"/>
  <c r="C245" i="4"/>
  <c r="C246" i="4" s="1"/>
  <c r="B245" i="4"/>
  <c r="B246" i="4" s="1"/>
  <c r="AI94" i="1" l="1"/>
  <c r="AJ95" i="1"/>
  <c r="AK94" i="1"/>
  <c r="M95" i="1"/>
  <c r="AI95" i="1"/>
  <c r="AL95" i="1"/>
  <c r="AM95" i="1"/>
  <c r="AK95" i="1"/>
  <c r="AN94" i="1"/>
  <c r="AL94" i="1"/>
  <c r="L94"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AK93" i="1" l="1"/>
  <c r="M94" i="1"/>
  <c r="AN93" i="1"/>
  <c r="AI93" i="1"/>
  <c r="AJ93" i="1"/>
  <c r="AM93" i="1"/>
  <c r="AL93" i="1"/>
  <c r="L93" i="1"/>
  <c r="M93" i="1"/>
  <c r="AI92" i="1"/>
  <c r="AJ92" i="1"/>
  <c r="AK92" i="1"/>
  <c r="AL92" i="1"/>
  <c r="AM92" i="1"/>
  <c r="AN92" i="1"/>
  <c r="L92" i="1"/>
  <c r="AH91" i="1"/>
  <c r="AG91" i="1"/>
  <c r="AF91" i="1"/>
  <c r="AE91" i="1"/>
  <c r="AD91" i="1"/>
  <c r="AC91" i="1"/>
  <c r="AB91" i="1"/>
  <c r="AN91" i="1" s="1"/>
  <c r="L91" i="1"/>
  <c r="AH90" i="1"/>
  <c r="AG90" i="1"/>
  <c r="AF90" i="1"/>
  <c r="AE90" i="1"/>
  <c r="AD90" i="1"/>
  <c r="AC90" i="1"/>
  <c r="AB90" i="1"/>
  <c r="L90" i="1"/>
  <c r="AH89" i="1"/>
  <c r="AG89" i="1"/>
  <c r="AF89" i="1"/>
  <c r="AE89" i="1"/>
  <c r="AD89" i="1"/>
  <c r="AC89" i="1"/>
  <c r="AB89" i="1"/>
  <c r="M90" i="1" s="1"/>
  <c r="L89" i="1"/>
  <c r="AI91" i="1" l="1"/>
  <c r="AM91" i="1"/>
  <c r="M92" i="1"/>
  <c r="AI89" i="1"/>
  <c r="AJ90" i="1"/>
  <c r="AI90" i="1"/>
  <c r="AJ89" i="1"/>
  <c r="AK89" i="1"/>
  <c r="AN90" i="1"/>
  <c r="AN89" i="1"/>
  <c r="AJ91" i="1"/>
  <c r="AK91" i="1"/>
  <c r="AK90" i="1"/>
  <c r="AL91" i="1"/>
  <c r="AL89" i="1"/>
  <c r="AM90" i="1"/>
  <c r="AL90" i="1"/>
  <c r="M91" i="1"/>
  <c r="AM89" i="1"/>
  <c r="AH88" i="1"/>
  <c r="AG88" i="1"/>
  <c r="AF88" i="1"/>
  <c r="AE88" i="1"/>
  <c r="AD88" i="1"/>
  <c r="AC88" i="1"/>
  <c r="AB88" i="1"/>
  <c r="C229" i="4"/>
  <c r="C230" i="4" s="1"/>
  <c r="D229" i="4"/>
  <c r="D230" i="4" s="1"/>
  <c r="E229" i="4"/>
  <c r="E230" i="4" s="1"/>
  <c r="F229" i="4"/>
  <c r="F230" i="4" s="1"/>
  <c r="G229" i="4"/>
  <c r="G230" i="4" s="1"/>
  <c r="H229" i="4"/>
  <c r="H230" i="4" s="1"/>
  <c r="B229" i="4"/>
  <c r="B230" i="4" s="1"/>
  <c r="L88" i="1"/>
  <c r="AH87" i="1"/>
  <c r="AG87" i="1"/>
  <c r="AF87" i="1"/>
  <c r="AE87" i="1"/>
  <c r="AD87" i="1"/>
  <c r="AC87" i="1"/>
  <c r="AB87" i="1"/>
  <c r="M88" i="1" s="1"/>
  <c r="L87" i="1"/>
  <c r="AH86" i="1"/>
  <c r="AG86" i="1"/>
  <c r="AF86" i="1"/>
  <c r="AE86" i="1"/>
  <c r="AD86" i="1"/>
  <c r="AC86" i="1"/>
  <c r="AB86" i="1"/>
  <c r="L86" i="1"/>
  <c r="AH85" i="1"/>
  <c r="AG85" i="1"/>
  <c r="AF85" i="1"/>
  <c r="AE85" i="1"/>
  <c r="AD85" i="1"/>
  <c r="AC85" i="1"/>
  <c r="AB85" i="1"/>
  <c r="M86" i="1" s="1"/>
  <c r="L85" i="1"/>
  <c r="AJ86" i="1" l="1"/>
  <c r="AL85" i="1"/>
  <c r="AJ87" i="1"/>
  <c r="AK85" i="1"/>
  <c r="AI87" i="1"/>
  <c r="AJ88" i="1"/>
  <c r="AK87" i="1"/>
  <c r="AM85" i="1"/>
  <c r="AL86" i="1"/>
  <c r="AL87" i="1"/>
  <c r="AN85" i="1"/>
  <c r="AM86" i="1"/>
  <c r="AM87" i="1"/>
  <c r="AJ85" i="1"/>
  <c r="AN86" i="1"/>
  <c r="AN87" i="1"/>
  <c r="AI86" i="1"/>
  <c r="AI85" i="1"/>
  <c r="AN88" i="1"/>
  <c r="M87" i="1"/>
  <c r="AK86" i="1"/>
  <c r="AI88" i="1"/>
  <c r="M89" i="1"/>
  <c r="AL88" i="1"/>
  <c r="AM88" i="1"/>
  <c r="AK88" i="1"/>
  <c r="AH84" i="1"/>
  <c r="AG84" i="1"/>
  <c r="AF84" i="1"/>
  <c r="AE84" i="1"/>
  <c r="AD84" i="1"/>
  <c r="AC84" i="1"/>
  <c r="AB84" i="1"/>
  <c r="M85" i="1" s="1"/>
  <c r="L84" i="1"/>
  <c r="AN84" i="1" l="1"/>
  <c r="AI84" i="1"/>
  <c r="AM84" i="1"/>
  <c r="AJ84" i="1"/>
  <c r="AK84" i="1"/>
  <c r="AL84" i="1"/>
  <c r="AH83" i="1"/>
  <c r="AG83" i="1"/>
  <c r="AF83" i="1"/>
  <c r="AE83" i="1"/>
  <c r="AD83" i="1"/>
  <c r="AC83" i="1"/>
  <c r="AB83" i="1"/>
  <c r="M84" i="1" s="1"/>
  <c r="AI83" i="1"/>
  <c r="C218" i="4"/>
  <c r="C219" i="4" s="1"/>
  <c r="D218" i="4"/>
  <c r="D219" i="4" s="1"/>
  <c r="E218" i="4"/>
  <c r="E219" i="4" s="1"/>
  <c r="F218" i="4"/>
  <c r="F219" i="4" s="1"/>
  <c r="G218" i="4"/>
  <c r="G219" i="4" s="1"/>
  <c r="H218" i="4"/>
  <c r="H219" i="4" s="1"/>
  <c r="B218" i="4"/>
  <c r="B219" i="4" s="1"/>
  <c r="L83" i="1"/>
  <c r="AH82" i="1"/>
  <c r="AG82" i="1"/>
  <c r="AM82" i="1" s="1"/>
  <c r="AF82" i="1"/>
  <c r="AE82" i="1"/>
  <c r="AD82" i="1"/>
  <c r="AC82" i="1"/>
  <c r="AB82" i="1"/>
  <c r="M83" i="1" s="1"/>
  <c r="L82" i="1"/>
  <c r="AK83" i="1" l="1"/>
  <c r="AK82" i="1"/>
  <c r="AL82" i="1"/>
  <c r="AN82" i="1"/>
  <c r="AJ82" i="1"/>
  <c r="AJ83" i="1"/>
  <c r="AI82" i="1"/>
  <c r="AM83" i="1"/>
  <c r="AN83" i="1"/>
  <c r="AL83" i="1"/>
  <c r="AH81" i="1"/>
  <c r="AG81" i="1"/>
  <c r="AF81" i="1"/>
  <c r="AE81" i="1"/>
  <c r="AD81" i="1"/>
  <c r="AC81" i="1"/>
  <c r="AB81" i="1"/>
  <c r="M82" i="1" s="1"/>
  <c r="L81" i="1"/>
  <c r="AM81" i="1" l="1"/>
  <c r="AL81" i="1"/>
  <c r="AI81" i="1"/>
  <c r="AJ81" i="1"/>
  <c r="AN81" i="1"/>
  <c r="AK81" i="1"/>
  <c r="AH80" i="1"/>
  <c r="AN80" i="1" s="1"/>
  <c r="AG80" i="1"/>
  <c r="AM80" i="1" s="1"/>
  <c r="AF80" i="1"/>
  <c r="AE80" i="1"/>
  <c r="AD80" i="1"/>
  <c r="AC80" i="1"/>
  <c r="AB80" i="1"/>
  <c r="M81" i="1" s="1"/>
  <c r="L80" i="1"/>
  <c r="AH79" i="1"/>
  <c r="AG79" i="1"/>
  <c r="AF79" i="1"/>
  <c r="AE79" i="1"/>
  <c r="AD79" i="1"/>
  <c r="AC79" i="1"/>
  <c r="AB79" i="1"/>
  <c r="M80" i="1" s="1"/>
  <c r="AL80" i="1" l="1"/>
  <c r="AI79" i="1"/>
  <c r="AJ79" i="1"/>
  <c r="AK80" i="1"/>
  <c r="AM79" i="1"/>
  <c r="AJ80" i="1"/>
  <c r="AI80" i="1"/>
  <c r="AN79" i="1"/>
  <c r="AL79" i="1"/>
  <c r="AK79" i="1"/>
  <c r="L79" i="1"/>
  <c r="AH78" i="1"/>
  <c r="AG78" i="1"/>
  <c r="AF78" i="1"/>
  <c r="AE78" i="1"/>
  <c r="AD78" i="1"/>
  <c r="AC78" i="1"/>
  <c r="AB78" i="1"/>
  <c r="H208" i="4"/>
  <c r="G208" i="4"/>
  <c r="F208" i="4"/>
  <c r="E208" i="4"/>
  <c r="C208" i="4"/>
  <c r="B208" i="4"/>
  <c r="L78" i="1"/>
  <c r="AH77" i="1"/>
  <c r="AG77" i="1"/>
  <c r="AF77" i="1"/>
  <c r="AE77" i="1"/>
  <c r="AD77" i="1"/>
  <c r="AC77" i="1"/>
  <c r="AB77" i="1"/>
  <c r="M78" i="1" s="1"/>
  <c r="AL78" i="1" l="1"/>
  <c r="AM78" i="1"/>
  <c r="AN78" i="1"/>
  <c r="AJ78" i="1"/>
  <c r="AK78" i="1"/>
  <c r="AI78" i="1"/>
  <c r="M79" i="1"/>
  <c r="AI77" i="1"/>
  <c r="AJ77" i="1"/>
  <c r="AK77" i="1"/>
  <c r="AL77" i="1"/>
  <c r="AM77" i="1"/>
  <c r="AN77" i="1"/>
  <c r="L77" i="1"/>
  <c r="AH76" i="1"/>
  <c r="AG76" i="1"/>
  <c r="AF76" i="1"/>
  <c r="AE76" i="1"/>
  <c r="AD76" i="1"/>
  <c r="AC76" i="1"/>
  <c r="AB76" i="1"/>
  <c r="M77" i="1" s="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AH75" i="1"/>
  <c r="AG75" i="1"/>
  <c r="AF75" i="1"/>
  <c r="AE75" i="1"/>
  <c r="AD75" i="1"/>
  <c r="AC75" i="1"/>
  <c r="AB75" i="1"/>
  <c r="AL76" i="1" l="1"/>
  <c r="AJ76" i="1"/>
  <c r="AM75" i="1"/>
  <c r="AK76" i="1"/>
  <c r="AN76" i="1"/>
  <c r="AN75" i="1"/>
  <c r="AJ75" i="1"/>
  <c r="AL75" i="1"/>
  <c r="AI76" i="1"/>
  <c r="AK75" i="1"/>
  <c r="M76" i="1"/>
  <c r="AI75" i="1"/>
  <c r="AM76" i="1"/>
  <c r="F206" i="4"/>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J74" i="1" s="1"/>
  <c r="AE74" i="1"/>
  <c r="AF74" i="1"/>
  <c r="AG74" i="1"/>
  <c r="AH74" i="1"/>
  <c r="L75" i="1"/>
  <c r="M75" i="1"/>
  <c r="L74" i="1"/>
  <c r="AH73" i="1"/>
  <c r="AG73" i="1"/>
  <c r="AF73" i="1"/>
  <c r="AE73" i="1"/>
  <c r="AD73" i="1"/>
  <c r="AC73" i="1"/>
  <c r="AB73" i="1"/>
  <c r="L73" i="1"/>
  <c r="C190" i="4"/>
  <c r="C191" i="4" s="1"/>
  <c r="D190" i="4"/>
  <c r="D191" i="4" s="1"/>
  <c r="E190" i="4"/>
  <c r="E191" i="4" s="1"/>
  <c r="F190" i="4"/>
  <c r="F191" i="4" s="1"/>
  <c r="G190" i="4"/>
  <c r="G191" i="4" s="1"/>
  <c r="H190" i="4"/>
  <c r="H191" i="4" s="1"/>
  <c r="B190" i="4"/>
  <c r="B191" i="4" s="1"/>
  <c r="AH72" i="1"/>
  <c r="AG72" i="1"/>
  <c r="AF72" i="1"/>
  <c r="AE72" i="1"/>
  <c r="AD72" i="1"/>
  <c r="AC72" i="1"/>
  <c r="AB72" i="1"/>
  <c r="AH71" i="1"/>
  <c r="AG71" i="1"/>
  <c r="AF71" i="1"/>
  <c r="AE71" i="1"/>
  <c r="AD71" i="1"/>
  <c r="AC71" i="1"/>
  <c r="AB71" i="1"/>
  <c r="M72" i="1" s="1"/>
  <c r="L72"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AL71" i="1" l="1"/>
  <c r="AN71" i="1"/>
  <c r="AI72" i="1"/>
  <c r="AL74" i="1"/>
  <c r="AK72" i="1"/>
  <c r="M73" i="1"/>
  <c r="AJ72" i="1"/>
  <c r="AI73" i="1"/>
  <c r="AI74" i="1"/>
  <c r="AM72" i="1"/>
  <c r="AK73" i="1"/>
  <c r="AN74" i="1"/>
  <c r="AJ71" i="1"/>
  <c r="AL72" i="1"/>
  <c r="AJ73" i="1"/>
  <c r="AN72" i="1"/>
  <c r="AL73" i="1"/>
  <c r="AI71" i="1"/>
  <c r="AN73" i="1"/>
  <c r="AM73" i="1"/>
  <c r="M74" i="1"/>
  <c r="AM74" i="1"/>
  <c r="AK74" i="1"/>
  <c r="AM71" i="1"/>
  <c r="AK71" i="1"/>
  <c r="AH70" i="1"/>
  <c r="AG70" i="1"/>
  <c r="AF70" i="1"/>
  <c r="AE70" i="1"/>
  <c r="AD70" i="1"/>
  <c r="AC70" i="1"/>
  <c r="AB70" i="1"/>
  <c r="M71" i="1" s="1"/>
  <c r="C179" i="4"/>
  <c r="C180" i="4" s="1"/>
  <c r="D179" i="4"/>
  <c r="D180" i="4" s="1"/>
  <c r="E179" i="4"/>
  <c r="E180" i="4" s="1"/>
  <c r="F179" i="4"/>
  <c r="F180" i="4" s="1"/>
  <c r="G179" i="4"/>
  <c r="G180" i="4" s="1"/>
  <c r="H179" i="4"/>
  <c r="H180" i="4" s="1"/>
  <c r="B179" i="4"/>
  <c r="B180" i="4" s="1"/>
  <c r="H181" i="4"/>
  <c r="F181" i="4"/>
  <c r="D181" i="4"/>
  <c r="C181" i="4"/>
  <c r="B181" i="4"/>
  <c r="L70" i="1"/>
  <c r="AN70" i="1" l="1"/>
  <c r="AI70" i="1"/>
  <c r="AK70" i="1"/>
  <c r="AL70" i="1"/>
  <c r="AM70" i="1"/>
  <c r="AJ70" i="1"/>
  <c r="AH69" i="1"/>
  <c r="AG69" i="1"/>
  <c r="AF69" i="1"/>
  <c r="AE69" i="1"/>
  <c r="AD69" i="1"/>
  <c r="AC69" i="1"/>
  <c r="AB69" i="1"/>
  <c r="M70" i="1" s="1"/>
  <c r="L69" i="1"/>
  <c r="AH68" i="1"/>
  <c r="AG68" i="1"/>
  <c r="AF68" i="1"/>
  <c r="AE68" i="1"/>
  <c r="AD68" i="1"/>
  <c r="AC68" i="1"/>
  <c r="AB68" i="1"/>
  <c r="C178" i="4"/>
  <c r="D178" i="4"/>
  <c r="L68" i="1"/>
  <c r="AH67" i="1"/>
  <c r="AG67" i="1"/>
  <c r="AF67" i="1"/>
  <c r="AE67" i="1"/>
  <c r="AD67" i="1"/>
  <c r="AC67" i="1"/>
  <c r="AB67" i="1"/>
  <c r="M68" i="1" s="1"/>
  <c r="H175" i="4"/>
  <c r="H176" i="4" s="1"/>
  <c r="C175" i="4"/>
  <c r="C176" i="4" s="1"/>
  <c r="D175" i="4"/>
  <c r="D176" i="4" s="1"/>
  <c r="E175" i="4"/>
  <c r="E176" i="4" s="1"/>
  <c r="F175" i="4"/>
  <c r="F176" i="4" s="1"/>
  <c r="G175" i="4"/>
  <c r="G176" i="4" s="1"/>
  <c r="B175" i="4"/>
  <c r="B176" i="4" s="1"/>
  <c r="L67" i="1"/>
  <c r="AH66" i="1"/>
  <c r="AG66" i="1"/>
  <c r="AF66" i="1"/>
  <c r="AE66" i="1"/>
  <c r="AD66" i="1"/>
  <c r="AC66" i="1"/>
  <c r="AB66" i="1"/>
  <c r="AK66" i="1" s="1"/>
  <c r="C170" i="4"/>
  <c r="D170" i="4"/>
  <c r="E170" i="4"/>
  <c r="F170" i="4"/>
  <c r="G170" i="4"/>
  <c r="H170" i="4"/>
  <c r="B170" i="4"/>
  <c r="C168" i="4"/>
  <c r="D168" i="4"/>
  <c r="E168" i="4"/>
  <c r="F168" i="4"/>
  <c r="G168" i="4"/>
  <c r="H168" i="4"/>
  <c r="B168" i="4"/>
  <c r="C166" i="4"/>
  <c r="D166" i="4"/>
  <c r="E166" i="4"/>
  <c r="F166" i="4"/>
  <c r="G166" i="4"/>
  <c r="H166" i="4"/>
  <c r="B166" i="4"/>
  <c r="L66" i="1"/>
  <c r="AH65" i="1"/>
  <c r="AG65" i="1"/>
  <c r="AF65" i="1"/>
  <c r="AE65" i="1"/>
  <c r="AD65" i="1"/>
  <c r="AC65" i="1"/>
  <c r="AB65" i="1"/>
  <c r="M66" i="1" s="1"/>
  <c r="AL66" i="1" l="1"/>
  <c r="AM67" i="1"/>
  <c r="AL67" i="1"/>
  <c r="AM66" i="1"/>
  <c r="AL68" i="1"/>
  <c r="AL69" i="1"/>
  <c r="AN68" i="1"/>
  <c r="AK67" i="1"/>
  <c r="AN66" i="1"/>
  <c r="AJ67" i="1"/>
  <c r="M67" i="1"/>
  <c r="AI66" i="1"/>
  <c r="AJ66" i="1"/>
  <c r="AN67" i="1"/>
  <c r="AJ68" i="1"/>
  <c r="AK69" i="1"/>
  <c r="AI68" i="1"/>
  <c r="AN69" i="1"/>
  <c r="AI67" i="1"/>
  <c r="AM69" i="1"/>
  <c r="AJ69" i="1"/>
  <c r="AI69" i="1"/>
  <c r="M69" i="1"/>
  <c r="D281" i="4"/>
  <c r="D345" i="4"/>
  <c r="B281" i="4"/>
  <c r="B345" i="4"/>
  <c r="H281" i="4"/>
  <c r="H345" i="4"/>
  <c r="G281" i="4"/>
  <c r="G345" i="4"/>
  <c r="E281" i="4"/>
  <c r="E345" i="4"/>
  <c r="C281" i="4"/>
  <c r="C345" i="4"/>
  <c r="F281" i="4"/>
  <c r="F345" i="4"/>
  <c r="H177" i="4"/>
  <c r="H196" i="4" s="1"/>
  <c r="F177" i="4"/>
  <c r="F196" i="4" s="1"/>
  <c r="D177" i="4"/>
  <c r="D196" i="4" s="1"/>
  <c r="B177" i="4"/>
  <c r="B196" i="4" s="1"/>
  <c r="G177" i="4"/>
  <c r="G196" i="4" s="1"/>
  <c r="E177" i="4"/>
  <c r="E196" i="4" s="1"/>
  <c r="C177" i="4"/>
  <c r="C196" i="4" s="1"/>
  <c r="AM68" i="1"/>
  <c r="AK68" i="1"/>
  <c r="AI65" i="1"/>
  <c r="AJ65" i="1"/>
  <c r="AK65" i="1"/>
  <c r="AL65" i="1"/>
  <c r="AM65" i="1"/>
  <c r="AN65" i="1"/>
  <c r="L65" i="1"/>
  <c r="AH64" i="1"/>
  <c r="AG64" i="1"/>
  <c r="AF64" i="1"/>
  <c r="AE64" i="1"/>
  <c r="AD64" i="1"/>
  <c r="AC64" i="1"/>
  <c r="AB64" i="1"/>
  <c r="M65" i="1" s="1"/>
  <c r="H158" i="4"/>
  <c r="H159" i="4" s="1"/>
  <c r="C158" i="4"/>
  <c r="C159" i="4" s="1"/>
  <c r="D158" i="4"/>
  <c r="D159" i="4" s="1"/>
  <c r="E158" i="4"/>
  <c r="E159" i="4" s="1"/>
  <c r="F158" i="4"/>
  <c r="F159" i="4" s="1"/>
  <c r="G158" i="4"/>
  <c r="G159" i="4" s="1"/>
  <c r="B158" i="4"/>
  <c r="B159" i="4" s="1"/>
  <c r="L64" i="1"/>
  <c r="AH63" i="1"/>
  <c r="AG63" i="1"/>
  <c r="AF63" i="1"/>
  <c r="AE63" i="1"/>
  <c r="AD63" i="1"/>
  <c r="AC63" i="1"/>
  <c r="AB63" i="1"/>
  <c r="M64" i="1" s="1"/>
  <c r="L63" i="1"/>
  <c r="AH62" i="1"/>
  <c r="AN62" i="1" s="1"/>
  <c r="AG62" i="1"/>
  <c r="AM62" i="1" s="1"/>
  <c r="AF62" i="1"/>
  <c r="AL62" i="1" s="1"/>
  <c r="AE62" i="1"/>
  <c r="AK62" i="1" s="1"/>
  <c r="AD62" i="1"/>
  <c r="AC62" i="1"/>
  <c r="AB62" i="1"/>
  <c r="M63" i="1" s="1"/>
  <c r="L62" i="1"/>
  <c r="AH61" i="1"/>
  <c r="AN61" i="1" s="1"/>
  <c r="AG61" i="1"/>
  <c r="AF61" i="1"/>
  <c r="AL61" i="1" s="1"/>
  <c r="AE61" i="1"/>
  <c r="AD61" i="1"/>
  <c r="AC61" i="1"/>
  <c r="AB61" i="1"/>
  <c r="M62" i="1" s="1"/>
  <c r="L61" i="1"/>
  <c r="AH60" i="1"/>
  <c r="AN60" i="1" s="1"/>
  <c r="AG60" i="1"/>
  <c r="AF60" i="1"/>
  <c r="AE60" i="1"/>
  <c r="AD60" i="1"/>
  <c r="AJ60" i="1" s="1"/>
  <c r="AC60" i="1"/>
  <c r="AB60" i="1"/>
  <c r="M61" i="1" s="1"/>
  <c r="L60" i="1"/>
  <c r="AG59" i="1"/>
  <c r="AH59" i="1"/>
  <c r="AF59" i="1"/>
  <c r="AE59" i="1"/>
  <c r="AD59" i="1"/>
  <c r="AC59" i="1"/>
  <c r="AB59" i="1"/>
  <c r="L59" i="1"/>
  <c r="AH58" i="1"/>
  <c r="AG58" i="1"/>
  <c r="AF58" i="1"/>
  <c r="AE58" i="1"/>
  <c r="AD58" i="1"/>
  <c r="AC58" i="1"/>
  <c r="AB58" i="1"/>
  <c r="L58" i="1"/>
  <c r="AH57" i="1"/>
  <c r="AG57" i="1"/>
  <c r="AF57" i="1"/>
  <c r="AE57" i="1"/>
  <c r="AD57" i="1"/>
  <c r="AC57" i="1"/>
  <c r="AB57" i="1"/>
  <c r="AJ57" i="1" s="1"/>
  <c r="C149" i="4"/>
  <c r="C151" i="4" s="1"/>
  <c r="D149" i="4"/>
  <c r="D151" i="4" s="1"/>
  <c r="E149" i="4"/>
  <c r="E151" i="4" s="1"/>
  <c r="F149" i="4"/>
  <c r="F151" i="4" s="1"/>
  <c r="G149" i="4"/>
  <c r="G151" i="4" s="1"/>
  <c r="H149" i="4"/>
  <c r="H151" i="4" s="1"/>
  <c r="B149" i="4"/>
  <c r="B151" i="4" s="1"/>
  <c r="AM60" i="1" l="1"/>
  <c r="AI60" i="1"/>
  <c r="AL60" i="1"/>
  <c r="AJ59" i="1"/>
  <c r="AK59" i="1"/>
  <c r="AL59" i="1"/>
  <c r="AM57" i="1"/>
  <c r="AN59" i="1"/>
  <c r="AI59" i="1"/>
  <c r="AJ58" i="1"/>
  <c r="AL58" i="1"/>
  <c r="AJ62" i="1"/>
  <c r="AK63" i="1"/>
  <c r="AI64" i="1"/>
  <c r="AI63" i="1"/>
  <c r="AJ63" i="1"/>
  <c r="AK64" i="1"/>
  <c r="AI58" i="1"/>
  <c r="AM59" i="1"/>
  <c r="AL63" i="1"/>
  <c r="AL64" i="1"/>
  <c r="AK60" i="1"/>
  <c r="AM63" i="1"/>
  <c r="AM64" i="1"/>
  <c r="AJ61" i="1"/>
  <c r="AI62" i="1"/>
  <c r="AN63" i="1"/>
  <c r="AN64" i="1"/>
  <c r="AK57" i="1"/>
  <c r="M58" i="1"/>
  <c r="AJ64" i="1"/>
  <c r="AN58" i="1"/>
  <c r="M60" i="1"/>
  <c r="M59" i="1"/>
  <c r="AI57" i="1"/>
  <c r="AI61" i="1"/>
  <c r="AM61" i="1"/>
  <c r="AK61" i="1"/>
  <c r="AM58" i="1"/>
  <c r="AK58" i="1"/>
  <c r="AN57" i="1"/>
  <c r="AL57" i="1"/>
  <c r="L57" i="1"/>
  <c r="AH56" i="1"/>
  <c r="AG56" i="1"/>
  <c r="AF56" i="1"/>
  <c r="AE56" i="1"/>
  <c r="AD56" i="1"/>
  <c r="AJ56" i="1" s="1"/>
  <c r="AC56" i="1"/>
  <c r="AB56" i="1"/>
  <c r="AI56" i="1" s="1"/>
  <c r="L56" i="1"/>
  <c r="AH55" i="1"/>
  <c r="AG55" i="1"/>
  <c r="AF55" i="1"/>
  <c r="AE55" i="1"/>
  <c r="AD55" i="1"/>
  <c r="AC55" i="1"/>
  <c r="AB55" i="1"/>
  <c r="M56" i="1" s="1"/>
  <c r="AI55" i="1" l="1"/>
  <c r="AL55" i="1"/>
  <c r="AK55" i="1"/>
  <c r="AJ55" i="1"/>
  <c r="AM55" i="1"/>
  <c r="AN55" i="1"/>
  <c r="AL56" i="1"/>
  <c r="M57" i="1"/>
  <c r="AN56" i="1"/>
  <c r="AM56" i="1"/>
  <c r="AK56" i="1"/>
  <c r="L55" i="1"/>
  <c r="BG43" i="1"/>
  <c r="BG54" i="1"/>
  <c r="AH54" i="1"/>
  <c r="AG54" i="1"/>
  <c r="AF54" i="1"/>
  <c r="AE54" i="1"/>
  <c r="AD54" i="1"/>
  <c r="AC54" i="1"/>
  <c r="AB54" i="1"/>
  <c r="C144" i="4"/>
  <c r="D144" i="4"/>
  <c r="E144" i="4"/>
  <c r="F144" i="4"/>
  <c r="G144" i="4"/>
  <c r="H144" i="4"/>
  <c r="B144" i="4"/>
  <c r="AJ54" i="1"/>
  <c r="AH53" i="1"/>
  <c r="AN53" i="1" s="1"/>
  <c r="AG53" i="1"/>
  <c r="AF53" i="1"/>
  <c r="AL53" i="1" s="1"/>
  <c r="AE53" i="1"/>
  <c r="AD53" i="1"/>
  <c r="AC53" i="1"/>
  <c r="AB53" i="1"/>
  <c r="L54" i="1"/>
  <c r="M54" i="1"/>
  <c r="L53" i="1"/>
  <c r="AH52" i="1"/>
  <c r="AG52" i="1"/>
  <c r="AF52" i="1"/>
  <c r="AE52" i="1"/>
  <c r="AD52" i="1"/>
  <c r="AC52" i="1"/>
  <c r="AB52" i="1"/>
  <c r="M53" i="1" s="1"/>
  <c r="L52" i="1"/>
  <c r="AH51" i="1"/>
  <c r="AG51" i="1"/>
  <c r="AF51" i="1"/>
  <c r="AE51" i="1"/>
  <c r="AD51" i="1"/>
  <c r="AC51" i="1"/>
  <c r="AB51" i="1"/>
  <c r="L51" i="1"/>
  <c r="AH50" i="1"/>
  <c r="AG50" i="1"/>
  <c r="AF50" i="1"/>
  <c r="AE50" i="1"/>
  <c r="AD50" i="1"/>
  <c r="AC50" i="1"/>
  <c r="AB50" i="1"/>
  <c r="M51" i="1" s="1"/>
  <c r="AE49" i="1"/>
  <c r="L50" i="1"/>
  <c r="AH49" i="1"/>
  <c r="AF49" i="1"/>
  <c r="AG49" i="1"/>
  <c r="AD49" i="1"/>
  <c r="AC49" i="1"/>
  <c r="AB49" i="1"/>
  <c r="M50" i="1" s="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AH48" i="1"/>
  <c r="AG48" i="1"/>
  <c r="AF48" i="1"/>
  <c r="AE48" i="1"/>
  <c r="AD48" i="1"/>
  <c r="AC48" i="1"/>
  <c r="AB48" i="1"/>
  <c r="M49" i="1" s="1"/>
  <c r="AI52" i="1" l="1"/>
  <c r="AK51" i="1"/>
  <c r="AN49" i="1"/>
  <c r="AK49" i="1"/>
  <c r="AN51" i="1"/>
  <c r="AN54" i="1"/>
  <c r="AL52" i="1"/>
  <c r="AM52" i="1"/>
  <c r="AJ52" i="1"/>
  <c r="AI50" i="1"/>
  <c r="AI51" i="1"/>
  <c r="M52" i="1"/>
  <c r="AJ53" i="1"/>
  <c r="AK50" i="1"/>
  <c r="AL54" i="1"/>
  <c r="AI49" i="1"/>
  <c r="AM49" i="1"/>
  <c r="AJ51" i="1"/>
  <c r="AM50" i="1"/>
  <c r="AL51" i="1"/>
  <c r="AK52" i="1"/>
  <c r="AJ50" i="1"/>
  <c r="AM51" i="1"/>
  <c r="AN52" i="1"/>
  <c r="AI54" i="1"/>
  <c r="M55" i="1"/>
  <c r="AI53" i="1"/>
  <c r="AM54" i="1"/>
  <c r="AK54" i="1"/>
  <c r="AM53" i="1"/>
  <c r="AK53" i="1"/>
  <c r="AN50" i="1"/>
  <c r="AL50" i="1"/>
  <c r="AL49" i="1"/>
  <c r="AJ49" i="1"/>
  <c r="AI48" i="1"/>
  <c r="L48" i="1"/>
  <c r="AH47" i="1"/>
  <c r="AG47" i="1"/>
  <c r="AF47" i="1"/>
  <c r="AE47" i="1"/>
  <c r="AD47" i="1"/>
  <c r="AC47" i="1"/>
  <c r="AB47" i="1"/>
  <c r="AI47" i="1" s="1"/>
  <c r="L47" i="1"/>
  <c r="AH46" i="1"/>
  <c r="AG46" i="1"/>
  <c r="AM46" i="1" s="1"/>
  <c r="AF46" i="1"/>
  <c r="AE46" i="1"/>
  <c r="AD46" i="1"/>
  <c r="AC46" i="1"/>
  <c r="AB46" i="1"/>
  <c r="M47" i="1" s="1"/>
  <c r="H121" i="4"/>
  <c r="H133" i="4" s="1"/>
  <c r="G121" i="4"/>
  <c r="G133" i="4" s="1"/>
  <c r="F121" i="4"/>
  <c r="F133" i="4" s="1"/>
  <c r="E121" i="4"/>
  <c r="E133" i="4" s="1"/>
  <c r="D121" i="4"/>
  <c r="D133" i="4" s="1"/>
  <c r="C121" i="4"/>
  <c r="C133" i="4" s="1"/>
  <c r="B121" i="4"/>
  <c r="B133" i="4" s="1"/>
  <c r="AH45" i="1"/>
  <c r="AG45" i="1"/>
  <c r="AF45" i="1"/>
  <c r="AE45" i="1"/>
  <c r="AD45" i="1"/>
  <c r="AC45" i="1"/>
  <c r="AB45" i="1"/>
  <c r="M46" i="1" s="1"/>
  <c r="L46" i="1"/>
  <c r="AK46" i="1" l="1"/>
  <c r="AL47" i="1"/>
  <c r="AN47" i="1"/>
  <c r="M48" i="1"/>
  <c r="AI46" i="1"/>
  <c r="AJ46" i="1"/>
  <c r="B122" i="4"/>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AH44" i="1"/>
  <c r="AG44" i="1"/>
  <c r="AF44" i="1"/>
  <c r="AE44" i="1"/>
  <c r="AD44" i="1"/>
  <c r="AC44" i="1"/>
  <c r="AB44" i="1"/>
  <c r="AI44" i="1" s="1"/>
  <c r="L44" i="1"/>
  <c r="AH43" i="1"/>
  <c r="AG43" i="1"/>
  <c r="AF43" i="1"/>
  <c r="AE43" i="1"/>
  <c r="AD43" i="1"/>
  <c r="AC43" i="1"/>
  <c r="AB43" i="1"/>
  <c r="M44" i="1" s="1"/>
  <c r="L43" i="1"/>
  <c r="M43" i="1"/>
  <c r="AH42" i="1"/>
  <c r="AG42" i="1"/>
  <c r="AF42" i="1"/>
  <c r="AL42" i="1" s="1"/>
  <c r="AE42" i="1"/>
  <c r="AD42" i="1"/>
  <c r="AC42" i="1"/>
  <c r="AB42" i="1"/>
  <c r="C116" i="4"/>
  <c r="C118" i="4" s="1"/>
  <c r="D116" i="4"/>
  <c r="D118" i="4" s="1"/>
  <c r="E116" i="4"/>
  <c r="E118" i="4" s="1"/>
  <c r="F116" i="4"/>
  <c r="F118" i="4" s="1"/>
  <c r="G116" i="4"/>
  <c r="G118" i="4" s="1"/>
  <c r="H116" i="4"/>
  <c r="H118" i="4" s="1"/>
  <c r="B116" i="4"/>
  <c r="B118" i="4" s="1"/>
  <c r="L42" i="1"/>
  <c r="M42" i="1"/>
  <c r="AH41" i="1"/>
  <c r="AG41" i="1"/>
  <c r="AF41" i="1"/>
  <c r="AE41" i="1"/>
  <c r="AD41" i="1"/>
  <c r="AC41" i="1"/>
  <c r="AB41" i="1"/>
  <c r="AI42" i="1" l="1"/>
  <c r="AN43" i="1"/>
  <c r="AJ43" i="1"/>
  <c r="AI43" i="1"/>
  <c r="AN44" i="1"/>
  <c r="AJ42" i="1"/>
  <c r="AJ44" i="1"/>
  <c r="M45" i="1"/>
  <c r="AN42" i="1"/>
  <c r="AL43" i="1"/>
  <c r="AL45" i="1"/>
  <c r="AM45" i="1"/>
  <c r="AK45" i="1"/>
  <c r="AL44" i="1"/>
  <c r="AM44" i="1"/>
  <c r="AK44" i="1"/>
  <c r="AM43" i="1"/>
  <c r="AK43" i="1"/>
  <c r="AM42" i="1"/>
  <c r="AK42" i="1"/>
  <c r="AI41" i="1"/>
  <c r="AJ41" i="1"/>
  <c r="AK41" i="1"/>
  <c r="AL41" i="1"/>
  <c r="AM41" i="1"/>
  <c r="AN41" i="1"/>
  <c r="L41" i="1"/>
  <c r="AH40" i="1"/>
  <c r="AG40" i="1"/>
  <c r="AF40" i="1"/>
  <c r="AE40" i="1"/>
  <c r="AD40" i="1"/>
  <c r="AC40" i="1"/>
  <c r="AB40" i="1"/>
  <c r="C113" i="4"/>
  <c r="C114" i="4" s="1"/>
  <c r="D113" i="4"/>
  <c r="D114" i="4" s="1"/>
  <c r="E113" i="4"/>
  <c r="E114" i="4" s="1"/>
  <c r="F113" i="4"/>
  <c r="F114" i="4" s="1"/>
  <c r="G113" i="4"/>
  <c r="G114" i="4" s="1"/>
  <c r="H113" i="4"/>
  <c r="H114" i="4" s="1"/>
  <c r="B113" i="4"/>
  <c r="B114" i="4" s="1"/>
  <c r="L40" i="1"/>
  <c r="AH39" i="1"/>
  <c r="AG39" i="1"/>
  <c r="AF39" i="1"/>
  <c r="AE39" i="1"/>
  <c r="AD39" i="1"/>
  <c r="AC39" i="1"/>
  <c r="AB39" i="1"/>
  <c r="M40" i="1" s="1"/>
  <c r="AH38" i="1"/>
  <c r="AG38" i="1"/>
  <c r="AF38" i="1"/>
  <c r="AE38" i="1"/>
  <c r="AD38" i="1"/>
  <c r="AC38" i="1"/>
  <c r="AB38" i="1"/>
  <c r="L39" i="1"/>
  <c r="C109" i="4"/>
  <c r="C110" i="4" s="1"/>
  <c r="D109" i="4"/>
  <c r="D110" i="4" s="1"/>
  <c r="E109" i="4"/>
  <c r="E110" i="4" s="1"/>
  <c r="F109" i="4"/>
  <c r="F110" i="4" s="1"/>
  <c r="G109" i="4"/>
  <c r="G110" i="4" s="1"/>
  <c r="H109" i="4"/>
  <c r="H110" i="4" s="1"/>
  <c r="B109" i="4"/>
  <c r="B110" i="4" s="1"/>
  <c r="L38" i="1"/>
  <c r="AH37" i="1"/>
  <c r="AG37" i="1"/>
  <c r="AF37" i="1"/>
  <c r="AE37" i="1"/>
  <c r="AD37" i="1"/>
  <c r="AC37" i="1"/>
  <c r="AB37" i="1"/>
  <c r="M38" i="1" s="1"/>
  <c r="AH36" i="1"/>
  <c r="AG36" i="1"/>
  <c r="AF36" i="1"/>
  <c r="AE36" i="1"/>
  <c r="AD36" i="1"/>
  <c r="AC36" i="1"/>
  <c r="AB36" i="1"/>
  <c r="M37" i="1" s="1"/>
  <c r="L36" i="1"/>
  <c r="L37" i="1"/>
  <c r="AH35" i="1"/>
  <c r="AG35" i="1"/>
  <c r="AF35" i="1"/>
  <c r="AE35" i="1"/>
  <c r="AD35" i="1"/>
  <c r="AC35" i="1"/>
  <c r="AB35" i="1"/>
  <c r="H105" i="4"/>
  <c r="G105" i="4"/>
  <c r="F105" i="4"/>
  <c r="E105" i="4"/>
  <c r="D105" i="4"/>
  <c r="C105" i="4"/>
  <c r="B105" i="4"/>
  <c r="H106" i="4"/>
  <c r="G106" i="4"/>
  <c r="F106" i="4"/>
  <c r="E106" i="4"/>
  <c r="D106" i="4"/>
  <c r="C106" i="4"/>
  <c r="B106" i="4"/>
  <c r="L35" i="1"/>
  <c r="AH34" i="1"/>
  <c r="AG34" i="1"/>
  <c r="AF34" i="1"/>
  <c r="AE34" i="1"/>
  <c r="AD34" i="1"/>
  <c r="AC34" i="1"/>
  <c r="AB34" i="1"/>
  <c r="H104" i="4"/>
  <c r="G104" i="4"/>
  <c r="F104" i="4"/>
  <c r="E104" i="4"/>
  <c r="C104" i="4"/>
  <c r="B104" i="4"/>
  <c r="F102" i="4"/>
  <c r="B102" i="4"/>
  <c r="F101" i="4"/>
  <c r="F272" i="4" s="1"/>
  <c r="F273" i="4" s="1"/>
  <c r="B101" i="4"/>
  <c r="B272" i="4" s="1"/>
  <c r="B273" i="4" s="1"/>
  <c r="AH33" i="1"/>
  <c r="AG33" i="1"/>
  <c r="AF33" i="1"/>
  <c r="AE33" i="1"/>
  <c r="AD33" i="1"/>
  <c r="AC33" i="1"/>
  <c r="AB33" i="1"/>
  <c r="M34" i="1" s="1"/>
  <c r="L34" i="1"/>
  <c r="C100" i="4"/>
  <c r="D100" i="4"/>
  <c r="E100" i="4"/>
  <c r="F100" i="4"/>
  <c r="G100" i="4"/>
  <c r="H100" i="4"/>
  <c r="B100" i="4"/>
  <c r="AI37" i="1" l="1"/>
  <c r="AJ39" i="1"/>
  <c r="AK35" i="1"/>
  <c r="AK39" i="1"/>
  <c r="AL37" i="1"/>
  <c r="AL39" i="1"/>
  <c r="AM37" i="1"/>
  <c r="AM39" i="1"/>
  <c r="AN39" i="1"/>
  <c r="AI34" i="1"/>
  <c r="AJ35" i="1"/>
  <c r="AK38" i="1"/>
  <c r="AK36" i="1"/>
  <c r="AM36" i="1"/>
  <c r="AJ38" i="1"/>
  <c r="AI40" i="1"/>
  <c r="AM35" i="1"/>
  <c r="AL40" i="1"/>
  <c r="AJ34" i="1"/>
  <c r="AI38" i="1"/>
  <c r="AI39" i="1"/>
  <c r="AI35" i="1"/>
  <c r="AI36" i="1"/>
  <c r="AJ37" i="1"/>
  <c r="AL38" i="1"/>
  <c r="AN34" i="1"/>
  <c r="AK37" i="1"/>
  <c r="AM38" i="1"/>
  <c r="M36" i="1"/>
  <c r="M39" i="1"/>
  <c r="AN40" i="1"/>
  <c r="AJ40" i="1"/>
  <c r="AN38" i="1"/>
  <c r="M35" i="1"/>
  <c r="AN37" i="1"/>
  <c r="M41" i="1"/>
  <c r="B107" i="4"/>
  <c r="D107" i="4"/>
  <c r="F107" i="4"/>
  <c r="H107" i="4"/>
  <c r="C107" i="4"/>
  <c r="E107" i="4"/>
  <c r="G107" i="4"/>
  <c r="AM40" i="1"/>
  <c r="AK40" i="1"/>
  <c r="AN36" i="1"/>
  <c r="AL36" i="1"/>
  <c r="AJ36" i="1"/>
  <c r="AN35" i="1"/>
  <c r="AL35" i="1"/>
  <c r="AL34" i="1"/>
  <c r="AM34" i="1"/>
  <c r="AK34" i="1"/>
  <c r="AI33" i="1"/>
  <c r="AJ33" i="1"/>
  <c r="AK33" i="1"/>
  <c r="AL33" i="1"/>
  <c r="AM33" i="1"/>
  <c r="AN33" i="1"/>
  <c r="AH32" i="1"/>
  <c r="AG32" i="1"/>
  <c r="AF32" i="1"/>
  <c r="AE32" i="1"/>
  <c r="AD32" i="1"/>
  <c r="AC32" i="1"/>
  <c r="AB32" i="1"/>
  <c r="L33" i="1"/>
  <c r="AI32" i="1" l="1"/>
  <c r="AJ32" i="1"/>
  <c r="AM32" i="1"/>
  <c r="M33" i="1"/>
  <c r="AN32" i="1"/>
  <c r="AK32" i="1"/>
  <c r="AL32" i="1"/>
  <c r="L32" i="1"/>
  <c r="AH31" i="1"/>
  <c r="AG31" i="1"/>
  <c r="AF31" i="1"/>
  <c r="AE31" i="1"/>
  <c r="AD31" i="1"/>
  <c r="AC31" i="1"/>
  <c r="AB31" i="1"/>
  <c r="M32" i="1" s="1"/>
  <c r="AN31" i="1" l="1"/>
  <c r="AM31" i="1"/>
  <c r="AJ31" i="1"/>
  <c r="AK31" i="1"/>
  <c r="AL31" i="1"/>
  <c r="AI31" i="1"/>
  <c r="L31" i="1"/>
  <c r="AH30" i="1"/>
  <c r="AG30" i="1"/>
  <c r="AM30" i="1" s="1"/>
  <c r="AF30" i="1"/>
  <c r="AE30" i="1"/>
  <c r="AD30" i="1"/>
  <c r="AC30" i="1"/>
  <c r="AB30" i="1"/>
  <c r="M31" i="1" s="1"/>
  <c r="AH29" i="1"/>
  <c r="AH28" i="1"/>
  <c r="AH27" i="1"/>
  <c r="AB29" i="1"/>
  <c r="AB28" i="1"/>
  <c r="M29" i="1" s="1"/>
  <c r="AB27" i="1"/>
  <c r="C90" i="4"/>
  <c r="D90" i="4"/>
  <c r="E90" i="4"/>
  <c r="F90" i="4"/>
  <c r="G90" i="4"/>
  <c r="H90" i="4"/>
  <c r="B90" i="4"/>
  <c r="L30" i="1"/>
  <c r="M30" i="1"/>
  <c r="L29" i="1"/>
  <c r="AG29" i="1"/>
  <c r="AF29" i="1"/>
  <c r="AE29" i="1"/>
  <c r="AD29" i="1"/>
  <c r="AJ29" i="1" s="1"/>
  <c r="AC29" i="1"/>
  <c r="AG28" i="1"/>
  <c r="AF28" i="1"/>
  <c r="AE28" i="1"/>
  <c r="AK28" i="1" s="1"/>
  <c r="AD28" i="1"/>
  <c r="AJ28" i="1" s="1"/>
  <c r="AC28" i="1"/>
  <c r="AG27" i="1"/>
  <c r="AF27" i="1"/>
  <c r="AE27" i="1"/>
  <c r="AD27" i="1"/>
  <c r="AC27" i="1"/>
  <c r="AU29" i="1"/>
  <c r="AU28" i="1"/>
  <c r="AU27" i="1"/>
  <c r="L28" i="1"/>
  <c r="L27" i="1"/>
  <c r="AH26" i="1"/>
  <c r="AG26" i="1"/>
  <c r="AF26" i="1"/>
  <c r="AE26" i="1"/>
  <c r="AD26" i="1"/>
  <c r="AC26" i="1"/>
  <c r="AB26" i="1"/>
  <c r="M27" i="1" s="1"/>
  <c r="L26" i="1"/>
  <c r="AH25" i="1"/>
  <c r="AG25" i="1"/>
  <c r="AF25" i="1"/>
  <c r="AE25" i="1"/>
  <c r="AD25" i="1"/>
  <c r="AC25" i="1"/>
  <c r="AB25" i="1"/>
  <c r="L25" i="1"/>
  <c r="AH24" i="1"/>
  <c r="AG24" i="1"/>
  <c r="AF24" i="1"/>
  <c r="AE24" i="1"/>
  <c r="AD24" i="1"/>
  <c r="AC24" i="1"/>
  <c r="AH23" i="1"/>
  <c r="AG23" i="1"/>
  <c r="AF23" i="1"/>
  <c r="AE23" i="1"/>
  <c r="AD23" i="1"/>
  <c r="AC23" i="1"/>
  <c r="AB24" i="1"/>
  <c r="M25" i="1" s="1"/>
  <c r="AB23" i="1"/>
  <c r="M24" i="1" s="1"/>
  <c r="L24" i="1"/>
  <c r="L23" i="1"/>
  <c r="AH22" i="1"/>
  <c r="AG22" i="1"/>
  <c r="AF22" i="1"/>
  <c r="AE22" i="1"/>
  <c r="AD22" i="1"/>
  <c r="AC22" i="1"/>
  <c r="AB22" i="1"/>
  <c r="AC21" i="1"/>
  <c r="AD21" i="1"/>
  <c r="AE21" i="1"/>
  <c r="AF21" i="1"/>
  <c r="AH21" i="1"/>
  <c r="AG21" i="1"/>
  <c r="AB21" i="1"/>
  <c r="M22" i="1" s="1"/>
  <c r="L22" i="1"/>
  <c r="C82" i="4"/>
  <c r="D82" i="4"/>
  <c r="E82" i="4"/>
  <c r="F82" i="4"/>
  <c r="G82" i="4"/>
  <c r="H82" i="4"/>
  <c r="B82" i="4"/>
  <c r="C81" i="4"/>
  <c r="D81" i="4"/>
  <c r="E81" i="4"/>
  <c r="F81" i="4"/>
  <c r="G81" i="4"/>
  <c r="H81" i="4"/>
  <c r="B81" i="4"/>
  <c r="AL24" i="1" l="1"/>
  <c r="AL28" i="1"/>
  <c r="AM28" i="1"/>
  <c r="AN30" i="1"/>
  <c r="AI25" i="1"/>
  <c r="AI27" i="1"/>
  <c r="AI30" i="1"/>
  <c r="AI29" i="1"/>
  <c r="AN24" i="1"/>
  <c r="AK29" i="1"/>
  <c r="AN27" i="1"/>
  <c r="AJ30" i="1"/>
  <c r="AJ24" i="1"/>
  <c r="AM23" i="1"/>
  <c r="AN28" i="1"/>
  <c r="AI28" i="1"/>
  <c r="AL29" i="1"/>
  <c r="AK30" i="1"/>
  <c r="AK22" i="1"/>
  <c r="AM29" i="1"/>
  <c r="AN29" i="1"/>
  <c r="AL30" i="1"/>
  <c r="AI24" i="1"/>
  <c r="AN21" i="1"/>
  <c r="M26" i="1"/>
  <c r="AM27" i="1"/>
  <c r="AK27" i="1"/>
  <c r="AJ25" i="1"/>
  <c r="AJ26" i="1"/>
  <c r="M28" i="1"/>
  <c r="AL21" i="1"/>
  <c r="AI23" i="1"/>
  <c r="AK24" i="1"/>
  <c r="AK26" i="1"/>
  <c r="AJ27" i="1"/>
  <c r="AM22" i="1"/>
  <c r="AN25" i="1"/>
  <c r="AL26" i="1"/>
  <c r="AL27" i="1"/>
  <c r="AM21" i="1"/>
  <c r="AI26" i="1"/>
  <c r="AJ21" i="1"/>
  <c r="AN22" i="1"/>
  <c r="AK23" i="1"/>
  <c r="AM24" i="1"/>
  <c r="AL25" i="1"/>
  <c r="AM26" i="1"/>
  <c r="AN26" i="1"/>
  <c r="AM25" i="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F17" i="1"/>
  <c r="AE17" i="1"/>
  <c r="AD17" i="1"/>
  <c r="AC17" i="1"/>
  <c r="AB17" i="1"/>
  <c r="M18" i="1" s="1"/>
  <c r="AH16" i="1"/>
  <c r="AG16" i="1"/>
  <c r="AF16" i="1"/>
  <c r="AE16" i="1"/>
  <c r="AD16" i="1"/>
  <c r="AC16" i="1"/>
  <c r="AB16" i="1"/>
  <c r="M17" i="1" s="1"/>
  <c r="AH15" i="1"/>
  <c r="AG15" i="1"/>
  <c r="AF15" i="1"/>
  <c r="AE15" i="1"/>
  <c r="AD6" i="1"/>
  <c r="AD15" i="1"/>
  <c r="AC15" i="1"/>
  <c r="AB15" i="1"/>
  <c r="M16" i="1" s="1"/>
  <c r="AU16" i="1"/>
  <c r="AU15" i="1"/>
  <c r="AH14" i="1"/>
  <c r="AG14" i="1"/>
  <c r="AF14" i="1"/>
  <c r="AE14" i="1"/>
  <c r="AD14" i="1"/>
  <c r="AC14" i="1"/>
  <c r="AB14" i="1"/>
  <c r="M15" i="1" s="1"/>
  <c r="AH13" i="1"/>
  <c r="AG13" i="1"/>
  <c r="AF13" i="1"/>
  <c r="AE13" i="1"/>
  <c r="AD13" i="1"/>
  <c r="AC13" i="1"/>
  <c r="AB13" i="1"/>
  <c r="M14" i="1" s="1"/>
  <c r="AH12" i="1"/>
  <c r="AG12" i="1"/>
  <c r="AF12" i="1"/>
  <c r="AE12" i="1"/>
  <c r="AD12" i="1"/>
  <c r="AC12" i="1"/>
  <c r="AB12" i="1"/>
  <c r="M13" i="1" s="1"/>
  <c r="H74" i="4"/>
  <c r="F74" i="4"/>
  <c r="B74" i="4"/>
  <c r="AH11" i="1"/>
  <c r="AG11" i="1"/>
  <c r="AF11" i="1"/>
  <c r="AE11" i="1"/>
  <c r="AD11" i="1"/>
  <c r="AC11" i="1"/>
  <c r="AB11" i="1"/>
  <c r="M12" i="1" s="1"/>
  <c r="AH10" i="1"/>
  <c r="AG10" i="1"/>
  <c r="AF10" i="1"/>
  <c r="AE10" i="1"/>
  <c r="AD10" i="1"/>
  <c r="AC10" i="1"/>
  <c r="AB10" i="1"/>
  <c r="M11" i="1" s="1"/>
  <c r="AH9" i="1"/>
  <c r="AG9" i="1"/>
  <c r="AF9" i="1"/>
  <c r="AE9" i="1"/>
  <c r="AD9" i="1"/>
  <c r="AC9" i="1"/>
  <c r="AB9" i="1"/>
  <c r="M10" i="1" s="1"/>
  <c r="AH8" i="1"/>
  <c r="AG8" i="1"/>
  <c r="AF8" i="1"/>
  <c r="AE8" i="1"/>
  <c r="AD8" i="1"/>
  <c r="AC8" i="1"/>
  <c r="AB8" i="1"/>
  <c r="M9" i="1" s="1"/>
  <c r="AI11" i="1" l="1"/>
  <c r="AI14" i="1"/>
  <c r="AI17" i="1"/>
  <c r="AK11" i="1"/>
  <c r="AK14" i="1"/>
  <c r="AK17" i="1"/>
  <c r="AM11" i="1"/>
  <c r="AM14" i="1"/>
  <c r="AM17" i="1"/>
  <c r="AI12" i="1"/>
  <c r="AK12" i="1"/>
  <c r="AI9" i="1"/>
  <c r="AK9" i="1"/>
  <c r="AM9" i="1"/>
  <c r="AM12" i="1"/>
  <c r="AN8" i="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L15" i="1"/>
  <c r="AI16" i="1"/>
  <c r="AK16" i="1"/>
  <c r="AM16" i="1"/>
  <c r="AJ17" i="1"/>
  <c r="AL17" i="1"/>
  <c r="AH7" i="1"/>
  <c r="AG7" i="1"/>
  <c r="AF7" i="1"/>
  <c r="AE7" i="1"/>
  <c r="AD7" i="1"/>
  <c r="AC7" i="1"/>
  <c r="L8" i="1"/>
  <c r="AB7" i="1"/>
  <c r="M8" i="1" s="1"/>
  <c r="AU7" i="1"/>
  <c r="AH6" i="1"/>
  <c r="AG6" i="1"/>
  <c r="AF6" i="1"/>
  <c r="AL6" i="1" s="1"/>
  <c r="AE6" i="1"/>
  <c r="AC6" i="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6" i="1" l="1"/>
  <c r="AJ6" i="1"/>
  <c r="AI6" i="1"/>
  <c r="AN5" i="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<sst xmlns="http://schemas.openxmlformats.org/spreadsheetml/2006/main" count="5088" uniqueCount="1199">
  <si>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</si>
  <si>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</si>
  <si>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</si>
  <si>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</si>
  <si>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</si>
  <si>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</si>
  <si>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</si>
  <si>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</si>
  <si>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</si>
  <si>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</si>
  <si>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</si>
  <si>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</si>
  <si>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</si>
  <si>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</si>
  <si>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</si>
  <si>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</si>
  <si>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</si>
  <si>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</si>
  <si>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</si>
  <si>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</si>
  <si>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</si>
  <si>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</si>
  <si>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</si>
  <si>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</si>
  <si>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</si>
  <si>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</si>
  <si>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</si>
  <si>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</si>
  <si>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</si>
  <si>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</si>
  <si>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</si>
  <si>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</si>
  <si>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</si>
  <si>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</si>
  <si>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</si>
  <si>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</si>
  <si>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</si>
  <si>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</si>
  <si>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</si>
  <si>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</si>
  <si>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</si>
  <si>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</si>
  <si>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</si>
  <si>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</si>
  <si>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</si>
  <si>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</si>
  <si>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</si>
  <si>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</si>
  <si>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</si>
  <si>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</si>
  <si>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</si>
  <si>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</si>
  <si>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</si>
  <si>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</si>
  <si>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</si>
  <si>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</si>
  <si>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</si>
  <si>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</si>
  <si>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</si>
  <si>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</si>
  <si>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</si>
  <si>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</si>
  <si>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</si>
  <si>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</si>
  <si>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</si>
  <si>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</si>
  <si>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</si>
  <si>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</si>
  <si>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</si>
  <si>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</si>
  <si>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</si>
  <si>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</si>
  <si>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</si>
  <si>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</si>
  <si>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</si>
  <si>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</si>
  <si>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</si>
  <si>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</si>
  <si>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</si>
  <si>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</si>
  <si>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</si>
  <si>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</si>
  <si>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</si>
  <si>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</si>
  <si>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</si>
  <si>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</si>
  <si>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</si>
  <si>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</si>
  <si>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</si>
  <si>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</si>
  <si>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</si>
  <si>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</si>
  <si>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</si>
  <si>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</si>
  <si>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</si>
  <si>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</si>
  <si>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</si>
  <si>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</si>
  <si>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</si>
  <si>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</si>
  <si>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</si>
  <si>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</si>
  <si>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</si>
  <si>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</si>
  <si>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</si>
  <si>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</si>
  <si>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</si>
  <si>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</si>
  <si>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</si>
  <si>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</si>
  <si>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</si>
  <si>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</si>
  <si>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</si>
  <si>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</si>
  <si>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</si>
  <si>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</si>
  <si>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</si>
  <si>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</si>
  <si>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</si>
  <si>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</si>
  <si>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</si>
  <si>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</si>
  <si>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</si>
  <si>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</si>
  <si>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</si>
  <si>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</si>
  <si>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</si>
  <si>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</si>
  <si>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</si>
  <si>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</si>
  <si>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</si>
  <si>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</si>
  <si>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</si>
  <si>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</si>
  <si>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</si>
  <si>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</si>
  <si>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</si>
  <si>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</si>
  <si>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</si>
  <si>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</si>
  <si>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</si>
  <si>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</si>
  <si>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</si>
  <si>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</si>
  <si>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</si>
  <si>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</si>
  <si>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</si>
  <si>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</si>
  <si>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</si>
  <si>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</si>
  <si>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</si>
  <si>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</si>
  <si>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</si>
  <si>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</si>
  <si>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</si>
  <si>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</si>
  <si>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</si>
  <si>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</si>
  <si>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</si>
  <si>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</si>
  <si>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</si>
  <si>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</si>
  <si>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</si>
  <si>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</si>
  <si>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</si>
  <si>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</si>
  <si>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</si>
  <si>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</si>
  <si>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</si>
  <si>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</si>
  <si>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</si>
  <si>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</si>
  <si>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</si>
  <si>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</si>
  <si>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</si>
  <si>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</si>
  <si>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</si>
  <si>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</si>
  <si>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</si>
  <si>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</si>
  <si>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</si>
  <si>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</si>
  <si>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</si>
  <si>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</si>
  <si>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</si>
  <si>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</si>
  <si>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</si>
  <si>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</si>
  <si>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</si>
  <si>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</si>
  <si>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</si>
  <si>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</si>
  <si>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</si>
  <si>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</si>
  <si>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</si>
  <si>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</si>
  <si>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</si>
  <si>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</si>
  <si>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</si>
  <si>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</si>
  <si>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</si>
  <si>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</si>
  <si>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</si>
  <si>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</si>
  <si>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</si>
  <si>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</si>
  <si>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</si>
  <si>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</si>
  <si>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</si>
  <si>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</si>
  <si>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</si>
  <si>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</si>
  <si>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</si>
  <si>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</si>
  <si>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</si>
  <si>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</si>
  <si>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</si>
  <si>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</si>
  <si>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</si>
  <si>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</si>
  <si>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</si>
  <si>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</si>
  <si>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</si>
  <si>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</si>
  <si>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</si>
  <si>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</si>
  <si>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</si>
  <si>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</si>
  <si>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</si>
  <si>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</si>
  <si>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</si>
  <si>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</si>
  <si>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</si>
  <si>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</si>
  <si>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</si>
  <si>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</si>
  <si>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</si>
  <si>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</si>
  <si>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</si>
  <si>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</si>
  <si>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</si>
  <si>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</si>
  <si>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</si>
  <si>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</si>
  <si>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</si>
  <si>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</si>
  <si>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</si>
  <si>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</si>
  <si>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</si>
  <si>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</si>
  <si>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</si>
  <si>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</si>
  <si>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</si>
  <si>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</si>
  <si>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</si>
  <si>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</si>
  <si>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</si>
  <si>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</si>
  <si>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</si>
  <si>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</si>
  <si>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</si>
  <si>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</si>
  <si>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</si>
  <si>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</si>
  <si>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</si>
  <si>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</si>
  <si>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</si>
  <si>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</si>
  <si>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</si>
  <si>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</si>
  <si>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</si>
  <si>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</si>
  <si>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</si>
  <si>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</si>
  <si>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</si>
  <si>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</si>
  <si>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</si>
  <si>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</si>
  <si>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</si>
  <si>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</si>
  <si>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</si>
  <si>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</si>
  <si>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</si>
  <si>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</si>
  <si>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</si>
  <si>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</si>
  <si>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</si>
  <si>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</si>
  <si>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</si>
  <si>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</si>
  <si>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</si>
  <si>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</si>
  <si>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</si>
  <si>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</si>
  <si>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</si>
  <si>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</si>
  <si>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</si>
  <si>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</si>
  <si>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</si>
  <si>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</si>
  <si>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</si>
  <si>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</si>
  <si>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</si>
  <si>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</si>
  <si>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</si>
  <si>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</si>
  <si>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</si>
  <si>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</si>
  <si>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</si>
  <si>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</si>
  <si>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</si>
  <si>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</si>
  <si>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</si>
  <si>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</si>
  <si>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</si>
  <si>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</si>
  <si>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</si>
  <si>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</si>
  <si>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</si>
  <si>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</si>
  <si>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</si>
  <si>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</si>
  <si>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</si>
  <si>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</si>
  <si>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</si>
  <si>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</si>
  <si>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</si>
  <si>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</si>
  <si>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</si>
  <si>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</si>
  <si>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</si>
  <si>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</si>
  <si>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</si>
  <si>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</si>
  <si>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</si>
  <si>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</si>
  <si>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</si>
  <si>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</si>
  <si>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</si>
  <si>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</si>
  <si>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</si>
  <si>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</si>
  <si>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</si>
  <si>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</si>
  <si>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</si>
  <si>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</si>
  <si>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</si>
  <si>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</si>
  <si>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</si>
  <si>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</si>
  <si>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</si>
  <si>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</si>
  <si>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</si>
  <si>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</si>
  <si>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</si>
  <si>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</si>
  <si>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</si>
  <si>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</si>
  <si>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</si>
  <si>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</si>
  <si>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</si>
  <si>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</si>
  <si>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</si>
  <si>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</si>
  <si>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</si>
  <si>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</si>
  <si>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</si>
  <si>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</si>
  <si>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</si>
  <si>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</si>
  <si>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</si>
  <si>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</si>
  <si>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</si>
  <si>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</si>
  <si>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</si>
  <si>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</si>
  <si>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</si>
  <si>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</si>
  <si>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</si>
  <si>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</si>
  <si>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</si>
  <si>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</si>
  <si>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</si>
  <si>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</si>
  <si>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</si>
  <si>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</si>
  <si>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</si>
  <si>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</si>
  <si>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</si>
  <si>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</si>
  <si>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</si>
  <si>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</si>
  <si>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</si>
  <si>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</si>
  <si>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</si>
  <si>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</si>
  <si>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</si>
  <si>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</si>
  <si>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</si>
  <si>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</si>
  <si>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</si>
  <si>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</si>
  <si>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</si>
  <si>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</si>
  <si>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</si>
  <si>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</si>
  <si>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</si>
  <si>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</si>
  <si>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</si>
  <si>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</si>
  <si>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</si>
  <si>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</si>
  <si>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</si>
  <si>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</si>
  <si>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</si>
  <si>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</si>
  <si>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</si>
  <si>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</si>
  <si>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</si>
  <si>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</si>
  <si>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</si>
  <si>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</si>
  <si>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</si>
  <si>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</si>
  <si>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</si>
  <si>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</si>
  <si>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</si>
  <si>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</si>
  <si>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</si>
  <si>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</si>
  <si>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</si>
  <si>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</si>
  <si>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</si>
  <si>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</si>
  <si>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</si>
  <si>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</si>
  <si>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</si>
  <si>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</si>
  <si>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</si>
  <si>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</si>
  <si>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</si>
  <si>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</si>
  <si>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</si>
  <si>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</si>
  <si>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</si>
  <si>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</si>
  <si>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</si>
  <si>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</si>
  <si>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</si>
  <si>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</si>
  <si>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</si>
  <si>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</si>
  <si>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</si>
  <si>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</si>
  <si>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</si>
  <si>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</si>
  <si>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</si>
  <si>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</si>
  <si>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</si>
  <si>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</si>
  <si>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</si>
  <si>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</si>
  <si>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</si>
  <si>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</si>
  <si>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</si>
  <si>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</si>
  <si>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</si>
  <si>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</si>
  <si>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</si>
  <si>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</si>
  <si>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</si>
  <si>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</si>
  <si>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</si>
  <si>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</si>
  <si>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</si>
  <si>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</si>
  <si>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</si>
  <si>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</si>
  <si>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</si>
  <si>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</si>
  <si>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</si>
  <si>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</si>
  <si>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</si>
  <si>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</si>
  <si>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</si>
  <si>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</si>
  <si>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</si>
  <si>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</si>
  <si>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</si>
  <si>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</si>
  <si>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</si>
  <si>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</si>
  <si>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</si>
  <si>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</si>
  <si>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</si>
  <si>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</si>
  <si>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</si>
  <si>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</si>
  <si>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</si>
  <si>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</si>
  <si>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</si>
  <si>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</si>
  <si>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</si>
  <si>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</si>
  <si>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</si>
  <si>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</si>
  <si>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</si>
  <si>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</si>
  <si>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</si>
  <si>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</si>
  <si>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</si>
  <si>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</si>
  <si>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</si>
  <si>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</si>
  <si>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</si>
  <si>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</si>
  <si>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</si>
  <si>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</si>
  <si>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</si>
  <si>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</si>
  <si>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</si>
  <si>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</si>
  <si>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</si>
  <si>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</si>
  <si>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</si>
  <si>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</si>
  <si>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</si>
  <si>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</si>
  <si>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</si>
  <si>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</si>
  <si>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</si>
  <si>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</si>
  <si>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</si>
  <si>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</si>
  <si>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</si>
  <si>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</si>
  <si>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</si>
  <si>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</si>
  <si>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</si>
  <si>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</si>
  <si>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</si>
  <si>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</si>
  <si>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</si>
  <si>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</si>
  <si>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</si>
  <si>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</si>
  <si>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</si>
  <si>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</si>
  <si>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</si>
  <si>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</si>
  <si>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</si>
  <si>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</si>
  <si>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</si>
  <si>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</si>
  <si>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</si>
  <si>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</si>
  <si>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</si>
  <si>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</si>
  <si>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</si>
  <si>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</si>
  <si>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</si>
  <si>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</si>
  <si>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</si>
  <si>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</si>
  <si>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</si>
  <si>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</si>
  <si>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</si>
  <si>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</si>
  <si>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</si>
  <si>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</si>
  <si>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</si>
  <si>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</si>
  <si>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</si>
  <si>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</si>
  <si>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</si>
  <si>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</si>
  <si>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</si>
  <si>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</si>
  <si>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</si>
  <si>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</si>
  <si>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</si>
  <si>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</si>
  <si>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</si>
  <si>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</si>
  <si>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</si>
  <si>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</si>
  <si>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</si>
  <si>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</si>
  <si>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</si>
  <si>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</si>
  <si>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</si>
  <si>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</si>
  <si>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</si>
  <si>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</si>
  <si>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</si>
  <si>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</si>
  <si>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</si>
  <si>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</si>
  <si>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</si>
  <si>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</si>
  <si>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</si>
  <si>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</si>
  <si>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</si>
  <si>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</si>
  <si>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</si>
  <si>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</si>
  <si>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</si>
  <si>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</si>
  <si>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</si>
  <si>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</si>
  <si>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</si>
  <si>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</si>
  <si>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</si>
  <si>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</si>
  <si>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</si>
  <si>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</si>
  <si>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</si>
  <si>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</si>
  <si>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</si>
  <si>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</si>
  <si>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</si>
  <si>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</si>
  <si>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</si>
  <si>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</si>
  <si>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</si>
  <si>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</si>
  <si>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</si>
  <si>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</si>
  <si>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</si>
  <si>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</si>
  <si>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</si>
  <si>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</si>
  <si>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</si>
  <si>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</si>
  <si>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</si>
  <si>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</si>
  <si>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</si>
  <si>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</si>
  <si>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</si>
  <si>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</si>
  <si>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</si>
  <si>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</si>
  <si>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</si>
  <si>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</si>
  <si>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</si>
  <si>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</si>
  <si>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</si>
  <si>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</si>
  <si>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</si>
  <si>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</si>
  <si>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</si>
  <si>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</si>
  <si>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</si>
  <si>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</si>
  <si>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</si>
  <si>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</si>
  <si>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</si>
  <si>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</si>
  <si>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</si>
  <si>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</si>
  <si>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</si>
  <si>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</si>
  <si>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</si>
  <si>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</si>
  <si>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</si>
  <si>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</si>
  <si>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</si>
  <si>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</si>
  <si>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</si>
  <si>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</si>
  <si>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</si>
  <si>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</si>
  <si>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</si>
  <si>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</si>
  <si>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</si>
  <si>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</si>
  <si>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</si>
  <si>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</si>
  <si>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</si>
  <si>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</si>
  <si>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</si>
  <si>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</si>
  <si>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</si>
  <si>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</si>
  <si>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</si>
  <si>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</si>
  <si>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</si>
  <si>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</si>
  <si>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</si>
  <si>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</si>
  <si>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</si>
  <si>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</si>
  <si>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</si>
  <si>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</si>
  <si>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</si>
  <si>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</si>
  <si>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</si>
  <si>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</si>
  <si>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</si>
  <si>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</si>
  <si>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</si>
  <si>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</si>
  <si>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</si>
  <si>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</si>
  <si>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</si>
  <si>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</si>
  <si>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</si>
  <si>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</si>
  <si>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</si>
  <si>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</si>
  <si>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</si>
  <si>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</si>
  <si>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</si>
  <si>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</si>
  <si>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</si>
  <si>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</si>
  <si>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</si>
  <si>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</si>
  <si>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</si>
  <si>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</si>
  <si>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</si>
  <si>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</si>
  <si>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</si>
  <si>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</si>
  <si>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</si>
  <si>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</si>
  <si>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</si>
  <si>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</si>
  <si>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</si>
  <si>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</si>
  <si>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</si>
  <si>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</si>
  <si>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</si>
  <si>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</si>
  <si>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</si>
  <si>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</si>
  <si>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</si>
  <si>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</si>
  <si>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</si>
  <si>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</si>
  <si>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</si>
  <si>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</si>
  <si>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</si>
  <si>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</si>
  <si>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</si>
  <si>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</si>
  <si>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</si>
  <si>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</si>
  <si>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</si>
  <si>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</si>
  <si>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</si>
  <si>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</si>
  <si>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</si>
  <si>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</si>
  <si>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</si>
  <si>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</si>
  <si>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</si>
  <si>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</si>
  <si>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</si>
  <si>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</si>
  <si>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</si>
  <si>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</si>
  <si>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</si>
  <si>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</si>
  <si>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</si>
  <si>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</si>
  <si>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</si>
  <si>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</si>
  <si>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</si>
  <si>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</si>
  <si>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</si>
  <si>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</si>
  <si>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</si>
  <si>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</si>
  <si>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</si>
  <si>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</si>
  <si>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</si>
  <si>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</si>
  <si>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</si>
  <si>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</si>
  <si>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</si>
  <si>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</si>
  <si>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</si>
  <si>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</si>
  <si>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</si>
  <si>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</si>
  <si>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</si>
  <si>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</si>
  <si>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</si>
  <si>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</si>
  <si>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</si>
  <si>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</si>
  <si>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</si>
  <si>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</si>
  <si>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</si>
  <si>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</si>
  <si>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</si>
  <si>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</si>
  <si>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</si>
  <si>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</si>
  <si>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</si>
  <si>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</si>
  <si>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</si>
  <si>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</si>
  <si>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</si>
  <si>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</si>
  <si>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</si>
  <si>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</si>
  <si>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</si>
  <si>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</si>
  <si>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</si>
  <si>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</si>
  <si>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</si>
  <si>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</si>
  <si>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</si>
  <si>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</si>
  <si>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</si>
  <si>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</si>
  <si>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</si>
  <si>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</si>
  <si>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</si>
  <si>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Wrote in the rest of my nutrition which was just drinking the cappucino getting ready for work and the bowl of pasta with mozz on my lunch break. Had a total of 4 cups of coffee today. Work was a full schedule as the norm. No regulars, all new to me. Had a 15 minute nap at 1 pm before work for the 2nd nap of the day. And my skin around my compression socks itched in first session. So I took the compression socks and waist trimmer off. I couldn't work feeling my skin itch from hair growing in and lymphedema in my body. Didn't have time for a shower before work, used it to feed lunch for my babies and pack my lunch for work. Did brush my teeth and wash my face and put deodorant on. Didn't sweat at all since last shower. </t>
  </si>
  <si>
    <t>Black Forest gummy snacks, serving size 1 pouch</t>
  </si>
  <si>
    <t xml:space="preserve">Woke up at 6:10 am approx, went to bed at 11 pm a little after, got about 7 hours of sleep. Did normal routine, fed the babies, gave Growly his meds, had my coffee, a lg BM by 2nd cup and before 2nd cup of coffee. Studied the molecular oribital portion of chemistry and reviewed the last part of the ch11 slides and reviewed the video for that lecture that explained why some atoms have different sequence patterns of MO for period 2 homonuclear, and how to choose the sequence for heteronuclear diatomic molecules. I have a few clients today at 11, my normal regular at 12, but her good friend that she got a gift card for at 11 am at her house. Very nice people. I see my 12 pm client every week same time for her massage to help with arthritis in LB and knees. I started the van around 830 am to make sure the hydrocollator was hot for the hot packs. Around 9 am , made some rolls from the remaining 5 frozen rolls in freezer and then a couple scrambled eggs, with olive oil and a couple tbs sourcream and some left over broccoli rice from a few days ago that wasn't eaten completely. The chemistry course has a final later in the afternoon today for the first group. I am in the 2nd group. I want to go over more material like format of questions. There was one question I thought could be confusing that I made a flash card on. When getting the amount in moles from an amount of a sample but using the amount of the solution. It was confusing. I know I would get hung up on a question like it. This is the exact question from a worksheet, "A chemist added an excess of sodium sulfate to a solution of a soluble barium compound to precipitate all of the barium ion as barium sulfate. How many grams of barium ion are in a 458 mg sample of the barium compound if a solution of the sample gave 513 mg barium sulfate precipitate? What is the mass percent barium in the compound?" --so the problem is when extracting the grams of Ba ion are we using 458 mg of the ba compount to get the molar mass of the barium sulfate, the mole ratio of barium to barium sulfate then use the molar mass of ba to get the grams barium after converting mg to grams, or the 513 mg sample, then use the other amount to get the mass percent of the result? It is to use the 513 mg sample to extract grams barium, then use the grams barium over 458 mg converted to grams to get mass percent.  I have to take measurements and shower then go to clients' house, maybe get the water, cat food, and paper towels we're low on, bc it seemed like I just bought that stuff. And almost gone. I guess it has been a week. Had a cappucino blast with a serving vanilla icecream and 5 melted snack size hersheys almond toffee candy and 3rd cup of coffee before the shower. Went grocery shopping after my clients at 11 am - 1 pm. Then got home, and started to finish the rest of the final exam study guide questions, after putting groceries away and doing the laundry. I had a jack and ice water at 230 pm then again at 530 pm and finished the study guide by 6 pm. Didn't fill out the SOAP notes or receipt yet or study any more chemistry just yet. Had the last bowl from the raviolis made the other day with mozz and parmesan cheese. No soda anymore because I feel like it or the margarita or the combination of both made me constipated so won't be drinking soda for a while but not the same with margaritas as needed or desired or whatever as long as noninterfering with my studies. Didn't drink any more alcohol rest of the day and ended up getting tired around 8 pm. Got the chemistry exam at 3 pm Thursday on campus and the genetics exam between tomorrow and Friday. I have a 7 pm client tomorrow, but will plan for staying up late that night, waking up, studying, practice problems, take exam, go home study for genetics and read bw studying the exam sheet filled in and take that exam online before Friday or early Friday morning. Then work. Got a family massage Saturday after work, and a stretch session this Sunday that I scheduled with my boss about 3-4 weeks ago. But its scheduled into my calendar. My 11 am client is nice and a good friend of my regular. I have to upload her printed consent form then fill that info into my database. Was tired after studying. Throughout the last part of the day ate 4 fruit snacks here, a couple later,  3 later, 2 late. So about 10-11 fruit snacks. Went to bed at 830 but couldn't go to sleep until probably about 9 even though I was tired reviewing Molecular Orbitals. Woke up at 230 am got up 20 minutes later put the blankets in the wash because Goody peed on them and woke up smelling it. Probably bc Princess went to bed with one of her babies or toys and he always pees on her babies/toys. I tried studying but when reviewing  the Molecular Orbital homework wasted time recalling or figuring out that I don't know where the electrons go in the hybridized orbitals of valence bond theory. WE had an example on 4 electrons with carbon, but sulfur and 3 electron groups and 6 electrons didn't make sense to me. Tried looking at the power point and the homework and drawing schematics, but didn't find an answer. Scribbled all over paper in different colored ink. Tried going back to sleep around 5 am but couldn't and ended up archiving each and every post in both instagram accounts. Then felt like I might not make it through the day driving to and from work, possibly falling asleep in session, or having a couple asshole clients end my day and stressing me out for the time I have to prepare for the exam. Good thing my evening client cancelled last night, I realized this morning. She is busy and wanted to reschedule for Thur or Fri but told her its finals week and nothing available. I decided to call out from work by texting my manager and leaving a voicemail at work around 630 am. Then I felt better but thinking of them like I am a dissappointment, but not nearly as much as getting injured like my roommate did to himself last night at work getting out of his car too fast. His knee is twisted or in pain and makes him limp. Also, thought about seeing people at work call out all the time, or having my work call or text me to come in many times. Also, they are going to be closed 3 days in August for remodeling that we won't get paid for. So, I asked to use my sick days, but didn't disclose those other reasons. Really, I do like my regulars, but haven't been seeing many of them lately, just some new people, and last week two of them were assholes. I do not like having to wait around for somebody to get out of the room more than 3 minutes and closer to 6+ minutes. Then have to rush to get the room ready for a guy that laughs when I correct him on our classification being massage therapists and not masseuses. I hate ignorant peope and I hate entitled people. No healing energy for them. I have absolutely zero to give them. And they drain my good energy. I get the rest of the day to study. Its CA law anyhow to use sick days, and that is their fault if they operate their business model to give clients free massages when a therapist calls off. I wouldn't do that because I have seen it happen all the time at every single place I worked, except for the independent contractor places like Bodycentre where the massage therapists have to pay for the hours they miss under contractual obligations. </t>
  </si>
  <si>
    <t xml:space="preserve">12 bags fruit snacks
(840	0	0	12	204	0	300)
3 bowls raviolis
(1125	22.5	11.25	45	189	4.5	1530)
1 1/2 cups pasta sauce
(270	10.5	3	9	36	9	1380)
1/2 cup mozzarella
(160	10	7	12	2	0	380)
1/4 cup parmesan cheese about 4 tbs
(40	3	2	4	0	0	200)
2 1/2 cups vanilla icecream
(600	36	21	9	60	0	150)
half hersheys chocolate candy bar
(110	6.5	4	1.5	13	0.5	17.5)
can of coke
(180	0	0	0	50	0	60)
=840+1125+270+160+40+600+110+180
=0+22.5+10.5+10+3+36+6.5+0
=0+11.25+3+7+2+21+4+0
=12+45+9+12+4+9+1.5+0
=204+189+36+2+0+60+13+50
=0+4.5+9+0+0+0+0.5+0
=300+1530+1380+380+200+150+17.5+60
</t>
  </si>
  <si>
    <t xml:space="preserve">5 rolls
(700	20	5	15	110	5	1200)
2 eggs scrambled
(140	10	3	12	0	0	140)
2 tbs olive oil
(260	28	4	0	0	0	0)
2 tbs sour cream
(120	10	7	2	4	0	30)
1/4 cup mozz
(80	5	3.5	6	1	0	190)
1/4 cup parmesan cheese
(20	1.5	1	2	0	0	100)
bowl raviolis
(250	5	2.5	10	42	1	340)
serving of priano 4 cheese pasta sauce
(90	3.5	1	3	12	3	460)
10 fruit snacks
(700	0	0	10	170	0	250)
half hersheys chocolate candy bar
(110	6.5	4	1.5	13	0.5	17.5)
=700+140+260+120+80+20+250+90+700+110
=20+10+28+10+5+1.5+5+3.5+0+6.5
=5+3+4+7+3.5+1+2.5+1+0+4
=15+12+0+2+6+2+10+3+10+1.5
=110+0+0+4+1+0+42+12+170+13
=5+0+0+0+0+0+1+3+0+0.5
=1200+140+0+30+190+100+340+460+250+17.5
</t>
  </si>
  <si>
    <t>Woke up at 230 am and couldn't go back to bed, studied, couldn't sleep, didn't feel right to go to work, and called out by 630 am via text and phone message. First time ever for many years. The exam coming up is stressing me out and affecting my health and sleep. I got all day now to study, relax, and memorize for two exams. The genetics exam will be available later today, and I might study for that and take it before the end of the day so that I can take my chemistry exam and be done with the semester by the end of Thursday. Did the normal routine and went to bed at around 9 pm after laying in bed half an hour around 830 pm. So got about 5.5 hours of sleep. I have been up on worse, but really pushing the limits this time. So called out. Thankfully CA law protects workers and provides sick hours over time for them. Because work is stressful, the constant time management and getting the rooms ready, and having to speed up the process to clients who linger in the room for more than 3 minutes at the end of the massage. Mental health is diminished by end of shift. Not trying to work through it. That and I don't really like about half my coworkers. Didn't eat breakfast but had 3 cups of coffee by 7:18 am and a diarhea BM about reg amt of crap after 3rd cup around 7 am after the roommate arrived. My breakfast wasn't breakfast but 4 bags of fruit snacks. Took measurements at 7:42. Started feeling exhausted again, and mentally unable to do anything, but not tired enough to sleep for a nap. Thought about putting the wireless cameras up, but it made me exhausted thinking about it. Took the day off. Had a couple naps about 10-15 min each at some time during the day, the morning around 9 am and in the afternoon. Studied all day and later around 2 pm had a jack and ice water then cleaned kitty litter and washed the dog blankets on couches, swept floor, called the vet meds place to ask how they handle the package of heart meds I never got and they wanted a police report number, I spoke with a lady at USPS who called me and told her what happened and she said it was scanned next door and the neighbor must have taken it but its empty and told her about the security cams seeing her NOT go to the porch at all and of course she said she did. The package wasn't there and I don't believe anybody took it. I filed a police report online but after complaining online on google reviews about the heartland vet meds delivering in flat rate envelope and USPS delivery being lazy and throwing package on lawn or not delivering it. Then studied some more, still going over worksheets and formulas needed and flashcards as needed. Had another jack and water by 530 and massaged the roommate's knee, he is drama all day any day all the time exactly. No inbetween. His knee, his knee, his knee. He hurt it. Put some CBD on it, infrared light, used the instrument assisted soft tissue mobilization tool to detox inflammatory agents and reduce tension in parts of ITB that are pulling on his medial collateral ligament and his hyper extended aches in patella tendon of his L knee. Then let him rest, recorded that mini video if ff to add to my instagram videos. Then studied some more went to bed before 9 pm, difficult at first to fall asleep, but did. I had about 12 bags of fruit snacks all throughout the day, 3 bowls of raviolis or the whole package with 1 1/2 cups in total of pasta sauce about 1/2 cup mozz and 1/4 cup parmesan cheese, about 2 1/2 cups vanilla icecream, some with a canned coke and the rest was later with that first jack and ice water that was the remaining coca cola, the other with the 4th cup of coffee and half a chocolate hersheys candy bar with cinnamon in a coffee icecream drink or capuccino blast and last cup of the day. Went to bed around 9 pm but more between 845 and 9 pm. I didn't wear my waist trimmer or compression socks all day.</t>
  </si>
  <si>
    <t>Woke up at 418 am and did routine, felt refreshed after not being able to sleep the day before. Did some more reviewing of worksheets on thermochemistry and solutions and heat vaporization and fusion with liquids and reactions with mixtures, solutes, and solvents and heat of hydration. Reviewed the ppts of those chapters some and ch13, but don't think we are tested on that one on lattice geometry with cubic layering, but could be what the bonus question is on. Who knows? The bonus question ended up being on the different enthalpies, and wouldn't you know it I didn't remember all of them and also which one is less reliable. Which I assumed was the tabular one. I was there for the final review but didn't study my notes from the final review at all, only the worksheets, and the first 2 pages was exactly from the worksheets on nomenclature and some other problems, She had a very time consuming heat enthalpy with Hess's Law and I am glad we had more time to do it. I also don't know how to know which atoms in compounds have higher lattice energy so just drew the lewis structure and chose the ones with more lone pairs as weaker and the ones with more bonds stronger. Also a question that gave the density and asked grams of NaOH needed when the Molarity was given for the solute and the mass percent. That question didn't make sense. Overall, I feel like I did good on the test. The other questions didn't stump me that much to start. I later had a triple shot of Jack and ice water then studied for the genetics exam and took that at 9 pm and finished around 945 pm. Not a difficult exam but many multiple choice responses seemed likely. I was going to massage the roommate's knee the same way as I told him I would in the morning but he had to get ready for work. He was walking around much better and I should record him limping around before the massage and walking after the next day getting up. The gua sha tool with teeth and infrared light with CBD to loosend the tight bands pulling on his knee on the patella and medial collateral ligament of his knee. All together for food I had 3 bowls of mashed potatos 1 cup each with mac n cheese 1 cup each, 2 pickles 1/2 cup vegan beef morning star brand, 4 cups of coffee all day, one with 1 1/2 cups vanilla icecream, cinnamon, and the other half of the hersheys chocolate candy bar from yesterday, and 13 fruit snacks by bed time at 10 pm after taking my measurements. I got caught up in studying and getting ready. I also had a nap around 10 am for 15 minutes. I only wore my waist trimmer after my shower and after the exam with compression socks for about 5-6 hours, because I showered early in the morning because I dried my hair with my hair dryer I had to ask the roommate to use because he took it for his art painting projects. This was around 9 am. I was already done showering and drying my hair. Didn't take too long because its short and came out smoother than air dried. But I didn't put on the waist trimmer until after my nap around 11 am. It was difficult to put on. I feel like my belly was bloated. I only had a sm BM solid after 2 nd cup of coffee in am and before 3rd one before my shower. But ate a lot of food. A whole bunch of pasta that wasn't gluten free and pasta sauce is high in sodium. Plus the small amounts of Jack and ice water I have been drinking a few days. Finished that bottle it was a small bottle from Bev mo yesterday with my triple shot jack and ice water after my chemistry exam and made me unable to study for about 3 hours while listening to Spotify and budgeting my check book and other things like making some manicottis later in the evening that I didn't eat but made for today as I had to bake them for 45 minutes and wanted something to put in microwave before work for breakfast. Got them at Aldis in frozen section. Not gluten free. Planning on having a drink later and not eating gluten free. This should be interesting to go to work when I called off the day before for the first time ever while working there since Jan 2020. It is now June 2021. Already summer. Chilly in the morning even though hot last night, so running heater still in the mornings.</t>
  </si>
  <si>
    <t xml:space="preserve">3 cups mashed potatoes
(480	12	8	8	80	4	1640)
3 cups mac n cheese
(780	7.5	4.5	27	144	6	1680)
1/2 cup vegan beef morning star brand
(70.00	2.50	0.00	10.00	4.00	3.00	210.00)
6 tbs sour cream
(360	30	21	6	12	0	90)
1/2 cup mozz
(160	10	7	12	2	0	380)
1/4 cup almond milk
(15	1.25	0	0.5	0.5	0.5	85)
1 1/2 cups vanilla icecream
(400	24	14	6	40	0	100)
1/2 hersheys chocolate candy bar
(110	6.5	4	1.5	13	0.5	17.5)
13 fruit snacks
(910	0	0	13	221	0	325)
2 pickles
(180	0	0	0	48	6	900)
=480+780+70+360+160+15+400+110+910+180
=12+7.5+2.5+30+10+1.25+24+6.5+0+0
=8+4.5+0+21+7+0+14+4+0+0
=8+27+10+6+12+0.5+6+1.5+13+0
=80+144+4+12+2+0.5+40+13+221+48
=4+6+3+0+0+0.5+0+0.5+0+6
=1640+1680+210+90+380+85+100+17.5+325+900
</t>
  </si>
  <si>
    <t>Priano Aldi brand manicotti pasta, 3 servings per bag, 2 manicotti in a serving, package:</t>
  </si>
  <si>
    <t xml:space="preserve">Woke up at 530 by alarm and did the normal routine, cleaning pet messes, feeding the babies, giving Growly his meds. We went to bed with the AC on and my eyes were dry waking up and a little tired. Updated this data base on nutrition and notes and other information. Heater on in the am, AC on last night. Finished updating the database by 6:55 am, had 2 cups of coffee at that time and a very large BM in volume that made up for yesterday. Taking measurements around 7 am. Before breakfast. Plan for manicottis, might change it if not good, but should be because the raviolis are by Priano and their pasta sauce. My BM was quite a bit of volume. I lost 2 pounds since taking weight last night around 10 pm, and this morning after my BM, 2 cups coffee, and before breakfast. Body is healing from stress and rebalancing. That's great, no I have a few weeks to look over this python coding for genomics, still haven't gotten my full genome results. But will know more about what to do to analyze it, even though they have their own online system for analyzing it. I will also be able to get more biz on side for my biz, already got a couple new clients this Monday in the morning that scheduled yesterday, and pick up more shifts at work to start paying off my credit card and probably save some, but realistically I spend. There is always something to invest in to add value to my company or to buy. Saving is good for those that can afford to do it, but it does take money out of circulation and spending boosts economy and creates more work. Only save if saving up for your children's education, a house to buy, a vacation, etc. I have a huge genomics machine to save for that realistically I will not be able to afford by saving for, so it is unlikely I will be saving money. Unless I can save a little bit to put down on it and finance the rest. I checked into an email Massage Heights sent out to all visitors in their database, about buying a franchise, and they want at least $400k in equity or $175K cash to even be considered. That is unrealistic, and they also promoted that their average owners gross 1.5M USD a year. Gross is correct, because they are pimps and probably charge them royalties and entitlement fees for the name and monitor them like an HOA with fines and such for not complying with their brand. They honestly don't make after their bills that much. I haven't got the intel on it, because they are all private owned. That Tamera manager works there and knows how much they make, but like I said before they are cheap AF, and have the worst treatment of their employees. That happens in places not making a profit or a very small one to be that greedy on the surface. Although the owners drive 7 series BMW and live in Tustin and own five or four all throughout CA, but have to divy up their profits or better performing locations between the ones not performing well. Boom! I just checked my grade and my final was a 92%. Super! It also replaced my lowest exam. But I did still have another low exam, but 3/4 an A. My score is 88.9% and I think she uses that scale as an A. That is so great! Relaxed and chilled. On to my day. Got home and had a margarita after work, for lunch at work I had the rest of the manicottis, after eating 1/3 the pkg for breakfast, no additional cheese added. I also had a nitro cold brew with honey almond and sweet cream added from Target and bought a new bikini that were out front while waiting in line to the Target Starbucks. I went to that one because Grand blvd was packed, and overflowing too much to turn Left during the light at the start of my break and when returning the same around 1 pm. I finally put up the wireless web cams while drinking the margarita and getting frustrated with listening to the roommate pester me to massage his knee and tell me to hurry while not being able to get the wireless module to connect to my blink app and waiting for it to update my old app from the line plug in blink camera. Got a free subscription until mid July. I had to call tech support and thankfully he was able to get it to work, for some reason when he looked at the account and the devices he could see their activity and everything worked, but for me, it kept trying to refresh and never go through. I had put up the hardware and never found instructions on how to put the cameras on the brackets and was scared of breaking them when trying to snap them on, but didn't. I got 3 camera on the front entrance, 2 on the porch and 1 on the outside of the porch to see that the mail person is not giving us our mail. Had my Mr. GRowly's meds stolen, or she never dropped it off or threw it in the front lawn. The outside one doesn't see the sidewalk, and the view cuts off right below the sidewalk. but the porch ones see through the porch screen any images, but not sure if it will be motion activated that far from the vision in day light. Never massaged the roommate's knee, and had a 2nd margarita listening to country music before deciding to call tech support. They were up and running by the time the roommate left to work out and/or work. Went to bed around 10 pm, with laundry in the wash. </t>
  </si>
  <si>
    <t xml:space="preserve">pkg Priano Aldi brand frozen bag manicotti
(570	13.5	6	33	72	3	1290)
1/2 cups pasta sauce Priano 4 cheese
(225	8.75	2.5	7.5	30	7.5	1150)
honey almond grande nitro cold brew with sweet cream
(70.00	5.00	3.50	1.00	4.00	0.00	20.00)
1.5 cups mashed red potatoes
(120	3	2	2	20	1	410)
1 cup mac n cheese
(260	2.5	1.5	9	48	2	560)
3 tbs sourcream
(180	15	10.5	3	6	0	45)
1/4 cup mozz
(80	5	3.5	6	1	0	190)
2 tbs parmesan
(20	1.5	1	2	0	0	100)
1/4 cup vegan beef crumbles
(35	1.25	0	5	2	1.5	105)
3 fruit snacks
(210	0	0	3	51	0	75)
margarita mix classic jose cuervo brand
(220	0	0	0	56	0	350)
=570+225+70+120+260+180+80+20+35+210+220
=13.5+8.75+5+3+2.5+5+1.5+1.25+0+0
=6+2.5+3.5+2+1.5+10.5+3.5+1+0+0+0
=33+7.5+1+2+9+3+6+2+5+3+0
=72+30+4+20+48+6+1+0+2+51+56
=3+7.5+0+1+2+0+0+0+1.5+0+0
=1290+1150+20+410+560+45+190+100+105+75+350
</t>
  </si>
  <si>
    <t>mac n cheese pkg, 3 servings per pkg, 4 tbs sourcream 1/2 cup mozz 1/4 cup almond milk added and 1/3 cup vegan beef crumbles</t>
  </si>
  <si>
    <t>honey cake 85 degrees bakery</t>
  </si>
  <si>
    <t xml:space="preserve">half bowl mac n cheese with sourcream mozz beef vegan
(613.33	19.58	12.75	24.83	78.33	4.00	1130.00)
8 fruit snacks
(560.00	0.00	0.00	8.00	136.00	0.00	200.00)
salt butter bread 85 degrees bakery
(320	17	10	6	35	0	430)
honey cake 85 degrees bakery
(190.00	10.00	6.00	7.00	34.00	0.00	15.00)
4 international delight caramel creamers
(140.00	6.00	0.00	0.00	20.00	0.00	60.00)
half bowl mac n cheese with sourcream mozz beef vegan
(613.33	19.58	12.75	24.83	78.33	4.00	1130.00)
2 fruit snacks
(140	0	0	2	34	0	50)
=613.3+560+320+190+140+613+140
=19.58+0+17+10+6+19.58+0
=12.75+0+10+6+0+12.75+0
=24.83+8+6+7+0+24.83+2
=78.33+136+35+34+20+78.33+34
=4+0+0+0+0+4+0
=1130+200+430+15+60+1130+50
</t>
  </si>
  <si>
    <t xml:space="preserve">Woke up around 345 am, peed, let Growly out to pee and put laundry in the dryer and laid in bed until 445, got up, and washed the blankets and mattress pad and cover because one of the babies peed on them. Then looked up getting a Texas massage license. Was curious, because the idea of maybe moving there or vacationing there a while and massaging as income came to mind when thinking about taking a road trip in my work van and promoting mobile massage therapy. It is doable, but they want the school catalog course description with the official transcript from my school that I have to get directly from the CAMTC.org because my school has been closed 5 years now and I think it is $125 for that, plus a letter from them probably the same cost, have to email the CAMTC and find out, the letter stating I am in good standing and no violations and how long I have been licensed, and take a  TX jurisprudence exam before applying which is actually done online and costs $35, plus send over the MBLEX to the TX massage board, which is I think $20, since I took it last summer and passed it that was the price at that time. And the cost for the Texas application is $100. I have a couple clients today, nice family. I had to cancel on them for a family massage 2 weeks ago because I had to study for an exam and didn't have enough time, ended up not doing great on the exam even with studying, but had no extra time when deciding to cancel the night before the massages. Thankfully, in the long run I ended up doing great in that class. Two fruitsnacks for breakfast, measurements, got scared Growly escaped and walked around before shower upset looking for him outside. Left by 730 am rushed. But enrolled in course and paid with mastercard and the used text book paid with mastercard to pick up at RCC. Starts the 21st of June, in 10 days. Emailed MBLEX and CAMTC to get additional information on TX needed info. But didn't pay for it. Because I don't know how and still deciding. I think it would be good. Summer course is entirely online and gets out Thur 7/29. 3rd cup coffee before work. Felt like a heartattck looking for Growly. Had a sm BM after 2nd cup of coffee earlier before looking for Growly, he was under the bed. Brain fog this morning. I forgot I let him in first and the othr 2 babies were outside, so when I saw only the other 2, I called his name and he didn't come. He is the only one able to crawl under the gate like the cat does. Turns out Growly was under the bed ignoring me and scared once I was yelling his name. Went to work, didn't pack lunch, out of food again other than mac n cheese, potatoes and quesadillas. Need some frozen raviolis and other pastas, but more sodium in those pasta sauces than the other items. Or both the same. Close, but I think the pasta sauce has the most sodium. Got home around 215, no Amazon package, checked out the front porch wifi camera, the two lights red and blue came on when I looked in the mailbox to see if the mailperson delivered the mail. This is really upsetting because the sinc module is offline. I am likely going to return it. had 5 more fruit snacks bw bk and lunch after the 1st 2, then a salt butter bread and honey cake from 85 degrees for lunch and 4 creamers in 4th cup coffee at work. Then got home tired. Took a 20 minute nap and still felt tired after dealing with customer support, of course the sinc module worked when I called the customrr support for it. I might be taking it back. Made mac n cheese when I woke up, hot day today, and supposed to be much hotter next weekend. Had a bottle of water to see if I was tired due to being dehydrated bc not drinking a lot of water later at all. More coffee and drinks at home at night when done for the day. Going to put sourcream, beef crumbles 1/3 cup of the remaining morning star vegan brand, with almond milk and mozz cheese and the powder it comes with. then top with parmesan. Could be tired bc no real food eaten at all today and about 6 hours sleep from 10 to 445 am. but it was more like 345 then laying in bed till 445, so 5 hours of sleep. Took another nap around same time I woke up but in the PM for 15 minutes. Then made a 5th cup of coffee for the day. Had 1/2 the pot of mac n cheese I made before the coffee and nap while digesting food. Slept for about 10-15 minutes. Still felt tired, and then had the 5th cup of coffee, but woke the roommate up to massage his knee again with infrared light, CBD, and the gua sha tool for IASTM around the taught bands and his medial knot on the side of the knee, feel a pocket of something folding over, almost like a bursa or fluid sack or maybe even a nerve, not a blood vessel, some fluid in knee but not noticeable, felt while palpating knee and him flexing knee he feels pressure in it. Went to clients. A nice mom and daughter. They were understanding of my cancellation two weeks ago due to school related stress. I gave them a discount to help their understanding before hand. They are very nice. Probably will be massaging their pops of the house around father's day and/or the son in law. Got home before 9 pm, because needed to deposit some cash accumulated from tips and the 1s were taking up room in my wallet. I got a stretch session tomorrow. I actually felt normal, energy wise after the massage and during it. The daughter carried the 52 lb massage table up the stairs and down it. That was super cool. Tomorrow I am working with another employee to get trained on stretching after my work shift at exactly 3 pm. Yay! Finally get to learn the Massage Envy stretch technique. Not sure how long that will last but could be all day. I also drank one drink of a margarita while doing the SOAP notes and updating this database and my client database. I actually have a few more clients rebook with me this week, one from a while back like a year ago. Super cool all of them. She has probably gotten through her 1st 2 years at UCLA premed one client, and the others are couples that are regulars. All super cool. I just thought I could see about buying some CBD from her, but she probably doesn't have it on hand, and I just deposited all my cash, not a big deal if she did because I can actually deduct it from their invoice that lasts as long as the massage session lasts. It seems to work on my roommate and my regular client, but also the infrared light and gua sha tool too. The combination for the roommate, and just the CBD and infrared light for my regular client. Super nice lady, of course.  I didn't get any groceries, but don't matter, mac n cheese is good too. Especially loaded with the stuff I put in it. I found out I got an A in my chemistry course. Super yay! I know I fussed the whole time because it was torture, but at least my efforts paid off. She is a great instructor after all. I feel like I learned quite a bit from both courses. I will wait until next week to see what I got in genetics. I am assuming an A as well. But it could be a curve ball. If anything, the worst is a B, but I feel that is unlikely. I have a 93% in the course. But I just realized my Exam 3 score was a 79.5 after hand grading responses. That was the same one the exam cut me out of the last part of the exam and I emailed her my responses. I am not sure if that affected the score, or not. But thought it would improve it. Now not so certain. They get graded usually with a 5-7 day gap after the exam and aren't available to look at. The exams weren't available to look at for my other biology course either 10 years ago, Principles of Ecology, but that was a hard A to earn as well. I won't know my final grade until Tuesday some time. Hopefully an A. Went to bed tired at a little after 10 pm after putting laundry in the dryer, it was probably around 1010 pm. I had the other half of the mac n cheese before bed and 2 more fruit snacks. I also noticed late last night that the front camera does work after checking to see who delivered the better weight scale hopefully that I ordered on Amazon that was delivered last night. </t>
  </si>
  <si>
    <t>Woke up around 524 am when I saw the time on the monitor in room. I did the normal routine, cleaned the babies messes, gave Growly his meds and fed the babies after doing dishes from last night and restarted dryer after feeding babies. Did the receipt for clients, but didn't get around to their SOAP notes. Going to do that this morning. Had my coffee and a small BM before finishing the 1st cup. Had another cup of coffee, folded laundry and put away, then 3 fruit snacks, and made a 3rd cup of coffee before taking measurements. Was finished by SOAP notes and emailing receipt and SOAP notes to clients before finishing 2nd cup coffee. Measurements with new weight scale. My fat caliper measurements on abs is a huge increase, I was able to grab more fat today from abs, usually its tight against my ab muscles. I haven't worked out in months. And I am getting breast tenderness and a little bit emotional, getting ab cramps, so feel like my menstruation is going to start soon. We have a stretch class today after work, and going to grab something to eat other than fruit snacks before work. Showered and washed hair before work. Had another couple fruit snacks before work. Went to work and had a double salmon with added ahi tuna poke bowl only cucumbers, ginger, wasabi, brown rice, cream cheese, and house ponzu sauce, with 1/2 serving tortilla chips. Then after work at 3 pm, had the 3 hours of stretch classes, need one more volunteer within next 2 weeks to do a practical on with stretching. Got home a little after 6 pm, stopped by Aldis for a couple frozen pizzas and raviolis. Ate half a margarita pizza I baked in the oven with 2 tbs ranch dressing. Had 4th cup of coffee at work on my lunch break after the poke bowl. Had it with 4 creamers carmel. After work had 2 drinks, margaritas, listened to country music for first drink waiting for pizza to cook then finishing my pizza that I ate which was half of it, put the other half in the fridge. Then subscribed to hulu recurring monthly for $6/month under jc@y M!4, get a free month trial, going to watch season 4 of the Handsmaids Tale, got through the 1st 2 episodes then went to bed tired. Had 3 fruit snacks before bed time. I have a client for MLD at 9 am and her boyfriend at 10 am, but no consent form filled out for the bf yet. Went to bed just before 10 pm, around 950 pm according to blink.</t>
  </si>
  <si>
    <t>margarita frozen pizza Aldi, valpizza, 134 pizza, 4 servings per container, 2 servings or half pizza</t>
  </si>
  <si>
    <t xml:space="preserve">8 fruit snacks
(560	0	0	8	136	0	200)
4 coffee creamers
(140	6	0	0	20	0	60)
double salmon poke bowl
(988.4	18.275	3.325	38.125	132.45	16.875	2007)
serving ahi tuna
(106	0.4	0.1	8	16.7	0.6	186)
3 tbs creamcheese
(153	15.3	9.6	3.3	1.2	0	129)
4 slices margarita pizza, 1/2 pizza
(700	22	12	28	102	10	1560)
3 tbs ranch
(218	23.1	3.6	0.5	3	0.3	367)
serving margarita mix
(110.00	0.00	0.00	0.00	28.00	0.00	175.00)
=560+140+988.4+106+153+700+218+110
=0+6+18.3+0.4+15.3+22+23.1+0
=0+0+3.3+0.1+9.6+12+3.6+0
=8+0+8+3.3+28+0.5+0
=136+20+132.45+16.7+1.2+102+3+28+
=0+0+16.9+0.6+0+10+0.3+0
=200+60+2007+186+129+1560+367+175
</t>
  </si>
  <si>
    <t>Sweet Earth frozen entrée of pad thai with tofu, 1 serving is 1 pkg</t>
  </si>
  <si>
    <t>Starbucks refrigerated consumer grade carmel machiato, 3 servings per bottle, serving is 12 oz fluid, bottle:</t>
  </si>
  <si>
    <t>Woke up did normal routine around 6 am and got out of bed to clean pet messes, make my coffee, give Growly his meds and feed the babies, then updated this data base and looked up blinks time for my bed time and saw that the outdoor wireless cameras were not synced AGAIN to the module. I went ahead and saved the blink tech support number to my phone and am waiting for them to put it on the network and tell me how to do it, because it seems to only work when they access it. It is SOOOOOOO ANNNoYYYOing to have to keep doing this because they aren't working. I might take them back. Spoke with someone about 30 minutes around 645 am until 715 am, and told me the sync module is fine, but the wireless outdoor cameras' signals are not strong to sync module, so I have to move the wireless router or the same device my roommate has been having problems with and attach the sync module to his room closer to the wifi cameras. Had a sm reg loose BM after ending call with tech support and finishing 2nd cup of coffee. Had another small BM after speaking with the tech support and drinking 3rd cup of coffee or while drinking it. Then took measurements and ate breakfast then showered to get ready for 9 am client in Eastvale.They were nice, she signed up for a 10 pkg MLD session, and the bf said he wants another one this Thursday. I got Growly's meds at the vet he goes to that I ordered 3-4 days ago. They called last night and left a message saying its ready. Then went to RCC to get my Biology book. They gave me the wrong order, a digital card in card board, and I hate digital textbooks, so had to wait in the long line again to either return it or get the right physical used copy for $145 that I already spent. The next cashier said whoever packed the order did it wrong and got me a used one like I ordered. Then went home ate the last two slices of pizza and had a 4th cup of coffee. Then went to work. Had a frozen meal from Albertsons and a 5th cup of coffee that was a carmel machiator 3 serving bottle from refrigerated section of Albertsons the Starbucks brand. The frozen meal was a sweet earth tofu pad thai. I didn't care for it and only ate half of it. Bland flavor like eating Tex Mex and expecting Mexican food. But with Thai food. After work had 2 margaritas but about 1 serving margarita mix, made a pizza and after completing the clients' receipt and SOAP notes and emailing them to them, had 1/4 the pizza with Ranch dressing and went to bed. Had the linens in the dryer before going to bed and did my laundry and spun it before going to bed.</t>
  </si>
  <si>
    <t xml:space="preserve">6 slices pizza margarita 134pizza brand aldi
(1050.00   33.00  18.00  42.00	 153.00	 15.00	2340.00)
6 tbs ranch dressing
(436.00	 46.20	7.20	1.00	6.00	0.60	734.00)
1/2 bowl Sweet Earth pad thai vegan
(175.00	5.50	0.75	4.50	27.50	1.50	285.00)
1/4 bottel Starbucks carmel machiator drink
(142.50	3.00	1.88	5.25	24.00	0.00	75.00)
4 tbs parmesan cheese
(80.00	6.00	4.00	8.00	0.00	0.00	400.00)
1 serving margarita mix
(110.00	0.00	0.00	0.00	28.00	0.00	175.00)
=1050+436+175+142+80+110
=33+46.2+5.5+3+6+0
=18+7.2+0.75+1.88+4+0
=42+1+4.5+5.25+8+0
=153+6+27.5+24+0+28
=15+0.6+1.5+0+0+0
=2340+734+285+75+400+175
</t>
  </si>
  <si>
    <t>soy based veggie burger with grill flavor, EARTH GROWN VEGAN brand Aldi, 1 patty:</t>
  </si>
  <si>
    <t>3/4 pizza margarita 134pizza
(1050.00	33.00	18.00	42.00	153.00	15.00	2340.00)
5 tbs ranch dressing
(436.00	46.20	7.20	1.00	6.00	0.60	734.00)
4 tbs parmesan
(40.00	3.00	2.00	4.00	0.00	0.00	200.00)
1/4 cup mozz
(80.00	5.00	3.50	6.00	1.00	0.00	190.00)
1/2 pickle
(60.00	0.00	0.00	0.00	16.00	2.00	300.00)
1 vegan beef patty
(350	11	1.5	9	55	3	570)
2 slices Dave's Killer BRead
(140.00	2.00	0.00	6.00	26.00	4.00	210.00)
1 serving margarita mix
(110.00	0.00	0.00	0.00	28.00	0.00	175.00)
1/3 cup starbucks prepackaged carmel machiato cold beverage
(190.00	4.00	2.50	7.00	32.00	0.00	100.00)
=1050+436+40+80+60+350+140+110+190
=33+46.2+3+5+0+11+2+0+4
=18+7.2+2+3.5+0+1.5+0+0+2.5
=42+1+4+6+0+0+6+0+7
=153+6+0+1+16+55+26+28+32
=15+0.6+0+0+2+3+4+0+0
=2340+734+200+190+300+570+210+175+100</t>
  </si>
  <si>
    <t xml:space="preserve">Woke up at 530 and got out of bed around 550 am, went to bed 11:50 pm last night. Got 6 hours of sleep, drank some water, had coffee, gave Growly his meds and fed the babies, no messes to clean up. Registered for a microbiology course at Norco College, 4 units with lab, not 5 with the only instructor available, which makes me think out of about 10 in RCC and Norco College she must have a difficult or very stressful class. I might not even need it if I get into the doctor of chiropractic program in Fall. I have a client in the morning and at noon. The morning one is at 9 am and she lives close, but they might be doing road construction or a train might be in the way. The retarded roommate was trimming Goody's butt hair at just before 7 am and had the garbage disposal running 10 minutes or more while doing it that stressed me out, had a small BM after 2nd cup of coffee. He wasn't able to get Growly's butt hair. They need the groomer's but I am busy and so is he, and can't call to book one today because they open at 9 am and don't take calls until then. I will be back in the afternoon before 2 pm and would be able to get them done at that time, but again not able to schedule it because they don't answer calls until 9 am. My knee was swollen after work when updating my database and making SOAP notes before bed when lifting leg up to relieve pressure on LB while standing at computer. I haven't been marking the swollen ankles, because it seems to be the same slightly swollen ankles and nothing really swollen more than normal last few days. Unless it causes me to not be able to flex my foot or put on my shoes, then it will get marked as not swollen ankles, even though there is always some swollen lymphedema there. Just not excessive amounts. Took measurements after having 3 slices of the pizza margarita 134pizza and 4 tbs ranch with 3 tbs parmesan. Actually just 2.25 slices, because I only like the crust and didn't eat the cheese on 3rd slice, gave to Princess. This pizza is too yeasty for them and actually is probably why I weigh 145 pounds. I also have a new appt w someone new referral seems related to new client from yesterday same last name but in Moreno Valley, had to email them to notify of the $20 additional to $60 service cost due to the google drive time saying historically to get to his residence will be 1 hour 10 minutes and back about 40 minutes. They get an included 30 minutes each way. Too much stress to drive further than 30 minutes in traffic. Its CA, so its not that much of an increase. After my massage appointments at 9 am and 12 pm, I was upset about the apps on my phone not working after a Corona police department line called my personal phone to ask for the information for me on the police report I filed last week on the stolen pet meds or the mail delivery person not delivering the package. There was also a silver SUV parked in front of the client's house the whole time and it left after I left a message on option 9 of their menu with the police department asking if their line has something to do with why my phone says I have full internet access with all bars but none of my apps work. I couldn't get any of my apps to work for spotify music to listen to massage spa music or access square scheduler but was able to accept messages and phone calls. After I hung up the lady in the SUV got in her car and left and I checked my music and it worked. I did not like that at all. I have never had that problem at her house. She lives right up the street from a prek school or elementary school and it is the 15th of June and kids should be out of school. But a bunch of cars were outside and a car was blocking the client's house at 12 pm a time I always see her and have been for last few months. I left her house and on the way home I was able to do some grocery shopping for cat food and cleaning supplies for laundry and paper towels, etc, then get my babies in for a dog grooming. While they were there, I got money out the bank to cover it and the roommate said he would put in money to transfer it to my account so did that, he only wanted to put in 100 but I didn't know until after because he usually gives 120. I offered the groomer 40 more than normal bc he was extending his hours to cover their grooming. Then I went to the mailbox after calling to see if the title was there. It has been what feels like 3-4 weeks but the roommate says it has been barely 2 weeks. Right before memorial day weekend started was when I sold it. And its the middle of June, so about 2-3 weeks. The UPS store said I had something from the DMV, so I went and it wasn't the title it was a copy of the registration with the CA seal in the background. I texted the buyer to let him know and he told me I could go to the DMV and give my plates he sent and get the title there. I told him I would do that on my day off on Thursday. I picked up the babies about 545, but waited bc the groomer said bw 5-530. I gave him $200 with the tip to groom them. Usually it is around 165 with tip for all 3 groomed. It was a hot day. The first client's house I was sweating in. The new client tomorrow in Moreno Valley agreed to the $20 additional fee for drive time there and back on top of the $60 so that is a go for tomorrow. Then at home started watching the season 4 episode 3-4 of Hulu's Handsmaid's Tale but its repetitive and the usual torture seens and ways to destroy the main character into giving up her handsmaids. It was losing interest and signed out of that in the middle of episode 4 or so. Went on the news outlets and read some articles and commented on them to facebook while drinking the last serving of margarita mix with tequila then switching to vodka with ice water when that was gone. Had 3 drinks before bed and made a bunch of facebook posts. Looked a little at some of the tableau public server dashboards I had up on allergy meds and the brain glioblastomas, because a client I had recently at work who tipped very well btw, has a sm tumor thats benign on her pituitary gland and also takes allergy meds like zyrtec, allegra, and nasal sprays. I heard from a previous client who's mom died of a glioblastoma that was very healthy had also taken zyrtec and wanted to see if there was anything there in the genes and samples for zyrtec, but only had the other allergy meds on  that dashboard. I will have to look up those dashboards and see. Its on my other lap top. Or github account. For food for the day I ate most of the 3/4 pizza left over with 5 tbs Ranch between breakfast and lunch after dropping dogs off at the groomers and 4 tbs parmesan cheese, and 1/3 bottle of the starbucks carmel machiatto drink, then after finishing my 3rd and last drink for the night had a vegan beef patty from good earth brand at Aldis, with 1/4 cup mozz, 1/2 pickle, and 2 slices of the Dave's Killer bread that is still good and in the fridge. Been there about 2-3 weeks. Those vegan beef patties aren't bad. Went to bed at 10:05 pm according to Blink that was when the lights went out. </t>
  </si>
  <si>
    <t xml:space="preserve">Woke up at 430 to pee and drink water, went back to bed lying in bed until alarm went off around 530 am. The babies were cuddled up with me with the AC on low. They have less fur now and were cold. They're soft fur after grooming was relaxing and they smell like puppy perfume. I have been drinking more regularly and should stop to give body a break. Will do. I have a client tonight in Moreno Valley at 545 pm, must leave an hour or more before that time. Thursday got the DMV, and need to get the email of the TX massage board to have the CAMTC send my transcripts and letter of licensure proving my good standing. Then pay for it. Busy week before school starts up again on Monday the 21st. Thought our break was 2 weeks but its just 1. Thats ok though. I still haven't received the genetics course grade. Spoke with a rep with the TX licensing for massage therapy and got the email and then emailed CAMTC before work. Had a sm BM that was diarhea after 2nd cup of coffee and when waiting with phone on mute to speak with the rep. Not sure why sick, could be too much yeast in the pizza or the drinks or the high fiber bread with vegan beef patty late last night before bed at 10 pm. Took measurements after doing that and before breakfast at around 7:05 am. Had another vegan beef patty with 2 slices Dave's Killer Bread, 1/8 cup mozz and 1/2 pickle then at work got to try the roll em up taquitos with one flour/potato and the other two avocado/corntortilla and cheese/corn tortilla. Cruncy and good. Had sourcream, Mexican cheese and their mild salsa on them. Had the taquitos with a fountain coca cola medium size about whats in a can of soda with ice. Drank the rest of the Starbucks Machiato drink at lunch before the taquitos as my 4th cup of coffee because I had 3 cups before leaving for work. About 1/4 bottle. After work stopped by the house and had a 5th cup of coffee because I was tired. Then when I got home after new client in Moreno Valley, nice couple, referral from other new clients in Eastvale. This was his early Father's Day gift. She paid the $20 delivery drive time additional cost plus gave $20 gratuity. At home started the laundry and had a vodka with ice water and then another vegan patty, mozz, pickles and Dave's killer bread sandwhich before going to bed by 925 pm. </t>
  </si>
  <si>
    <t>flour 6" tortilla, calorie king.com</t>
  </si>
  <si>
    <t>3 taquitos, mozz, potatoes, avocado, 2 corn tortillas, 1 flour tortilla, 1/4 cup veggie oil or 4 tbs fried in, sourcream and cheese on top with mild salsa, approx:</t>
  </si>
  <si>
    <t xml:space="preserve">2 vegan beef patties
(200.00	2.00	0.00	32.00	12.00	8.00	640.00)
1/2 cup mozz, approx for mexican cheese on taquitos and on sandwhiches
(160.00	10.00	7.00	12.00	2.00	0.00	380.00)
1 pickle
(90.00	0.00	0.00	0.00	24.00	3.00	450.00)
4 slices dave's killer bread
(280.00	4.00	0.00	12.00	52.00	8.00	420.00)
3 taquitos, 1 avocado/corntortilla, 1 potato/flour tortilla, 1 cheese/corn tortilla from roll em up in chino on Pine ave.
(991.00	83.50	19.00	13.00	52.50	9.50	802.00)
1 coca cola fountain drink med with ice say a can
(180.00	0.00	0.00	0.00	50.00	0.00	60.00)
1/3 starbucks carmel machiato drink
(142.50	3.00	1.88	5.25	24.00	0.00	75.00)
=200+160+90+280+991+180+142.5
=2+10+0+4+83.5+0+3
=0+7+0+0+19+0+1.88
=32+12+0+12+13+0+5.25
=12+2+24+52+52.5+50+24
=8+0+3+0+9.5+0+0
=640+380+450+420+802+60+75
</t>
  </si>
  <si>
    <t>butter pecan sundae latte med iced Dunkin Donuts</t>
  </si>
  <si>
    <t>Woke up at 535 am and got out of bed around 545 am. I got up at 3 am to pee and drink some water. Did the normal routine fed babies, gave Growly his meds, put laundry in dryer after spinning it again, cleaned up pet messes, because the babies didn't want to go outside while making their food, cleaned it while they were eating their food. Then looked at the Blink app to see what time I went to bed and woke up exactly, and noticed the sync module cameras outdoor weren't working. Talked to tech with a guy couldn't understand what he was saying at first. Then he said its not their system its my wifi, it needs to be a separate 2.4 ghz and right now it is splitting 5 g through my wifi network. I don't know if thats 5 GHz or just 5 G. Because he just said 5 G. I have to call ATT to see if they can create a separate 2.4 GHz wifi line for it. I have to go to the DMV today, want to go early but not have to pee the whole time. Going to be tricky since I need to have 3 cups of coffee by certain time and get there to wait in line outdoors before they open. At least its like cabin whether outdoors, warm or hot. Had a sm reg BM after 1st cup of coffee and ending call with tech support, updated this database while drinking 2nd cup of coffee. Did errands and went to DMV, found out they sent out the DMV title June 6th should get it this week or next week. Because I got the photocopied registration then I will likely be getting the title soon. Today is Thursday. My boss texted to see if I could work today but get errands to do. Wearing blue jeans today, no waist trimmer, my belly is big, but the jeans fit snug over it. Then got Growly's other meds. Contacted the court to see about a 10+ year old record and applying. No useable answer. Looks like got to just apply and was told the FBI holds records and fingerprints 100 years. I just wanted to know if its a crime to say I haven't committed or been convicted of a crime when in CA it drops off the record. It was expunged 2 years after occurring, but the real criminals were the ones posing as victims and getting neighbors to testify a lie for them to save them from deportation. I never had the felony vandalism dropped/reduced to misdemeanor before expunging it and it shows as a felony until it is. I tried a couple years back but wasn't notified by phone or mail that I had a court date that was optional to show to, so they dropped the case when I wasn't there. Pigs. They don't care about helping people help themselves and they can be classist, racist, and misogynist. Especially the females working there as clerks for the court. Not helpful and make you and everybody else feel like a criminal. The same types that would also get to experience misogyny from pigs first hand if ever encountered for mouthing off to a male cop or his lap dog female cop that looks to him to make decisions and approvals. Not outstanding citizens found there by me ever. I sent in my updated unofficial transcript to the SCUHS DC counselor for verification and submitting application for fall. I would like to know that this previous criminal record won't stand in my way when going through the education process and getting licensed. I might have to save up money to hire a lawyer that can get this handled for me. Apparently its an almost impossible thing to do, is reduce the felony wobbler to a misdemeanor if the case has already been expunged. One lawyer gave me self help advice that I already stated ended up with them dropping the case from not notifying me. But said she charges $2k to do it from LA area to Riverside and normally doesn't and couldn't guarantee something to happen but why is it such a problem to get it reduced if it is impacting my options in life. This was in 2009 when I threw a stick at a female I encountered days earlier while she tried to run me over. I got in my car and chased her to her house up the street from me that I knew where it was because I followed her after the encounter to it. I parked in middle of the street and her and her husband got in the street and threw stuff at me while I was yelling and approached my car so I went to circle around them in the street that was a huge street at Cypress and Golden street in Riverside at the end of La Sierra where it meets Arlington by Alhambra Rd. Where I lived. The asshole guy told his wife when I circled them to run shes trying to run us over and I wasn't but had to stop because when circling them they got in my way, when they were out of it I went the other way. There weren't any neighbors there, and the guy hit his own mailbox when turning around crossing the street. I was arrested Aug 2009 for trying to run them over as their neighbors 'witnessed' it and the guy had a mark he doesn't recall how he got on his body somewhere. AFter a year and a half in court I was offered the only plea I would take, felony vandalism for admitting to throwing my dog's stick at the bitch's vehicle as she smiled devilishl and sped up her car to run me over jumping out of the way. I looked them up later, they didn't try to contest the expungement of the Nov 2011 no lo conteste conviction plea back in Sep 2013, because as it turns out, when I ran their background by name in 2015 they were actually arrested for tampering with a witness, domestic violence, and evading or resisting arrest. On facebook it said the lady was in Spain, probably deported and they didn't own the house anymore, but the asshole guy lives in a mobile home park in San Diego County like Escondido or somewhere. That was the last I checked. But universe doing its job, they weren't good people and they finally got exposed in one way or the other from their 'evil' ways. She called me 'evil' when recounting her version of the incident in court. and her own witnesses said the couple was never in the road throwing stuff at me or approaching my car, but that somehow I attempted to hit them with my vehicle in the middle of the road, but they weren't in the road. The whole thing was stupid AF, and the clerks don't care, one even said I was convicted of all 4 charges, and I told her people get sued for that when doing background checks, I wasn't ever convicted of all four charges and she should know how to read a criminal record. And complained on her to her boss. She just looked at me like she's a stupid AF chick just trying to survive by supporting pigs and making any criminal look more like a criminal than they are, or like a monster. I am neither a criminal or a monster. She is for denying humans their rights and her time in doing her job. They hire stupid ass spanish speaking sluts to fill those roles or nosy hispanic Karens only because they can speak spanish and are the same ignorant lap dogs that look to cops on what to be directed into doing. I also had a butter pecan sundae latte iced med size from Dunkin Donuts, decided not to get the nitro cold brew in any form as the last one I had there was disgusting a few months back. There was a drive thru line and it looked like a whipped cream sprinkled donut frappucino and tasted the same as starbucks carmel frapuccino. Didn't have breakfast other than that as my 3rd cup of coffee. Called Dad to say that I would do his taxes for father's dady but he didn't answer his cell phone or work line, like my number is blocked. He goes through phases. As I also dropped off the mail I had for my sister at their house a couple steps back before the DD coffee. I noticed that my youngest niece's car, the Toyota Camry isn't new at all or used from a new biz, but had handicapped plates on it and I realized at that time when checking the front that she is actually driving Sherri's car, my dad's 3rd wife who past away from a stroke in Nov 2020. Wow! because I offered her my Dodge Charger to drive around with about the same payment and amount of payments left and wouldn't take it yet would rather take Sherris car who probably has all sorts of cigarettte smoke and bad energy in the car. But she did barely drive it and it must have has at most 10k miles on it where mine had 74k miles on it same year 2017. Her paint had the scratch on it before my youngest niece drove it thats why she never brought it up, because a dealership wouldn't let a car leave the lot with a scratch on it like that could be masked or buffed out, too light for a key scratch and too dark for a light tree branch scratch. Got the rest of the day off. Thought about horseback riding at the sunset and daydreams place my client told me about for $55-59 or going to beach or somewhere with my new bikini, even though I would look pregnant in it. Maybe lounge in the pool of a hotel in my bikini and drink cocktails with people staring at me, 'she's pregnant! and drinking' me like mind your own business because I am not pregnant. THis is a health condition. Read my blog on it. Do something spontaneous. I got an A in genetics and chemistry. Yay! Doctor status coming up. Took measurements at 11:45 am after the DD drink with bikini on. I am going to walk around the mall and see if I want to buy anything and maybe see if any hotels have pool admission. And bring a towel. Then hang out at some random pool with a margarita and then eat something pescatarian or vegetarian. Then go home. Didn't do any of that, took dogs to park, Growly almost died, didn't make it in the heat, but thankfully saved again with AC this time and some water. Poor little guy, then had a prepaid client schedule for 6 and 7 pm for her and her bf and bought the monthly membership for him. Great couple. Lost it at Lowes, but not physically, waited in line off Limonite, and some girl cuts in line because there was one line to two open cashiers and the guy looked like he was just calling people from the line until his break or something because he didn't announce being open to all. I waited in line 10 minutes and when its my turn to get called she jumps in with people behind me. and blah blah blah, I had to assert myself and take my spot, and listen to her bitch, and she kept bitching the whole time and the female cashier like I have the problem. She jumped the line! and the guy I went to as the cashier said to be patient, which was exactly what I was doing, but she had to cut in. I had to be at clients in 5 minutes. I was like whatever. left listening to them complain about how absurd it was to bitch and assert myself with them bitching about it, there were at least 3 other customers in the line I was in assuming the same damn thing about the order of checkout, and nobody that worked there monitored it or directed it to flow a certain way we just followed the ones in front of us. So stupid, but nothing illegal done, so whatever. Got to client's on time and was behind her pulling in, because she went to Ross, told me in session. But I took 7 minutes as I was early. She might have been annoyed by that because she brought up that she wanted to let me in twice. Very nice lady though. Her and her man. Ended the night with a couple vodka on rocks at home doing the SOAP notes and receipt. And laundry of course. For food, I had 1 vegan beef sandwhich in total from breakfast to lunch because one vegan beef patty left of the pkg with 4, the butter pecan sundae DD drink of coffee was breakfast, 5 cups of coffee in total because I had a 5 th one after waking from my 15 minute nap at 3 pm. and a bowl of raviolis after that. Then shower, work, then home and after all done a 2nd bowl of raviolis. Had a reg but loose BM for 2nd BM today after SOAP notes and 2nd drink of vodka. around 1045 pm and after putting laundry in dryer. Also, started getting spotty while wearing my bikini before my shower around 4 pm. I started my monthly mensa. Bed by 11:25 pm.</t>
  </si>
  <si>
    <t xml:space="preserve">vegan beef patty
(100.00	1.00	0.00	16.00	6.00	4.00	320.00)
1/8 cup mozz
(40.00	2.50	1.75	3.00	0.50	0.00	95.00)
1/2 pickle
(60.00	0.00	0.00	0.00	16.00	2.00	300.00)
2 slices Daves Killer Bread
(140.00	2.00	0.00	6.00	26.00	4.00	210.00)
2.5 servings ravioli
(625.00	12.50	6.25	25.00	105.00	2.50	850.00)
1 cup pasta sauce
(90	3.5	1	3	12	3	460)
butter pecan sundae iced latte Dunkin Donuts med size
(410.00	14.00	8.00	12.00	60.00	0.00	340.00)
4 tbs parm
(120.00	0.00	0.00	0.00	32.00	4.00	600.00)
1/4 cup mozz
(80.00	5.00	3.50	6.00	1.00	0.00	190.00)
=100+40+60+140+625+90+410+120+80
=1+2.5+0+2+12.5+3.5+14+0+5
=0+1.75+0+0+6.25+1+8+0+3.5
=16+3+0+6+25+3+12+0+6
=6+0.5+16+26+105+12+60+32+1
=4+0+2+4+2.5+3+0+4+0
=320+95+300+210+850+460+340+600+190
</t>
  </si>
  <si>
    <t xml:space="preserve">bowl raviolis
(250	5	2.5	10	42	1	340)
1/2 cup pasta sauce
(45.00	1.75	0.50	1.50	6.00	1.50	230.00)
1/4 cup mozz
(80.00	5.00	3.50	6.00	1.00	0.00	190.00)
3 tbs parmesan
(30.00	2.25	1.50	3.00	0.00	0.00	150.00)
1 grande sea salt cream nitro cold brew
(70.00	5.00	3.50	1.00	4.00	0.00	20.00) 
double salmond poki bowl with spicy tuna, too spicy gross, no cream cheese only ate half
(277.25	5.59	1.08	8.90	48.28	4.18	450.50)
1 serving corn tortilla chips
(140	7	5	2	18	2	90)
=250+45+80+30+70+277+140
=5+1.75+5+2.25+5+5.59+7
=2.5+1+4+2+4+1+5
=10+2+6+3+1+9+2
=42+6+1+0+4+48+18
=1+2+0+0+0+4+2
=340+230+190+150+20+451+90
</t>
  </si>
  <si>
    <t xml:space="preserve">Woke up at 5 and laid in bed holding Growly. He had his eyes open, but was breathing and warm. The AC was on last night and he almost died at the park in the heat walking him, and running out of circulation to his legs, screamed from cramps. Put him in car with me and babies with AC on full blast until he cooled off. Then held him entire drive. Was fine at home. It was hot yesterday. Supposed to be more hot days. Got out of bed after a little nap bw 5 and 530 am by alarm. Did normal routine, no pet messes to clean, made my coffee, fed Growly his meds, fed babies, noticed Blink is a recurring issue on the daily to fix. Had to reset entire wifi and internet through ATT app then noticed the wifi to the sync module for Blink worked and so did the cameras. So annoying to do that all the time. Woke up with R shoulder aching, probably slept on it wrong or stretched it awkwardly holding Growly. Had 2 cups of coffee then a sm BM, med-heavy mensa day 2 on rag. Filled out the TX pdf fillable form and sent it in for Criminal History Questionaire. Could take weeks to months to decide. Will find out, but I know I did my part. Still waiting for the CAMTC to send me my paypal form to pay for transcripts to get sent, already took care of the other proof of licensure form yesterday. Then once they do that, take the jurisprudence exam online and apply. Got the funds, might as well. So thats 125 CAMTC transcripts school closed, 35 juriprudence exam, 100 TX application fee, + 90 approx fingerprints with indentogo once applied. Wait for the correspondence on criminal history approval or denial, then the summer have my liability insurance 100 to pay and city license renewal 115 approx to pay. Write offs. Have a couple of clients at 5 pm, but have never been able to get through traffic at that time to make it there. So I altered my schedule, will text her after work when using the waze app to see what time it has me arriving by. A very nice couple too. Took measurements before eating breakfast, last of raviolis with mozz and parmesan cheese. Had a 3rd cup of coffee with raviolis. At work had a no show as 3rd appt, and for lunch had a poke bowl that was gross and only ate 1/3 of it, too spicy with spicy tuna and double salmon, cucumbers, spicy mayo, house ponzu sauce, brown rice, and a starbucks seasalt carmel nitro cold brew drink. After work had last of the tortilla chips from Sprouts to snack on in traffic that was like 1/2 serving. Then got to clients, barely made it out of there without bleeding around my mensa pad and thankfully not on the floor, it was on my pants leaving, had to wipe it off my driver's seat when I got home. Made it back when my alley/neighborhood cat got there. A cute little girl or guy, doesn't like the pate cat food, partially eats it. Very sweet cat though. Saw that Mike, my neice's uncle booked an appointment with me with the free monthly prepaid. Not going to happen since he used 'cum' in the square app scheduler and no consent form, plus gives perve vibes. I will cancel it tomorrow. I have my other client at 4 pm and her cat. They're cool, very cute cat and nice client. I like all my clients. Clients tonight are cool people too, their dog is funny, they are trying to warm it up to people like me, because he barks a lot. Cute dog though. Had laundry in the wash, going to wash my clothes and bloody pants once the linens and covers and supplies are done and in the dryer. I back tracked and marked the swollen ankles because they weren't too swollen to move but they were swollen and they get swollen around my time of the month for menstruation.Went to bed around 1030 pm. After cancelling the square appointment with Mike and explaining why I wouldn't go to his house to give him a massage because I wouldn't feel comfortable with that language, its not respectable language, and it violates the terms of service in the consent form that everyone fills out before the appointment, and also he booked the monthly prepaid $0 appointment and needed to book the $60 hourly massage, and maybe that he doesn't live around Corona, and also that I would be busy and possibly on the other side of town. He probably booked it drunk. He is actually not known to follow social norms for long and always does something to make someone feel uncomfortable. Not the type of client I would ever go to their house to massage them. The idea is gross, reminds me of pigs tyring to connect my professional services to a pervert or disrespectful person. He is technically extended family, but always made it known that he wants to date me when he used to rent a room from us back in the day with my sister and her now deceased babies' daddy, his brother RIP now since July 2007, 14-15 years. 14 years this end of July. I was actually going to have a vodka ice water making the client's SOAP notes and receipts and doing laundry, then I saw his scheduled appointment and it grossed me out with the language used, so didn't drink. I sent out my clients' SOAP notes around 10 pm but a little after 10, then cancelled Mike's appointment. </t>
  </si>
  <si>
    <t>Great Value Peanut Butter creamy, serving is 2 tbs</t>
  </si>
  <si>
    <t>Market Pantry Concorde Grape Jelly, serving is 1 tbs</t>
  </si>
  <si>
    <t>banana bread Albertsons Deli, 10 slices per pkg, 1 slice:</t>
  </si>
  <si>
    <t>Starbucks Vanilla Latte, servings 3 per bottle,1 serving is 12 oz, bottle:</t>
  </si>
  <si>
    <t xml:space="preserve">Woke up at 515 put laundry in dryer after taking linens out and folding and all after doing normal routine, coffee and cleaning pet mess then making Growly's meds and feeding the babies. I skipped his meds last night, because it was off by 4 hours, and have to get to work by 750 am today. He would have to take it late then early when spaced out 12 hours is the goal. Updated this database and folded the linens and supplies before that time. Heavy bleeding and clotting. Had a mess of blood that did exactly what I worried it would do at my clients' house last night, spewed out a clot while standing and waiting for the babies to go outside, dripped down my leg and into my sandle birkenstock Target brand non-leather shoes that are comfortable and have been lasting a couple years already. I cleaned that mess up and used a washcloth, only have one menstruation pad left. Will probably need to stuff my undies with washcloths at work too. Those blood clots are the worst for emergency pants bleeding and around thick mensa pads. Its the fibroid that does it, makes all the blood cake up in the uterus, then slight movements like breathing or walking or standing, open pelvice floor or shift it and all the blood that clotten along and in uterus falls out and other blood when flowing heavy. Had a 2nd cup coffee by 625 am. Almost time to get ready. Had a sm BM after 2nd cup of coffee, then took measurements, made a 3rd cup of coffee and got ready for work. Ankles aren't really swollen, but not 'not swollen' and will be by end of day as my iron bleeds out, same with the last few days. Thats why its marked as swollen, by end of the day they are, even with compression socks on. At work clotted and heavy, used up two wash cloths before lunch, got a fruit bowl of green grapes, strawberries and mandarin oranges, approx 40-50 green grapes sm sz, 2 strawberries sliced and one mandarin orange sliced and peeled prepackaged for 6.99. Then looked for the starbucks carmel machiato but not there prepackaged, got the vanilla latte one instead, and a package of fresh deli banana bread. I don't know why, because there were other delicious options from the Albertsons in Chino Hills, but got that. Forgot the pads, then ate my fruit bowl mostly and a couple slices of the banana bread and a cup and a half of the vanilla latte. in my green cup, about 2 cups of the drink.  for the 4.5 cups coffee for the day as had 3 before work with a peanut butter and jelly sandwhich that was quick to make on Dave's Killer Bread, not bad. The 5.5 cup came after work exhausted, probably because its my heavy rag day and lost a lot of blood. I went back into the Albertsons and got two different sizes of the mensa pads and then went back to work for last client. Last two clients and first one were regulars. They're cool. I am blanking on the 2nd client but just remembered. She usually sees Joanne, but she was busy. Quiet young lady. AFter work had my regular client back from Las Vegas, very nice client, post op 6 months lipo 360. Very fit petite lady. Her cat is super cool and adorable. Got home by or before 6 pm, did the laundry and made a drink while cooking raviolis from freezer last bag and the last pasta 4 cheese sauce. Yay! Got class work to do. Stuff is already due the first day. There are what appears to be scheduled weekly meetings via zoom but the summer registry info said not a set time and date bc online. I can do the Mon mornings as long as no private clients, but only Wed if in evenings. She will be marking attendance, but then again it could just be keeping track of how we log into the course online and not the class. Looks cool. But she also said there is a lab manual, but when I purchased the text book to see what books were needed, I didn't see anything about a lab manual to buy. I will have to check on that. Ordered an air fryer and some earrings from Amazon.com. Had a vodka ice water drink. Feeling it with loss of blood too. Didn't make receipt or SOAP notes yet. Had a bowl of raviolis with mozz cheese. The parmesan cheese was all gone, roommate throws a lot on his food. I just bought two bottles last time I went to Winco. He uses a lot of the parmesan cheese. Had a 2nd BM after looking at homes and saw a condo that was 2 bed 2 ba in corona for 350k. Contacted, for curiosity. It said 5k with 60k a year at 19k a month mortgage. Not a fan of carpeting though. Went to bed early at 8 pm. The roommate came back to get ready for work but I was tired and saw him leave a little after 9 pm. Bleeding on mensa slowed down, but still messy, these Albertsons generic pads don't cover much when sleeping, goes off to sides. </t>
  </si>
  <si>
    <t xml:space="preserve">2 slices Daves Killer Bread
(140.00	2.00	0.00	6.00	26.00	4.00	210.00)
2 tbs peanut butter
(180.00	15.00	2.50	7.00	8.00	2.00	135.00)
2 tbs grape jelly
(100.00	0.00	0.00	0.00	26.00	0.00	0.00)
5 slices banana bread
(900.00	45.00	10.00	10.00	110.00	0.00	850.00)
1/2 vanilla latte starbucks refrigerated drink
(285.00	6.00	3.75	10.50	48.00	0.00	150.00)
bowl raviolis
(250	5	2.5	10	42	1	340)
1/4 cup mozz
(80.00	5.00	3.50	6.00	1.00	0.00	190.00)
40 green grapes
(8.5	0	0	0	36	0	1)
2 strawberries
(6.25	0.00	0.00	0.00	1.50	0.25	0.00)
mandarin orange
(40	0.2	0.1	0.6	10.1	1.4	2)
=140+180+100+900+285+250+80+8.5+6.25+40
=2+15+0+45+6+5+5+0+0+0.2
=0+2.5+0+10+3.75+2.5+3.5+0+0+0.1
=6+7+0+10+10.5+10+6+0+0+0.6
=26+8+26+110+48+42+1+36+1.5+10.1
=4+2+0+0+0+1+0+0+0.25+1.4
=210+135+0+850+150+340+190+1+0+2
</t>
  </si>
  <si>
    <t>Woke up before 530 am but got out of bed at 530 am, didn't feel groggy. Bleeding less today. Pads are messy. Did normal routine, cleaned pet messes, gave Growly his meds, fed babies, restarted dryer, made my coffee, updated this database on yesterday's nutrition information, then checked the time I went to bed on BLink and noticed the outdoor wireless cams aren't connected again. So annoying, didn't have it connect after restarting internet, went to the sync module and restarted it after moving the booster from the roommates separate model room area to the bed area. Nothing is connected to the booster. Haven't set it up properly or just nothing connected now. It finally worked This camera system is such a huge annoyance. I absolutely hate it. Waste of money, should have got the wired in system or other wireless camera like nest and been better off. Emailed the advisor Garfield to see if a kinesiology course of 1 unit or CPR/first aid would count, but checked out the biology schedule and work and decided not to add any other coures, also the first aid cpr has a  day I am unavailable and the tu/thur is no longer avail. Had a BM reg after 3rd cup coffee, took measurements afterwards, alarm went off at 730 to get ready for work, and had some raviolis. Went to work and had the other half of starbucks vanilla latte bottle drink and 5 slices banana bread. AFter work had the last of the raviolis same way with 1/4 cup mozz and the 1/2 cup sauce, it was all in the same pot, but there is a bunch of sauce left over in the bowl and the pot after raviolis gone. I had my client, a regular after work, gave her boy some coloring books, that occupied him pretty well the first 1/2 hour, but he couldn't sit still. He is a cute little boy. After the massage packing the supplies the grandma wanted us to hurry, she is really nice about it, because her dogs were upstairs waiting to come out. We were chatting. This client has an abusive asshole ex she is going through a divorce with. I told her all about the courts and how its more a pyschological thing to test people. They suck on both sides for both people in any courtroom. She is doing better but lost weight. I went shopping at Smart and Final and got some pizza, raviolis, waffles, bananas and chocolate icecream. This client had a good idea about a 'meet up' for single females or interested ones that want to do random fun stuff for a few hours every few weeks like pottery, photography, horseback riding, etc. I thought about making a blog about it. I also put some sweet potato fries in ove around 845 pm after reviewing my summer course syllabus that starts tomorrow in biology. I also had a cup of vodka or drink of vodka and ice water before putting sweet potato fries in the oven. Also, before I went to client's house, leaving at around 410 pm, bc she lives in S corona, I had a 5th or 5.5 cup of coffee. The 3 cups in am before work, the other half of vanilla late refrigerated starbucks as 4.5 and this cup as 5.5 cups coffee. Didn't want a headache, but was tired. Not bleeding heavy today, and only changed my rag one time at work, no leaks around pad or clots, its a medium flow day. Didn't put out client's receipt or SOAP notes by 840 pm before putting sweet potato fries in oven. No ketchup, but ranch dressing and pasta sauce might work with mozz cheese.</t>
  </si>
  <si>
    <t>classico pasta sauce 4 cheese, serving 1/2 cup</t>
  </si>
  <si>
    <t>chocolate waffles eggos, serving is 2 waffles:</t>
  </si>
  <si>
    <t>digiorno stuffed crust 5 cheese pizza, serving is 1/5th pizza</t>
  </si>
  <si>
    <t>california pizza kitchen margherita pizza thin crust, serving is 1/3 pizza:</t>
  </si>
  <si>
    <t>First Street, Smart&amp;Final brand, jumbo spinach, ricotta, cheese raviolis, serving is 4 pieces</t>
  </si>
  <si>
    <t>First Street, sweet potato crinkle cut fries, seving is 3oz or 12 pcs:</t>
  </si>
  <si>
    <t>chocolate icecream, serving is 2/3 cup</t>
  </si>
  <si>
    <t>Woke up at 530 am and got out of bed a little after that time.I woke up shortly before that about 15 minutes with a huge calf cramp when rolling over and stretching, it froze up on my on my Left calf and ached like a huge muscle cramp for about 20-30 seconds it felt like. Was a little sore when getting up but went away. Haven't had those in years.  Went to bed last night at 1040 approximately watching Hulu's Handsmaids Tale. I have a biology zoom 90 minute meeting from 10 am to 1130 am today before work. The other meeting is Wed. But unable to attend because I have work. On the registry it said it was online and didn't have a set day to go. I found this schedule out yesterday, though it was up for a few days before it or week in her announcement. She doesn't deduct points but gives participation points for having web cam on during lecture via zoom. I sent out my client's SOAP notes and receipt after 1st cup of coffee and with laundry in the dryer. I had a reg BM after 1st cup of coffee and started drinking my 2nd cup. Yesterday I noticed that part of my black eyeglasses is broken on one of the folding legs of the eyeframe by the screw. Might order another set or try super gluing it. I don't know how it happened. I am also expecting all of my Amazon packages today except the waist trimmers I was conned into buying. They said it was shipped so they could charge my card, but won't be arriving for a month, so I can't cancel the order. I don't like that at all but have to deal with it. They should allow cancelling the order when it takes longer than a week. I have to update this nutrition database then shower and get ready for the zoom meeting and probably go over the lab manual and the first few chapters of the text book but not read every page as I imagine it is about 3 hours per chapter to read if like the genetics biology text book, and not enough time for that. It is 645 approx right now. Took measurements while preheating oven to bake a pizza, the stuffed crust 5 cheese digiorno pizza at around 704 am. Got a text the bookstore at RCC charged my card, so it must be ready for pick up the lab manual for biology. Not really any time today to get it if the line is going to be as long as last time. But might get it before work and check the UPS store to see if the Dodge Charger title is in. Did the dishes and folded the laundry. The roommate went to his mom's last night (aunts actually but raised as his mom) to celebrate his step dad's father's day. He brought home lasagna he said was vegetarian his mom made for us knowing I am vegetarian. I don't trust her. I think she poisoned her ex husband or two thats why they died of cancer. Shortly after she visited and gave us food when he ruptured his patella tendon, I got Hodgkin Lymphoma when it doesn't run in my family at all. A few months afterwards. So I will not eat anything she makes. She is nice on the surface and means well. But not going to eat her food. I don't like seeing the Blink cam go off and see my roommate in my room for minutes at a time. It is only showing when someone walks by because it was catching us naked after the shower right by the bathroom and my room and when calling tech support for the outdoor wireless cams that keep going out or disconnecting they could see all our activity. So I changed the angle to onlyshow our head walking by. It cathces him at some times coming from my room and not entering it, which is weird. He says hes petting the babies, but if I put it on where it has full view of my room it will go off continuously while I am in my room. Ate 3 slices of the pizza cut into 8 slices with 3 tbs ranch dressing. Gave the babies some of the cheese stuffed crust. They loved it. Not with ranch dressing.Feeling like a nap with my 3rd cup of coffee around 8 am. It was a light mensa day today, only changed my pad about 2x. I added the window decals after taking off adhesive forever on passenger side. I got those in today and added them before work. I baked the whole cheese stuffed pizza and ate all of it in 2 slices, 2 slices, then 3 slices by end of day. or 3-2-3 so that it was 8 pieces. With about 5 tbs ranch dressing. For lunch on my break at work bought some more flashcards, a white board with dry erase markers, and super glue for my broken glasses, and had about a 16oz or whatever size the large refrigerated Starbucks vanilla latte drink is. That was my nutrition or sustenance for the break. I also got an interview with the Southern CA University of Health Sciences for the DC program, but he wants to put me in the 4 year track, probably bc I don't have my anatomy but after this summer's biology will have the required 24 sciences, but not really because short 1. So hopefully get in. Don't want to bomb the interview on June 24th a Thursday at 2 pm. That Garfield guy is super nice and helpful, I have to watch the last 1/2 hour of my biology LE bc I spoke with him during that time. I am so doctor material, and do enjoy helping people and find it rewarding. Why not a chiropractor. I had a lot of respect for the chiropractor who taught the school I went to for massage when learning the trade and at that time wanted to be just like him and own a massage school and offer helpful advice people paid for to ease their aches and pain. I was a bit delusional and thought massage therapists were like Jesus's people and healers of ancient times with knowledge passed down by generation to help people. Somewhat believe that now. I definitely want to capitalize on that insurance sponsored chiropractic adjustments and regular visits and cracking or aligning peoples back and using massage therapists and other health and wellness professions like yoga or pilates and physical therapists to cure the public of their aches and pains while building a brand that can be recognized. I now have two monthly subscribers. How cool. Two. Awesome, been around at least a year, but hey somethings take time to find their momentum. Will have to score that A in biology too. She is the same age as me as we both graduated high school in 2000. It seems like an interesting course. Odd that it is biology for non-science majors but required for anatomy, and I would otherwise not take it. And no intro biology is for science majors, so to me this is odd. Why even say it is a course for non-science majors. Seems pretty intricate too. The other classmates in todays zoom meeting looked just like me brushing hair off face and lowering head as we listened to and read the course requirements, pure stress in the works. They were getting their participation points for having their web cams on. I can only tend the Monday lectures and couldn't even log in on time this morning because the instructor had to log in first. I went to car to get glasses, or van, and came back and realized it didn't matter bc my video was off after taking electric tape off web cam. I put it back. I had a couple vodka ice water drinks while filling in these notes, then had a lg BM. 2nd for the day. Didn't finish 2nd vodka ice water, ice melted.  I got all my amazon packages and got a lot of earrings for $20, more than advertised, one looks like dangly earrings with fake toilet paper on a loop of silver or metal that is interesting. Might wear or not, different kind of humor. Most are cute earrings. Didn't unpack the air fryer or the infrared light and kept in the boxes. I saw on my break they were delivered and texted my roommate to pick them up from the front while he was still there and the packages too. He said like always to stop delivering them there and I had to tell him to stop bitching about it because that is why I got the ring or blink cameras.I paid some bills, and balanced checkbook, then wrote down interview date on new white board, but left the air fryer and infrared lamp that rolls in their boxes. Made some sweet potato fries while drinking vodka ice water. Had about two servings or other half the bag with 3 tbs sourcream and 1/4 cup pasta sauce and 1/4 cup mozz but also a serving of tortilla chips with the same ingredients while waiting for the fries to bake from preheating to baking 20 minutes. And wathing Handsmaids Tale. Didn't finish whatever episode it was in the boat. Went to bed around 1230 am.</t>
  </si>
  <si>
    <t xml:space="preserve">1/2 vanilla latte starbucks bottle
(285.00	6.00	3.75	10.50	48.00	0.00	150.00)
5 slices banana bread
(900.00	45.00	10.00	10.00	110.00	0.00	850.00)
2 bowls raviolis
(500.00	10.00	5.00	20.00	84.00	2.00	680.00)
1/2 cup pasta sauce Priano brand
(90	3.5	1	3	12	3	460)
3/4 cup mozz
(240.00	15.00	10.50	18.00	3.00	0.00	570.00)
approx 20 sweet potato crinkle cut fries
(280.00	10.00	0.00	4.00	44.00	4.00	480.00)
2 tbs ranch dressing
(145.33	15.40	2.40	0.33	2.00	0.20	244.67)
2 tbs sourcream
(120.00	10.00	7.00	2.00	4.00	0.00	30.00)
1/8 cup pasta sauce Classico brand
(15.00	0.25	0.00	0.50	2.50	0.50	125.00)
banana
(105	0	0	1	27	3	1)
=285+900+500+90+240+280+145+120+15+105
=6+45+10+3.5+15+10+15.4+10+0.25+0
=3.75+10+5+1+10.5+0+2.4+7+0+0
=10.5+10+20+3+18+4+0.33+2+0.5+1
=48+110+84+12+3+44+2+4+2.5+27
=0+0+2+3+0+4+0.2+0+0.5+3
=150+850+680+460+570+480+244.67+30+125+1
</t>
  </si>
  <si>
    <t xml:space="preserve">digiorno pizza cheese stuffed crust
(1550.00	75.00	40.00	75.00	140.00	5.00	3150.00)
5 tbs ranch dressing
(436.00	46.20	7.20	1.00	6.00	0.60	734.00)
bottle vanilla latte Starbucks drink
(285.00	6.00	3.75	10.50	48.00	0.00	150.00)
2 choc chop waffles
(200.00	7.00	2.50	4.00	32.00	1.00	370.00)
1 cup chocolate icecream
(270.00	13.50	9.00	4.50	33.00	1.50	82.50)
1/4 cup or 4 tbs whipped cream
(50.00	3.00	3.00	0.00	6.00	0.00	0.00)
other half of sweet potato crinkle cut fries
(280.00	10.00	0.00	4.00	44.00	4.00	480.00)
3 tbs sour cream
(180.00	15.00	10.50	3.00	6.00	0.00	45.00)
1/4 cup pasta sauce Classico
(30.00	0.50	0.00	1.00	5.00	1.00	250.00)
1/4 cup mozz 
(80.00	5.00	3.50	6.00	1.00	0.00	190.00)
3 tbs sour cream
(180.00	15.00	10.50	3.00	6.00	0.00	45.00)
1/4 cup pasta sauce Classico
(30.00	0.50	0.00	1.00	5.00	1.00	250.00)
1/4 cup mozz 
(80.00	5.00	3.50	6.00	1.00	0.00	190.00)
serving tortilla chips
(140	7	5	2	18	2	90)
banana (ate the middle with the waffles and icecream)
(105	0	0	1	27	3	1)
=1550+436+285+200+270+50+280+180+30+80+180+30+80+140+105
=75+46.2+6+7+13.5+3+10+15+0.5+5+15+0.5+5+7+0
=40+7.2+3.75+2.5+9+3+0+10.5+0+3.5+10.5+0+3.5+5+0
=75+1+10.5+4+4.5+0+4+3+1+6+3+1+6+2+1
=140+6+48+32+33+6+44+6+5+1+6+5+1+18+27
=5+0.6+0+1+1.5+0+4+0+1+0+0+1+0+2+3
=3150+734+150+370+82.5+0+480+45+250+190+45+250+190+90+1
</t>
  </si>
  <si>
    <t xml:space="preserve">2 choc chop waffles
(200.00	7.00	2.50	4.00	32.00	1.00	370.00)
1 cup chocolate icecream
(270.00	13.50	9.00	4.50	33.00	1.50	82.50)
1/4 cup or 4 tbs whipped cream
(50.00	3.00	3.00	0.00	6.00	0.00	0.00)
3/4 margherite pizza
(720.00	38.25	15.75	27.00	65.25	4.50	1080.00)
3 tbs ranch dressing
(218	23.1	3.6	0.5	3	0.3	367)
1/2 serving baked potato chips
(60.00	4.25	0.00	1.00	11.00	0.50	80.00)
2 choc chop waffles
(200.00	7.00	2.50	4.00	32.00	1.00	370.00)
=200+270+50+720+218+60+200
=7+13.5+3+38.25+23.1+4.25+7
=2.5+9+3+15.75+3.6+0+2.5
=4+4.5+0+27+0.5+1+4
=32+33+6+65.25+3+11+32
=1+1.5+0+4.5+0.3+0.5+1
=370+82.5+0+1080+367+80+370
</t>
  </si>
  <si>
    <t>Woke up at 630 am by alarm. The roommate came in the room while I was getting out of bed and told me he was verbally assaulted yesterday and had to attack the guy and the guy tried to stab him with a screwdriver 2x, he ran away instead of bashing his head on while on the ground and told the medical clinic up the street a block from where we live. His BP was 180/145 or high, then after 5 min went down to a lower rate. He has been trying to get a doctor to examine his xray and tell him about it. I got out of bed. The roommate just got home at that time. I had 3 vodka ice waters last night while watching an episode of season 4 of the Handsmaids Tale last night and went to bed around 12:30 am but a few minutes after. Got about 6 hours of sleep. Did a discussion while drinking 2nd cup of coffee, feeling less groggy. Had a small BM before finishing 2nd cup of coffee. Then updated database, I forgot I ate a banana yesterday and day before I didn't keep track of. I remembered when looking at food available for breakfast. Then took measurements around 845 am. I just had my MLD client book an appointment that runs close to interfering with my 12 pm client in Norco. I didn't feel good when getting back, the hung over feeling came back, and was gone mostly during appointments and running errands. Was able to pick up my lab manual after my noon massage appt, then thankfully got the title to give to the father of the new owner of the Dodge Charger he bought the 28th of May Memorial weekend a few weeks ago. I contacted him and sent it via fed ex like he sent my plates and gave him the tracking number. Then went home, did the laundry and started the homeword, with the first assignment due being the lab, but there is a lot of work due this week and a lot of studying. I made the margherite pizza and ate 3/4 of it with 4th cup of coffee, then took a nap around 6 pm for about 20 minutes. Felt a little better, but still sick and my throat is sore and then it goes away, but comes back as I chew on the ice. Drank some water and felt a little better. It was shaken off by late when reviewing the first two lectures and notetaking. Already have a quiz on the first chapter material tomorrow. and a Lab quiz on all 3 labs due Friday that I only got through the first lab today. Each lab has a video with it to go with the slides, and each lecture seems to have a worksheet to fill in and video with slides. 16 weeks into 7 weeks of material is quite a bit of work to do during the week. The study guide is the first few slides on what to expect to learn for preparing for quizes, exams, and tests. I didn't do the SOAP notes or receipts for either client by 1036 pm, but did write the SOAP notes in journal.  No more bleeding today noticed. Wore a pad just in case, but it was all gone all day. Finished updating this nutrition by 1046 pm.</t>
  </si>
  <si>
    <t>Woke up at 530 am by alarm. Went to bed at 1120 pm before 1130 pm. Got about 6 hours of sleep. Cleaned some pet messes, made my coffee, gave Growly his meds and fed the babies. Saw one client left me a great review. That was really nice. Looked at the news and saw a gross new report I won't comment on to share to facebook, because just reading or hearing or grabbing news title is sick. There aren't even wild animals that do the crimes pedophiles do, but yet there are pedophiles. Some navy sailor, no image, Randy Tilton, got 200+ years for crimes against very small/young children, closer in age to fetuses instead of kids. He did it to kids of women he dated, which implies he did it to the women as an injury for being a misogynist, gaining their trust, then abusing them with the only things/people they love and would give their life for over anything in the world. Misogynists like this Randall Taylor deserve a gruesome death. Sickos like that really don't deserve life in any capacity. They cannot be fixed and shouldn't try to be. Had to get that story out of my mind and read some other ones like HUD housing for student loan borrowers. Not really new information, but maybe. I spoke with a real estate person before who said something about the 1% of loans, but told her my income based repayment is $0.00 a month for a year and updated annually. So this new HUD loan is only taking into account your loan payment amount and not the 1% of loans, as mine are at 114k and have been thanks to the freeze last year on payments. Expires in September or the end of September and I renew my Income Based Repayment at the end of October. Used the air fryer to make taquitos with olive oil coating the corn tortillas, mozz and paprika but they didn't roll and broke/tore instead, so stacked into pizza with pasta sauce and sourcream. They were delicious. Only took a few minutes. Just preheat, then pause and start for 3 minutes and done. Had to upload to instagram. Took measurements afterwards. Had a reg BM while waiting for the taquitos. Still have 2 slices of pizza in fridge might take that to work. Shower and get ready. Went to work had a double poki bowl same way but with spicy mayo, double salomon, house sauce, 3 tbs creamcheese, cucumbers, ginger, brown rice, wasabi, sesame seeds. And a coffee 4th cup with 4 hazelnut international delight coffee creamers. Was able to get in my one stretch session training needed on a coworker, Robert, after work on his last half of his break. He's a nice dude, he worked a long shift yesterday, 11 hours. Then at home I had 6 spinach raviolis I made in the air  fryer with a coating of olive oil and 1/2 cup pasta sauce and 1/4 cup mozz, Then 2 waffles with whipped cream and a 5th cup of coffee. Looked at the recorded lecture from earlier in the morning that I couldn't go to bc of work. Then uploaded my worsheet for lab 1 to canvas to this course after making an adobe pdf scan of it to upload. I went to my client's at 630 pm. Her and her cat and husband are very nice people. Her cat is a unique one because it is a female tabby. I got home did the laundry from that appointment, and studied for the quiz on the 1st chapter of this unit, then took quiz attempt 1, then looked over the questions unsure about and took the 2nd and final attempt of quiz 1. I wasn't sure about the ones asking covalent bonds, so added in polar and nonpolar at the end, and saw the nucleotide bases were hydrogen bonds that was overlooked. I originally thought all the items for things learned on the first few slides was what would be covered like Dalton's Atomic Theory, but most of it was on bonds from what I recall. Originally 5/10 points then up to 9/10 points. Some were fill in blank and others multiple choice or true false. Went to bed by 1030 pm.</t>
  </si>
  <si>
    <t>4 corn tortillas guerrero brand in airfryer
(200.00	2.00	0.00	4.00	42.00	4.00	40.00)
1/2 cup mozz
(160.00	10.00	7.00	12.00	2.00	0.00	380.00)
3 tbs sourcream
(180.00	15.00	10.50	3.00	6.00	0.00	45.00)
1/4 cup pasta sauce
(30.00	0.50	0.00	1.00	5.00	1.00	250.00)
double salmon poke bowl
(554.50	11.18	2.15	17.80	96.55	8.35	901.00)
spicy mayo serving
(40	4.5	1	0	0	0	40)
1/4 cup or 3-4 tbs cream cheese
(153.00	15.30	9.60	3.30	1.20	0.00	129.00)
4 hazelnut international delight coffee creamers
(140.00	6.00	0.00	0.00	20.00	0.00	60.00)
6 spinach First Street raviolis lg in airfryer
(390.00	13.50	7.50	16.50	49.50	3.00	690.00)
1/2 cup pasta sauce
(60.00	1.00	0.00	2.00	10.00	2.00	500.00)
1/4 cup mozz
(80.00	5.00	3.50	6.00	1.00	0.00	190.00)
2 choc chip waffles
(200.00	7.00	2.50	4.00	32.00	1.00	370.00)
3 tbs whipped cream
(37.50	2.25	2.25	0.00	4.50	0.00	0.00)
2 slices leftover margherite pizza in air fryer
(240.00	12.75	5.25	9.00	21.75	1.50	360.00)
=200+160+180+30+554.5+40+153+140+390+60+80+200+37.5+240
=2+10+15+0.5+11.18+4.5+15.3+6+13.5+1+5+7+2.25+12.75
=0+7+10.5+0+2.15+1+9.6+0+7.5+0+3.5+2.5+2.25+5.25
=4+12+3+1+17.8+0+3.3+0+16.5+2+6+4+0+9
=42+2+6+5+96.55+0+1.2+20+49.5+10+1+32+4.5+21.75
=4+0+0+1+8.35+0+0+0+3+2+0+1+0+1.5
=40+380+45+250+901+40+129+60+690+500+190+370+0+360</t>
  </si>
  <si>
    <t>aldis frozen jalapeno poppers, serving is 3, and 3 servings per pkg</t>
  </si>
  <si>
    <t>aldis frozen cheese sticks with sauce, 3 in serving, 3 servings in pkg:</t>
  </si>
  <si>
    <t>aldis meatless chicken fingers, servingis 2 pcs, 4 servings per pkg</t>
  </si>
  <si>
    <t>aldi puffed potatos (hashbrowns) serving is 3 oz and 11 servings per pkg</t>
  </si>
  <si>
    <t>reeses peanut butter cup snack size two pieces</t>
  </si>
  <si>
    <t>Woke up at 6 am groggy. I haven't had a drink in 2 days either. Felt tired. Got about 7 1/2 hours of sleep too. Cleaned some pet messes, fed Growly his meds, and gave the babies their food and made my coffee and updated this database, have plenty to do today to finish week 1 on my available time this week. I have an interview to get into the doctor of chiropractic program with a sports medicine emphasis at 2 pm, but will discuss with my advisor at 145 pm or so. If I do well on this, I can get a 2nd interview and if that goes well be admitted into the program. Nice. Around 8 am the city of Corona works or constructive asshole fatasses came by to block each direction of the alleys in the back and my van, the roommate wasn't here yet, but they are jackhammering dead center in the alley. I have them partially on the live feed cameras. This is interfereing with studying, but was updating my expenses I hadn't done in months before studying thinking I would have the time, but now the city workers are here loud AF and not sure how long they will be here. All hispanic and males, fat, they have a one of those water trucks for watering dirt, a construction truck with a plow on both ends for picking up stuff like concrete or large dirt loads, another truck is a big hauling truck with an open gated back, and a big truck with racks of metal wire like on a tow truck. I honestly can't think, the jack hammer is vibrating through walls and loud. I didn't take my measurements yet or eat breakfast, only had 2 cups of coffee. Since the roommate isn't here, I might study in his room. I texted him to let him know his parking spot and the alleys are blocked. Had a lg BM earlier, before finishing 2nd cup of coffee and updating expenses part of income/expenses database. Took measurements before breakfast. The outside workers finished between 1030 am and 1045 am. The roommate got home around 930 am bc his worker was late a few hours. Then I had breakfast, a airfried stacked 4 tortillas but one burnt and tossed in trash, with mozz and paprika, 3 tbs sourcream, 1/8 cup pasta sauce with 3rd cup coffee, then for lunch around 1130 am had a 4th cup of coffee with raviolis 6 and 1/4 cup pasta sauce and 1/4 cup mozz. Shared with babies, they love them cooked raviolis in airfryer, with 1 tbs olive oil drizzled on. Had used the canned olive oil yesterday and today but the top one had canned olive oil and it was burnt and thrown out. I went to starbucks, downloaded app to order, bc when I walked in I wanted to be able to talk to the admissions advisor when he called or planned to call at 145 pm, but he didn't, and the starbucks looked like an app order only, bc no cash register shown or nothing pointed to it. I was already downloading the app with others waiting for their under this assumption, then saw a new lady come up to the middle aisle (magnolia/rimpau corona ca) and then saw the cash register. It was unfamiliar territory and didn't want to get sucked into any dialogue as I was waiting for the advisor to call me in that window that had been just before 145 pm. He tried calling when I was actually talking to the cashier about my order that was supposed to be ready at 155 pm and I got involved in dialogue and had to refuse to answer his call, pushed into decision by the fact he called me 10 minutes late. And the cashier didn't know that I ordered anything, but saw me standing around all awkwardly with a 'Jesus is my homie' mint green tshirt, glasses, short Asian lady chin bob, and blue mom jeans and birkenstock imitation sandals feaux leather for like 15 minutes. They made my drink. And I took it. But texted the advisor, as when I called number back no answer. Anyhow walked to my van, and sat as it was close to 2 pm, and Dr. Pradeep Sangh (like John Doe for India) called and was the interviewer for SCUH We spoke at lengths on some various topics to outline or set up the boundaries for what type of candidate for doctoral role I am expected to adhere to or be accustomed to work and how my experience in any context has been able to define what I think a doctor of chriopractice is. He also answered my question on the schedule and that he is the assistant dean for terms 1-3 of the DC program, but is actually an MD, and that the DC program is very time consuming and outside work is highly discouraged as to do well it is expected that a student in the DC program will focus entirely on the material and cumulative exams to take board exams after each of 10-12 terms that are very rigorous and not easy by any standards. I told him it is very good that I sold my Dodge to reduce monthly liabilities and that I could move with my dad and the roommate can find somewhere to live. He seemed like a nice guy and like it went well. But we will see. Anyhow, never took a sip of my starbucks drink until 240 pm when the conversation via phone ended, and texted my advisor it went well in my opinion. He advised before hand to answer honestly and be me and said that I got it. you know like I got this. Nice enough guy. I went home and finished studying, got the itchy skin irritation from stress by 830 pm and poured some vodka ice water. No AC during the day as it was comfortable and cold with it on. I also stopped by Aldis later and when I arrived home I saw that the landlord was fixing the other side bc his truck was there. Then went to Aldi, got frozen foods for air fryer to fix fast meals. Frozen jalapeno poppers, cheese sticks, vegan chicken strips (gross, not very gross but not very good either), and hashbrowns or potato puffs. Ate some of that it was 3 of each and serving of the hashbrowns. But didn't eat all of it right away, by 830 pm ate 2 cheesesticks, 2 chicken strips or 1, because shared with babies, all the hashbrowns, and all the jalapeno poppers, had them initially with pasta sauce and sourcream and last of ranch. A bunch of sodium. Down to last 4 bottles of water by 848 pm. Still have a 3rd lab to finish and turn in and also study for lab exam due tomorrow a minute before midnight  on all 3 labs. I find her ppt slides and worksheets and such out of order, very all over the place. She seems to know her stuff in describing it, but the organization is all over the place, especially filling in the molecules worksheet on carbs, and such. Everything is just thrown about. I went on the discussion to see if any replies to my lengthy initial post, and zero replied. Most the students like stupid stuff like mastering snowboarding, skating, cooking, time management, blah, and one lady closer to my age admitted to her duties in a health office going to RCC for the RN program as putting cathetors into males and females. Gross! That is why I wouldn't want to be a nurse. Sorry, its gross, and I can't say that online, nor reply to a guy my age that posted a picture of him with the balding hair due and strands of hair covering a bald spot that he worked as a healthcare worker in the anesthesiology department for nearly 20 years and now does construction. Because on the surface I think, wow court order not to be near drugs that can date rape a young girl victim, and what better place to fulfill your obligations to pay debts than to work in construction where many misogynists, drug users, and possible sex offenders not caught work, or atleast do drugs like meth that add to their choices in growing a porn empire collection. Sorry, but not, and why is he going to school again the same age as me. Obviously these students are all young and would rather be doing anything else instead of occupying their time with this class in their summer. Also, they don't like lengthy posts or old people and won't expect any ambitious people to comment on my posts. But good thing I have notifications set to only if my name is commented in discussion. Because the design for points and participation is to check into the discussion to monitor your thread, and every person's reply to the topic posted by the instructor is a thread. So I am doing my part. I feel like I am talking to kids my nieces ages. And I don't have kids, but if I did they could be their age. I know I liked doing those activities of trying to snowboard and do other white washed sports to feel cool. But it is the 2020s and I wonder why these blended race kids want to do white activities when everybody who is anybody wants to focus on white privilege and cultural misappropriation and not being the enemy into white washed activities. These kids are odd ones. Raised by racists and conservative, possibly cops' kids, because they have conservative, old outdated ideas of fun in this social context. But whatever, whereelse can I vent, but here, and being the typical loser, child less , middle aged, student, I am drinking my drink for the night while venting, and my skin isn't itching from stress. But probably will be when I start the completion of the lab and studying for lab final tomorrow. Had a sm BM around 1030 pm and ended up drinking 3 drinks of vodka ice water before going to bed around 1130 pm. Around 1030 pm had the cheese stick and 2 vegan chicken strips in fridge, microwaved with pasta sauce about 1/8 cup or 2-3 tbs.</t>
  </si>
  <si>
    <t xml:space="preserve">3 corn tortillas
(150.00	1.50	0.00	3.00	31.50	3.00	30.00)
3/4 cup mozz total 1/2, 1/4
(240.00	15.00	10.50	18.00	3.00	0.00	570.00)
6 tbs sourcream
(360.00	30.00	21.00	6.00	12.00	0.00	90.00)
1/2 pasta sauce total, 1/8, 1/4, 1/8
(60.00	1.00	0.00	2.00	10.00	2.00	500.00)
6 spinach raviolis
(390.00	13.50	7.50	16.50	49.50	3.00	690.00)
2 cheesesticks
(148.89	4.89	0.78	7.11	18.67	0.89	822.22)
3 jalapeno poppers
(240.00	16.67	5.67	3.67	19.33	1.00	646.67)
1 serving hash browns of potato puffs
(150.00	7.00	0.50	2.00	21.00	2.00	290.00)
1 sea salt carmel nitro cold brew
(70	5	3.5	1	4	0	20)
2 almond joys*.85, shared with princess, snack size around 10 am
(135.43	7.65	5.10	1.70	17.00	1.70	34.00)
1 reeses peanut butter cup *.75 shared with princess snack sz around 10 am
(120.00	6.75	2.25	2.25	13.50	0.75	82.50)
1 cheese stick
(74.44	2.44	0.39	3.56	9.33	0.44	411.11)
1/8 cup pasta sauce
(30.00	0.50	0.00	1.00	5.00	1.00	250.00)
2 vegan chkn strips
(140.00	6.00	1.00	7.00	13.00	3.00	400.00)
=150+240+360+60+390+148.9+240+150+70+135.4+120+74.4+30+140
=1.5+15+30+1+13.5+4.9+16.7+7+5+7.7+6.8+2.44+0.5+6
=0+10.5+21+0+7.5+0.78+5.7+0.5+3.5+5.1+2.25+0.39+0+1
=3+18+6+2+16.5+7.11+3.7+2+1+1.7+2.25+3.56+1+7
=31.5+3+12+10+49.5+18.7+19.3+21+4+17+13.5+9.33+5+13
=3+0+0+2+3+0.9+1+2+0+1.7+0.75+0.44+1+3
=30+570+90+500+690+822.2+646.7+290+20+34+82.5+411.11+250+400
</t>
  </si>
  <si>
    <t>white chedder G&amp;G brand popcorn, serving is 2 3/4 cups and 5 per bag</t>
  </si>
  <si>
    <t>Gouda snacking cheese, 12 servings per bag, serving is 1 stick, Aldi brand, 1 serving:</t>
  </si>
  <si>
    <t>Barissimo coffee iced latte coffee &amp; milk beverage, Aldi brand, 1 bottle 1 serving:</t>
  </si>
  <si>
    <t>Fit &amp; Active Aldi brand chedder rice cakes, serving is 20 pcs, 6 servings per bag, 20 pieces:</t>
  </si>
  <si>
    <t>Pueblo Linda flour tortillas Aldi brand, serving is 1 tortilla</t>
  </si>
  <si>
    <t>Woke up at 530 am by alarm and did normal routine, cleaned pet messes, my coffee made, Growly's meds, fed babies with whipped cream and cat food, their icecream is gone. I noticed I was using the fish or seafood box, variety, but all the cans have been beef or chicken and beef. Odd. Down to two bottles of water, and might have to go to grocery store before work to get some things like water, paper towels, etc. But still have the lab not completed and to study for all 3 labs as an exam later tonight. With only one attempt. Ankles haven't been swollen in the morning, but do end up getting swollen by the end of the day, so I mark that feature as such. Took measurements after 1st cup of coffee and before breakfast. Had 2nd cup of coffee and reg sm BM, then made 7 raviolis, split 1 with the babies, had 1/2 cup pasta sauce with 1/4 cup mozz cheese. Took the ones I didn't eat with me to work no sauce, they are jumbo and 4 is aserving. I ate 3, gave 1 to split to babies, had the other 3 at work with popcorn when getting 4 crates of 24 water bottles at target with Good&amp;Gather popcorn. Then at work had a no show for 2nd client, completed the lab for exercise 3, and wanted to recall instructor saying that activity 6 and 7 are optional and not graded on nucleic acids and something else. Will study those. Noticed my emails, when checking for experian that my score increased, I knew from Capital ONe credit card, but saw email directly from experian. The notifications in junk mail showed my quiz from lecture essential biology was changed to 10/10, and the assignments all perfect scores. I turned in everything, because no quiz for lab 3 or exercise 3, but we need to do the activities because those are likely what we are tested on for the quiz that is a one time thing, not like the two times or attempts for lecture quizzes, but is like the unit 1 exam one time. I did the exercises, and they are accompanied by videos another reason to point out the necessity in doing the lab activities as they are covered by instructor and quizzed on. For lunch I went to aldis and got some stick cheese of gouda fresh like string cheese individually wrapped, had 3 of those a small greenred apple, a few cheddar popcorn cakes, and more popcorn, pratically half the bag to 3/4 of the popcorn white cheddar eaten snacking between breakfast and lunch and ride home on side streets. I don't like driving the freeway from the traffic that piles up when I am on the road at 4 pm. Got home tired, so had some ice and tequila 3 seconds shot. Suppose its an ounce serving. Then did all the review of the emails. Saw that when logging into Experian instead of Capital ONe that my credit report with Experian isn't showing my student loans, odd, but my creditWise report on Capital One does show it, and neither shows my commercial van financed in my credit but under my small biz. Also, earlier on my break while completing the 3rd lab, I texted back a real estate guy I contacted buzzed the other week to see home values near me and forgot about the next day, which coincidentall I did last night with attempting to post an indeed.com hiring post for independent contractor massage therapists, but it keeps freezing up on me when I give my credit card information and won't let me pay, one of their reps called me when I was getting ready for work early so that I could stop off at Target to get water. I had to hang up on her because it was literally before getting into the shower and she asked me if I had time to talk and I didn't, apologized, and thanked her before hanging up. I tried again on lunch break to post it, I forgot all about it because I had 3 drinks last night and I do stuff on my 'back burner' of ideas when buzzed and bored and looking to relax, wired into thinking if I take everything or idea off back burner I will be good. Anyhow texted the real estate dude that texted me saying he is trying to contact me again, telling him I am self employed and fully employed and make less than I put up, originally 5k down with 60k a year, but really its 40k a year as empl and building up to 20k a year side biz, bc I am actually seeing money come in bw 1500-2500 a month in clients depending on what month, but that I reinvest my money in marketing, or promotions, new tools of the trade, more office supplies, massage supplies, etc. and my depreciation. When updating my expenses and income for the year, it said I already have about 6k earned in money coming in and 10k estimated with supplies, marketing, office, promos, depreciation of vehicle, licenses, insurance, etc. So thats good, since it is half way through the year. Never heard back from him. But his boss is probably on his case to do something and look up potential leads or mark them off to get to legit clients. I told you about the HUD option now, so it is possible. I also had a 4th cup of coffee on my no show break unpaid with 4 hazelnut international delight coffee creamers, and a 5 th cup from a refrigerated iced milk coffee from Aldis on the lunch break and the way home, just a 16 oz bottle. Not that tastey, but alright in flavor. Not the best or near it. Got home, and already mentioned the ice with tequila, no food, because I wanted to use the air fryer to put in some zucchini, brussel sprouts, mushrooms, and flour rolled tacos or flautas but the roommate was in kitchen cooking his spaghetti and bitching about the counter space my airfryer took up. But it is so convenient. Studied the quizes for quiz 3 and took that around 945 pm, and they were fill in the blank and only quizzed on exercise 3, but I studied all 3 just in case. The score is likely not the final score and hopefully because it is 6/10. Fill in the blanks are usually always different than the programmed answer. Went to bed around 1010 pm checking blink at 1009 pm.</t>
  </si>
  <si>
    <t>brussel sprout 1, calorieking.com</t>
  </si>
  <si>
    <t>85 degrees celsius bakery milk tea bottled</t>
  </si>
  <si>
    <t>85 degrees celsius bakery brioche bread loaf, like sweet bread</t>
  </si>
  <si>
    <t xml:space="preserve">6 raviolis
(390.00	13.50	7.50	16.50	49.50	3.00	690.00)
3/4 cup pasta sauce
(90.00	1.50	0.00	3.00	15.00	3.00	750.00)
1/2 cup mozz 
(160.00	10.00	7.00	12.00	2.00	0.00	380.00)
1/2 bag popcorn white cheddar G&amp;G brand
(400.00	22.50	2.50	7.50	40.00	7.50	525.00)
5 approx cheddar rice cakes Aldi's brand
(32.50	1.13	0.13	0.50	4.75	0.25	62.50)
4 sticks of gouda cheese
(280.00	24.00	14.00	20.00	0.00	0.00	680.00)
1 small redgreen apple
(62	0.1	0	0.3	14.9	2.5	0)
1 flour tortilla
(168.00	4.00	1.00	4.00	27.00	1.00	301.00)
2 tbs sourcream
(120.00	10.00	7.00	2.00	4.00	0.00	30.00)
5 slices airfryed zucchini
(3.38	0.08	0.01	0.26	0.60	0.23	0.68)
2 mushrooms sliced and airfryed
(4.00	0.20	0.20	0.60	0.40	0.20	2.00)
1 brussel sprout airfryed
(8.00	0.10	0.10	0.50	1.50	0.50	4.00)
4 hazelnut coffee creamers at lunch with 4th cup coffee
(140.00	6.00	0.00	0.00	20.00	0.00	60.00)
1 bottle of coffee Aldi's iced latte
(290.00	5.00	3.00	9.00	52.00	1.00	210.00)
white cheddar popcorn, really it was 90% bag ate, this is 40% added to 50%
(320.00	18.00	2.00	6.00	32.00	6.00	420.00)
=390+90+160+400+32.5+280+62+168+120+3.38+4+8+140+290+320
=13.5+1.5+10+22.5+1.13+24+0.1+4+10+0.08+0.2+0.1+6+5+18
=7.5+0+7+2.5+0.13+14+0+1+7+0.01+0.2+0.1+0+3+2
=16.5+3+12+7.5+0.5+20+0.3+4+2+0.26+0.6+0.5+0+9+6
=49.5+15+2+40+4.75+0+14.9+27+4+0.6+0.4+1.5+20+52+32
=3+3+0+7.5+0.25+0+2.5+1+0+0.23+0.2+0.5+0+1+6
=690+750+380+525+62.5+680+0+301+30+0.68+2+4+60+210+420
</t>
  </si>
  <si>
    <t xml:space="preserve">8 slices zucchini, 1/4 zucchini
(13.50	0.30	0.05	1.05	2.40	0.90	2.70)
2 brussel sprouts
(280.00	12.00	0.00	0.00	40.00	0.00	120.00)
1 tbs olive oil
(130	14	2	0	0	0	0)
1/2 apple
(31.00	0.05	0.00	0.15	7.45	1.25	0.00)
salted butter bread 85 degrees
(320	17	10	6	35	0	430)
brioche 1/2 bread loaf, sweet bread 85 degrees
(405.00	16.50	7.50	8.50	53.00	1.00	295.00)
1/2 bottle or 1 serving milk tea
(370.00	16.00	16.00	0.00	64.00	0.00	5.00)
1 cup white cheddar popcorn
(80.00	4.50	0.50	1.50	8.00	1.50	105.00)
blueberry muffin 85 degrees celsius
(480	26	5	6	59	0	590)
30 hashbrowns about 3 servings
(450.00	21.00	1.50	6.00	63.00	6.00	870.00)
3 jalapeno poppers
(240.00	16.67	5.67	3.67	19.33	1.00	646.67)
2 cheesesticks
(148.89	4.89	0.78	7.11	18.67	0.89	822.22)
=13.5+280+130+31+320+405+370+80+480+450+240+149
=0.3+12+14+0.05+17+16.5+16+4.5+26+21+16.7+4.9
=0.05+0+2+0+10+7.5+16+0.5+5+1.5+5.7+0.8
=1.05+0+0+0.15+6+8.5+0+1.5+6+6+3.7+7.1
=2.4+40+0+7.45+35+53+64+8+59+63+19.3+18.7
=0.9+0+0+1.25+0+1+0+1.5+0+6+1+0.89
=2.7+120+0+0+430+295+5+105+590+870+646.7+822.2
</t>
  </si>
  <si>
    <t>Woke up at 530 am by alarrm, went to bed a little after 10 pm last night, normal routine, clean pet messes, coffee, Growly's meds, fed babies, then updated nutrition. Took measurements while drinking 2nd cup of coffee and before reg BM a few minutes later. Reheated the veggies in airfryer that I airfryed yesterday but didn't eat. Mushrooms, zucchini, apple, and brussel sprouts.  Had to get ready for work around 630 am to get to work by 750 am. Got to work on time, had some of the left over veggies, but ate all the mushrooms I put in airfryer yesterday. I had 2 of the brussel sprouts, 1/2 the apples slices, and about 5-8 slices zuchini. Too many pieces were blackened/burnt, so Ihad to cut as much off as the carcinogens aren't appealing. Went to work, then for lunch had a salt butter bread, blueberry muffin, and half the brioche sweet bread loaf and 1/2 the bottle of milk tea I am counting as 4th cup of coffee. I also had about 10 % the white cheddar popcorn. I thought I ate half the bag yesterday but it was about 90% of the bag throughout the day on my break and drive back home. I will change that. After work didn't eat, the workers and landlord were working next door. Saw on my blink cameras around 1040 am they were working and it was almost 3 pm when I got home on a Saturday. They must want to rent it out real soon. We rented this place not on the 1st but another day that it was ready to get first dibs on it. They still have a bunch of junk in the yard to clean up. Not sure what they plan on doing with it. I signed up for hudhomesusa.org and a 3 credit bureau checker on my lunch break and looked at both while having tequila on ice one serving. The roommate is still here and I get off early on Saturdays. Was looking and saw how ridiculously expensive homes are, in the 620k-820k value for homes not even great quality. My older sis bought her huge 3500 affluent neighborhood home for 430k in 2012 or 9 years ago and sold it for about 620k. These prices are ridiculous. She sold it after living in it about 5-6 years. Too much for the payment. How does anybody buy a home. Seems ridiculously unaffordable. The monthly payment must be in the 4k per month at least. With the added mortgage insurance and home owners insurance.I cancelled the membership to both. Waste of money. Not in my price range. Especially with the fires and drought that plague this land. I have studying to do for the unit exam on ch1-3 and labs1-3 I think but it is due tomorrow by 1159 pm. Made notecards after having some fried food in air fryer, 3 jalapeno poppers, 2 cheese sticks, serving about 10 hashbrowns with 1/4 cup pasta sauce. The notecards were from the worksheet keys just posted and the lab manual. Didn't get to the notecards on the lectures, but did make some from the LE quiz but the quiz on lab3 wasn't posted with questions or answers. The exam for this unit is due tomorrow by 11:59 pm. She wants us to plan accordingly since she posted it today at 8 am in an announcement and won't accept any exams that cut out, run out of time or one or the other, or having tech difficulty. It is posted until tomorrow, but not sure why. Maybe for 50% credit, but that is on late work. So not clear on that reasoning. My lab3 quiz wasn't changed, but the mean was 5.59 or something like that out of 10, and one 10, but not sure how someone got a 10 on fill in the blank. The landlord stayed till 515 pm and left shortly after the roommate left bc he had to be at work at 5 pm, the plumber left shortly after the landlord around 530 pm. I was no longer buzzed from the shot of tequila taken around 3 pm, at around that time as my studying and focus got more sharp and found a trail to follow in preparing for exam and flashcards. Then planned for looking at the ppt slides for the lectures. I also had the other half of the milk tea that made my stomach feel like I had the flu for a bit around 4 pm. AFter making the lab and worksheet and LE quiz flashcards, I made about 20 hashed brown in air fryer and continued updating this database, with the 3 ppt open to read/review. Read through and reviewed the ppt slides and made flashcards for those, then went to bed at around 11 pm. The blink camera only got me going to the bathroom around 1047 pm, not coming out of bathroom. Took babies outside before bedtime.</t>
  </si>
  <si>
    <t xml:space="preserve">Woke up at 530 am by alarm, but the roommate woke me up around 245 am because he got back from work and wanted the babies. Then I laid in bed and tried to sleep on and off until alarm went off. Kept waking up to readust. Have to study, did the normal routine, coffee, Growly's meds, fed babies, cleaned pet messes before and after, updated this nutrition from late last night, and then had 2nd cup of coffee by 610 am. Got a new client in Chino interested in the prepaid MLD package and will see her on Thursday morning. Also, remembering that I have an email out to Tred, asking why they cancelled my ad with them but charged my credit card $99. They are closed on the weekends. How would they know if I sold it. Do they stalk my vin number? Did the other guy sell the car on their site? I will find out soon. But not before tomorrow when they open if no emal reply then I will call the number listed. Read through a few worksheets, then made breakfast, 7 raviolis, shared 2 with pups, so 5 raviolis for me with parmesan airfryd, was good, with priano 4 cheese pasta sauce and mozz cheese. Then had 3 rd cup of coffee, had a sm reg BM after breakfast and before finishing 3rd cup of coffee. Its early, don't need to get ready until 730 am, but its 711 am and already did the dishes. Need to shower and wash hair, then get to work on Sunday. Shouldn't be any traffic as long as no expected delays like construction or fire crews mowing the sides of freeway. Bringing snacks and flash cards to work to study for exam after work. Took measurements around 715 am. Had a headache around 10 am after and during the first client's hour massage, started getting the blind spot, then the color spinning spot. Drank 4 french vanilla coffee creamers in a cup of the donut house keurig at 10 am and a cup of water to fix, took 20 minutes but all gone. The 2nd hour was a no show but I got paid for it and studied my flash cards and put laundry in the dryer. Then for lunch had 3 sticks of gouda and 15-20 cheddar rice cakes, and the other half of the brioche sweet cake bought yesterday or the other day from 85 degrees. And went to the mobile circle K shop for fuel was very low and forgot to put fuel in this morning, its pricey there, about 30-40 cents more than local, the one in Chino. Around $4.30/gal and near me is about $3.85/gal. Got an iced machine self serve carmel latte and cold brew mix, but it was so sweet I thought I got mostly creamer and a little coffee. That was my 5th coffee. Didn't drink all of it, it was about 16 oz in their small clear cup. Then I got home and made about 15-20 hashbrowns with 1/4 cup pasta sauce and 1/4 cup mozz cheese. Studied some more then took exam at around 445 pm, and don't think the fill in the blank or essay questions were graded, and know I did good on it, some questions were tricky, but I believe I nailed the essay questions and fill in the blanks. More than 60% points there, and the lab quiz still not graded for fill in the blanks. No new grade. The Tred replied this morning even though not open until tomorrow, saying I sold my car through them, not how they know, but that is why they charged me. maybe the guy got a survey and filled it in and told them I sold him the car. It don't matter. Took a loss. Because the $99 to sell paid, the 17500 the new buyer paid, and the $35.?? and change means I lost about $65 on the deal and don't have to worry about paying taxes on the loss or the sale of the vehicle, but put it in a good owners (hopefully) hands to take care of. It was a great car and am sure it still is. AFter exam poured last of tequila over ice, and drank listening to new radio station 2010s country on spotify. While updating this database for the day. Had a small bm too for 2nd of day around 10 minutes after the exam was finished. Need to get more laundry soap used the last of it. I am washing the linens on the bed. Need more for my laundry. Have lecture and a new week of summer school to do items. Will wait to see and am ready. Saving those flashcards to study at the end of this course for the final that is cumulative. Was overwhelmed at begining and mid week, but I think I got the flow of it and will be able to do as well in this course as the others as long as I manage my time wisely. Went to bed around 1030 pm after watching a couple episodes of the Handsmaids tale. </t>
  </si>
  <si>
    <t xml:space="preserve">5 raviolis
(325.00	11.25	6.25	13.75	41.25	2.50	575.00)
2 tbs parmesan cheese
(20	1.5	1	2	0	0	100)
1 tbs olive oil
(130	14	2	0	0	0	0)
20 cheddar rice cakes
(130.00	4.50	0.50	2.00	19.00	1.00	250.00)
3/4 pasta sauce
(135.00	5.25	1.50	4.50	18.00	4.50	690.00)
1/2 cup mozz
(160.00	10.00	7.00	12.00	2.00	0.00	380.00)
3 gouda cheesesticks
(210.00	18.00	10.50	15.00	0.00	0.00	510.00)
salted carmel latte/cold brew at Circle K
approximated by 2X the barissimo bottled iced vanilla latte
(580.00	10.00	6.00	18.00	104.00	2.00	420.00)
4 french vanilla coffee creamers
(140.00	6.00	0.00	0.00	20.00	0.00	60.00)
35 hash browns, about 3/11th a bag all day
(525.00	24.50	1.75	7.00	73.50	7.00	1015.00)
1 flour tortilla
(168.00	4.00	1.00	4.00	27.00	1.00	301.00)
4 sliced mushrooms
(8.00	0.40	0.40	1.20	0.80	0.40	4.00)
2 cheesesticks
(148.89	4.89	0.78	7.11	18.67	0.89	822.22)
2 jalapeno poppers
(160.00	11.11	3.78	2.44	12.89	0.67	431.11)
=325+20+130+130+135+160+210+580+140+525+168.8+148.9+160
=11.25+1.5+14+4.5+5.25+10+18+10+6+24.5+4+0.4+4.9+11.1
=6.25+1+2+0.5+1.5+7+10.5+6+0+1.75+1+0.4+0.8+3.8
=13.75+2+0+2+4.5+12+15+18+0+7+4+1.2+7.11+2.44
=41.25+0+0+19+18+2+0+104+20+73.5+27+0.8+18.7+12.9
=2.5+0+0+1+4.5+0+0+2+0+7+1+0.4+0.9+0.7
=575+100+0+250+690+380+510+420+60+1015+301+4+822.2+431.1
</t>
  </si>
  <si>
    <t>Totino Cheese pizza rolls a serving is 16 pcs</t>
  </si>
  <si>
    <t>Dunkin Donuts vanilla cold brew bottled, serving is 12 fluid oz, 4 per container</t>
  </si>
  <si>
    <t xml:space="preserve">4 raviolis
(260.00	9.00	5.00	11.00	33.00	2.00	460.00)
2 tbs parmesan cheese
(20	1.5	1	2	0	0	100)
1/4 cup mozz
(80.00	5.00	3.50	6.00	1.00	0.00	190.00)
1/4 cup pasta sauce
(45.00	1.75	0.50	1.50	6.00	1.50	230.00)
20 cheddar cheese cakes
(130.00	4.50	0.50	2.00	19.00	1.00	250.00)
3 cups vanilla cold brew dunkin donuts brand
(180.00	0.00	0.00	3.00	33.00	0.00	75.00)
30 cheese totino pizza rolls lunch and after work
(420.00	16.00	4.00	10.00	62.00	2.00	640.00)
double salmon poke bowl normal way, cucumbers/ginger/brown rice/double salmon/house sauce/sesame seeds, wasabe, cream cheese
(578.5	11.075	2.15	17.7	101.75	8.25	1731)
cream cheese 4 tbs in poke bowl
(204.00	20.40	12.80	4.40	1.60	0.00	172.00)
=260+20+80+45+130+180+420+578.5+204
=9+1.5+5+1.75+4.5+0+16+11.1+20.4
=5+1+3.5+0.5+0.5+0+4+2.2+12.8
=11+2+6+1.5+2+3+10+17.7+4.4
=33+0+1+6+19+33+62+101.75+1.6
=2+0+0+1.5+1+0+2+8.25+0
=460+100+190+230+250+75+640+1731+172
</t>
  </si>
  <si>
    <t>Woke up around 610 pm and got out of bed at 630 am when my alarm went off. Did the normal routine with cleaning pet messes, gave Growly his meds, fed babies, made my coffee after cleaning pet messes and before Growly's meds. Gave the alley cat the last canned cat food, used up last of cheap paper towels on pet messes, have two rolls better quality paper towels, used up last bottled water on coffee and ice cubes, had to go to van and get me a couple bottles bc the roommate didn't take in the 3 packs of 24 bottles, I left them in the van. I told him I would. He wastes the water and has all sorts of unfinished water in water bottles right by his alcohol he doesn't drink But I sneal. Like yesterday I took his jameson whiskey 2x with him here, he was in the man cave 1st time and frying his burgers 2nd time. I cut myself on opening the cap and am feeling it today on index finger. It hurts like a paper cut. I thought it was the finger I accidentally touched the hot part of air fryer but that was other hand and no wound on it. Updated nutrition in this database for yesterday then had a reg BM, and made my 2nd cup of coffee. I have to go to the grocery store but want to shower before my 10 am class that lasts an hour and a half. But also want to add all the files for this week once they are on the site and copy the exam correct answers if posted. The quiz was corrected yesterday and I got 9/10 on the quiz on lab 3, but the unit1 exam wasn't graded yet. Then measurements before breakfast. around 730 am the measurements and before 2nd cup of coffee consumed. Went to Target and got the stuff I needed and some alcohol for later, my last stash is all out and have been using the roommate's that I haven't replaced. I got a grey goose, jose cuervo, and jameson bottle avg sz. Then got home did my laundry and watched the zoom lecture, reviewing exercises in unit 1 labs and this weeks. The exam is Sat instead of Sun and no lecture mon due to holiday. Had another headache 10 min before LE zoom meeting, had raviolis before the LE with 3rd cup of iced dunkin donuts brand vanilla latte bottled, w HA had 4th cup with water, the aura migraine went away after water and 3rd cup but some of the residual aches of the headache still there and finished the 4th cup by the end of the meeting. Had 15 cheese totino pizza rolls after the lecture. No shower before Target, and ate about 20 cheddar rice cakes in van for breakfast on way there. Cashiers at Target are judgey too. Not like I drink the alcohol in one sitting, and not sexually charged when drinking so they should mind their own business. I work, pay my bills and don't have kids, just pups. The alcohol makes a great stress reliever in moderation and don't plan on missing work, starting fights, or becoming a bum. So again, they should mind their own business. Might take a nap before work. I work from 3-10 tonight. Also, had a tiny BM halfway through lecture for 2nd of the day. Took a nap at 12 pm for 20 minutes then woke up and showered and got ready for work early to take the cry baby to get his car. The roommate. He has the nerve to leave me a text voice saying to not get on my computer and feed babies and give Growly his meds when I texted him to as I took him to get his car and had to leave earlier than normal and couldn't give Growly his meds or feed the babies their normal afternoon food. What a scumbag! I got home and new his voice text was scummy and didn't listen to it at work but at home, when noticing the ground outside was wet and texted him to see if the water is leaking or if he used the hose. When I heard the voice text. It pissed me off. I told him to not interfere with me and my school on the computer, that I got up to take his crybaby ass to get his car and wasn't able to feed the babies or give Growly his meds that I also pay solely by myself $150 per month or every 3 weeks because 1 pill is $80 and the other two are $70 and they last about 3 weeks each and not at the same time as refills weren't in alignment with each other,  and that he talks to me like that again with his worthless ass that I was going to curse him into a heartattack or stroke to leave him in a vegie state. What a fucking selfish loser! He texted me back its the hose and didn't say shit. I had an alcoholic drink of jameson 3 second gravity shot over ice water around 1030 pm when getting back from work. There was also a firetruck out front when texting the loser. Fed the alley cat outside but didn't see it and reset the wireless cameras as they haven't been insync with wifi for 2-3 days and wasn't concerned about unpluggin and letting it reset to wifi as no packages expected, except the China package of my already shipped Amazon waist trimmers they won't let me cancel the order on, as I would have, but can't because they put it as shipped and there is not option available to cancel and get refund. At work had a double salmon poke bowl usual way but the lady overcharged me for a 3 scoop instead of 2 scoop and I was going to tip them that couple dollars but noticed it. I don't know why she did it, and I have seen her before, and it was months ago but she acted like she was new. I know they were doing a promo before for buy one get one free on that night, because only at night and I work on Monday nights instead of Thursdays since my spring courses started in early Feb. Weird. I told them to keep the change, but I saw her give me exactly 2 scoops and she charged me 3 scoops. I am not sure if she is the owner. I paid cash and she is the older Mexican lady working in the back, she had to talk to the unfriendly younger early 20s brunette to fix it and was still working on it when I told them I was going to let them keep the tip but asked why I only got coins back instead of a few dollars and the receipt and showed her the error. Left, ate the poke bowl. The best poke bowl from this place though it smells like either fish or onions when I have been going. I also had my 5th cup of the dunkin donuts vanilla cold brew. Didn't start the homework but should as the Sunday exam is earlier for Saturday and I have another client I haven't seen in months book an appointment with me tomorrow after my regular noon appointment. My noon appointment is also paid up for June and there are 5 weeks in June but the monthly covers 4 weeks. I changed that months ago. Originally it was every week same day for the monthly subscription, but I changed it as no fish took the bate other than her. She is a very nice lady though. A cool lady friend. Older, but very friendly. I will find out tomorrow if we are on the same page with the monthly subscription as 4 weekly massages a month and each additional $50 so that each massage saves $10 per massage as long as prepaid for the month. Not a big deal otherwise. Because I changed the plan after she subscribed realizing it was going to interfere with my school studies the time to drive and clean up supplies and laundry as well as massage. Feeling like a 2nd drink. It is 1136 pm, and wanted to update the nutrition portion. But my tolerance on alcohol is getting high. Not tired either, might just lay in bed and not fall asleep and feel like if I drink I might have a sick stomach feeling tomorrow but be able to go to sleep tonight on queu. Decided to make about 15 cheese pizza totinos. That makes about 30 of those for the day. I also transferred the etrade money I never invested that sat in it for years since Dec 2019 into my checking. It was on my mind, that and transferring the Golden 1 savings account balance to my checking, but didn't see it there and thought of the etrade account I never touched instead and how I talked to a guy who was able to set that transfer ability up for me many months ago. But I never transferred it thinking I would use it. Its not doing anything, not invested, and not earning or losing value, and I likely won't invest it as I haven't looked into the stocks or linkedin courses on investing. Its only $100 and don't need it but want it, and the auto finance credit union is a credit union and has some advantages but not set up to transfer to external accounts, and its only $43 and they are going to be sending me a letter saying loan paid in full and amounts. Went to bed just before 1230 am, and only had that one drink followed by the 15 cheese pizza rolls. And updated the nutrition for the day with the item values but not into the columns they belong for totals.</t>
  </si>
  <si>
    <t xml:space="preserve">Woke up at about 610 am and got out of bed, no pet messes seen to clean, made coffee, fed Growly his meds, and the babies their food, and finished the nutrition totals for this data. Then looked at assignments for school. Spoke with the admissions advisor into the Doctor of Chiropractic program, and he told me I passed the 1st interveiw, but need to send in all my official transcripts then fill out the FAFSA and the Master Promissory Note and Entrance Counseling and wait 5-7 days for the financial aid office to contact me. I was happy. We were on the phone about 45 minutes until his audio went out. This program will be the 12 trimester or 4 years instead of the 3.3 years or 10 trimesters. But will be more flexible with my schedule to work for M-Th 8-3pm is school. I will have to contact my boss to see what to do about that schedule adjustment by that time. I had my client at 12 pm. Super nice lady. This one was her bonus massage a free one for month, she signed up next month for another month, then she is going on vacation to their home in Alabama on 16 acres to relax for Aug/Sep. I should be in my chiropractor program at that time. After the massage I was on my way to my client's house and she cancelled, so I got the rollem up tacos with 2 cheese and 1 avocado with Dr Pepper as they only had diet coke and not reg coke. The client is a flake. She tips good and I owed her a $15 discount from missing her appointment last time due to a misinterpretation because she said she would contact me the next day if she wanted it and never did, so she called me a few minutes after the time and I told her my plans changed and I didn't want to bug her to ask since we were texting back and forth. She said I wouldn't bother her or bug her. So I offered her a discount of $15 off her normal 90 minutes. Didn't hear from her for months and today, she slipped and is in a lot of pain in her low back and chipped her front tooth and was on her way to the ER with her sister just arriving to take her. I will probably not be moving anything around to accomodate that client from here on out as she is a flake. She knows how to book in the app too, and she also sent me to Anaheim to have her guests fill the parking without leaving me a parking spot because there was not street parking. Too stressed going out to her house. And when we talk she talks so light that I cannot hear what she is saying. So she will talk and I have no idea what she is saying and agree, but fear that it will come up again at some point and I will not know what she is talking about and have to act like I do. She is a nice lady though, but a flake. Now I was very low on fuel and made it to the Arco station on Serfas Club off 91 with 3 miles left in my tank. Got home ate taquitos in my car, saw a weird hispanic guy walk by in the back and eye the next door that is being worked on and he looked like the same bum walking behind the place a few times already. Did the laundry and fed the babies their lunch cat food. Meow Meow doesn't like this box recipe of cat food and neither does the cat outside I feed, they don't eat all of it, only some of it. I got almost through the first videos and slides but started at 2nd half and then went back to first half on cell structure membrane and support. Have a quiz on the lab haven't started and the worksheet for that part due tomorrow. Have a client tomorrow after work. Not worried about it. I also had a drink of Jameson while I make my regular client's receipt and SOAP notes. I hadn't taken my measurements when I got home and updated this database around 3 pm. For breakfast had a serving hashbrowns last of bag, and a 15 pc serving cheese totino pizza rolls. Then before leaving had a 4th cup of the coffee as the vanilla late dunkin donuts but didnt drink all of it until after my 12 pm client. Also had another 15 pc serving of cheese pizza rolls on the way to her house. After the 12 pm client was on my way to soquel canyon central ave exit in chino when client returned the text saying she was on her way to the ER, so I headed back and hit Pine exit for the roll em up taquitos, and had 8 miles left on dashboard till fuel runs out. Got to Arco off serfas club exit and put $30 cash in on pump 13 and it then said I had 154 miles to empty on the dash. At home now. middle of drink after all the other stuff. laundry, feeding babies, clean a pet mess, seeing weirdo outside looks suspicious, poured and drank drink, updated this. And now doing the SOAP notes. Also, had a lg BM by 2nd cup of coffee earlier in the morning I didn't mention but before my 3rd cup of instant coffee while taking notes on prerecorded ppt slides on the first chapter of this week on cell structures. I plan on taking measurements after updating my income expenses database and sending client her SOAP notes and receipt. Forgot to take measurements in the morning as was side tracked with news of my admission approval into DC program. But did remember while working on worksheet for biology due tomorrow. This was at 852 pm. AFter eating and that one drink and a 5 minute nap at 640 pm approximately after my 5th cup of coffee the last of vanilla cold brew DD brand. Waist trimmer and compression socks only worn for about 4 hours today. I had about 8 sliced mushrooms 2 tbs olive oil, 2 tbs parmesan cheese and 2 slices of the artesan brioche bread in the air fryer earlier in the afternoon when updating notes to the lab section of the lab that has a quiz due tomorrow. Have some essay type questions to complete the worksheet. Then will start the lab. It is almost bed time. Work tomorrow and a great regular client around 7 pm and her cute cat Mappy. </t>
  </si>
  <si>
    <t>artesano bread, serving 1 slice, 2 slices:</t>
  </si>
  <si>
    <t>2 cups vanilla latte dunkin donuts bottled beverage, 2 servings
(120.00	0.00	0.00	2.00	22.00	0.00	50.00)
30 cheese pizza rolls
(420.00	16.00	4.00	10.00	62.00	2.00	640.00)
2 slices artesano bread
(440.00	6.00	0.00	12.00	80.00	4.00	760.00)
2 tbs olive oil
(240.00	28.00	4.00	0.00	0.00	0.00	0.00)
2 tbs parmesan cheese
(20	1.5	1	2	0	0	100)
8 sliced mushrooms
(16.00	0.80	0.80	2.40	1.60	0.80	8.00)
1/2 cup mozz in 2 cheese taquitos
(160.00	10.00	7.00	12.00	2.00	0.00	380.00)
2 tbs vegetable oil fried taquitos 3 in rollemup
(240.00	28.00	4.00	0.00	0.00	0.00	0.00)
3 corn tortillas
(150	0	0	3	14	3	30)
1/2 avocado in 3rd taquito
(161	14.5	2	2	8.5	6.5	7)
2 tbs sourcream
(120.00	10.00	7.00	2.00	4.00	0.00	30.00)
ranch dressing type nutrition for their BBQ chipotle flavored Mexican sour cream on top taquitos
(218	23.1	3.6	0.5	3	0.3	367)
16 oz dr pepper fountain soda with taquitos
(270.00	0.00	0.00	0.00	75.00	0.00	90.00)
=120+420+440+240+20+16+160+240+150+161+120+218+270
=0+16+6+28+1.5+0.8+10+28+0+14.5+10+23.1+0
=0+4+0+4+1+0.8+7+4+0+2+7+3.6+0
=2+10+12+0+2+2.4+12+0+3+2+2+0.5+0
=22+62+80+0+0+1.6+2+0+14+8.5+4+3+75
=0+2+4+0+0+0.8+0+0+3+6.5+0+0.3+0
=50+640+760+0+200+8+380+0+30+7+30+367+90</t>
  </si>
  <si>
    <t xml:space="preserve">Woke up at 530 am snoozed 10 min then got out of bed at 540 am, made coffee, fed Growly his meds, and the babies their food, then reviewed the lab slides made notes on. Checked emails and junk. Saw the last week's unit 1 exam was graded, I did better at 83/100, but the answers weren't posted. I thought I did better, and don't know which ones missed. The exams are 4 in total and they account for 2/3 * 60% of the course grade. It was weird that I checked grades before it was graded and had a 93% then after had a 90% in course. Not sure what changed, but the ungraded exam, was 62/100 initially without grading the written in repsonses. The roommate got back at his normal time at 630 am and was bitching and begging me to massage his knees. I won't, he's an asshole.  A disrespectful asshole, thinks the world owes him everything and thankless for anything because he expects it, also the type to complain about everything you do if you know him. Not the type of person anybody enjoys being around. Went to work after having the serving of pizza rolls cheese and 3 bags fruit snacks Market Pantry brand. At work had Starbucks honey almond milk coldbrew with brown sugar instead of honey bc they were out a grande size, and a falafel bowl, 5 falafels, ate 4, don't like the eggplant hummus reminds me of an ointment the after taste it leaves, but did have the zesty feta and the red pepper tzaziki sauce with the red pepper type hummus, some of that grain stuff they had, a mediterranean bread, kale, pickled cubed beets, and cucumbers. After work had my 5th cup of coffee, instant, was tired in traffic. Not too much of it. Notified my boss I will need a schedule change around Sept 6-7th for my chiropractic school and she said we could talk about it in person. Got home around 4 pm, have my regular for Wed nights leave by 630 pm, landlord over next door today working on the other apt. I get the Zillow home updates for Tomball TX and saw a cute littel 3bed 2 ba in town for 200k with green grass and yard. Emailed it to Mo and Dad, and told Mo to buy it and rent it out to Mom or Dad. I have been seeing a lot Texas license plates on the road with me when driving to and from work, its almost like I am in Texas. There are quite a bit of them. Went to client's at 630 got there before 7 pm. Client and her cat are cool. I got home after 830 pm, finished the lab and studied from the notes on that quiz for the quiz due by 11:59 pm. I ate 2 gouda cheese sticks, a mini coca cola of the roommate's, a serving of cheese pizza rolls, and 2 cheese sticks with 1/8 cup pasta sauce. Then after quiz that I took around 1030 pm had an ice jameson drink. Was tired earlier. Not so much after drink. Looked at emails and the news. My recommender system has been posting a lot of TX crimes on my feed for MSN or Yahoo. Lots of violent crimes are posted and nothing to sweeten going there. My feed wants me to realize or think TX is full of violent, racist, misogynists. That might be true, but I won't know unless I visit. We can change the world if we try or let it consume us and do nothing. It has been changing for the better until Trump came to office, and especially after his loss in office. But there have always been ignorant, racist, conservative, misogynists in TX, but the majority dwindled over the years compared to the new people and ideas of diversity coming in and new generations who grew up to MTV and social media instead of their ignorant parents' or grandparents' views. Didn't do the SOAP notes or receipt. Thought I had a new client tomorrow but its next Thursday. Have to finish up some lecture and a nother lab due Friday, and a unit 2 exam to study for and take the unit 2 exam by Saturday night on all material covered this week. </t>
  </si>
  <si>
    <t>Market Pantry fruit snacks, 1 serving is 1 pouch:</t>
  </si>
  <si>
    <t>10 fruit snacks Market Pantry brand
(700.00	0.00	0.00	0.00	170.00	0.00	200.00)
2 servings cheese pizza rolls
(420.00	16.00	4.00	10.00	62.00	2.00	640.00)
1 mini coca cola
(90	0	0	0	25	0	30)
1 falafal bowl with kale and some grainy mix like yellow firm sugar molecule sized fiber, 3 hummus but avoided eggplant one, so only 2 hummus and 4/5 falafels, pickled beets 2 tbs and 2 tbs cucumbers and 2 tbs red pepper tzaziki sauce
(1562	46.5	4	91.5	202	74.5	3955)
brown sugar almond milk cold brew 16 oz Starbucks
(50	0.5	0	0	11	0	25)
2 cheese sticks
(148.89	4.89	0.78	7.11	18.67	0.89	822.22)
1/8 cup pasta sauce Priano 4 cheese
(22.50	0.88	0.25	0.75	3.00	0.75	115.00)
=700+420+90+1562+50+148.9+22.5
=0+16+0+46.5+0.5+4.89+0.88
=0+4+0+4+0+0.78+0.25
=0+10+0+91.5+0+7.11+0.75
=170+62+25+202+11+18.67+3
=0+2+0+74.5+0+0.89+0.75
=200+640+30+3955+25+822.2+115</t>
  </si>
  <si>
    <t>El Monterey nachocheese taquitos, serving is 3:</t>
  </si>
  <si>
    <t>Gardein prepackaged made for grill, soy free burger patty, serving 1 patty:</t>
  </si>
  <si>
    <t>boston cream pie cake approximately, 1/4 the cake, this is 1/3 the cake on caloriking.com:</t>
  </si>
  <si>
    <t xml:space="preserve">1/4 boston cream pie
(463.00	15.60	4.50	4.40	78.90	2.60	265.00)
10 fruit snacks
(700.00	0.00	0.00	0.00	170.00	0.00	200.00)
10 nacho cheese taquitos
(833.33	43.33	10.00	20.00	86.67	0.00	1166.67)
15 cheese pizza rolls
(210.00	8.00	2.00	5.00	31.00	1.00	320.00)
1 gardein made for grill, soy-free, beef patty
(210.00	11.00	9.00	20.00	7.00	1.00	450.00)
4 slices artesan bread
(440.00	6.00	0.00	12.00	80.00	4.00	760.00)
4 tbs parmesan cheese
(40.00	3.00	2.00	4.00	0.00	0.00	200.00)
2 tbs olive oil
(240.00	28.00	4.00	0.00	0.00	0.00	0.00)
1/4 cup mozz
(80.00	5.00	3.50	6.00	1.00	0.00	190.00)
1/4 cup pasta sauce
(45.00	1.75	0.50	1.50	6.00	1.50	230.00)
2 Gouda cheese sticks
(140.00	12.00	7.00	10.00	0.00	0.00	340.00)
=463+700+833+210+210+440+40+240+80+45+140
=15.6+0+43+8+11+6+3+28+5+1.75+12
=4.5+0+10+2+9+0+2+4+3.5+0.5+7
=4.4+0+20+5+20+12+4+0+6+1.5+10
=78.9+170+86.7+31+7+80+0+0+1+6+0
=2.6+0+0+1+1+4+0+0+0+1.5+0
=265+200+1166.7+320+450+760+200+0+190+230+340
</t>
  </si>
  <si>
    <t xml:space="preserve">Woke up at 630 am and went to bed around 12 am last night a few minutes before. Did normal routine with coffee, feeding babies, Growly's meds, sent out client's SOAP notes and receipts, had a lg BM after 1st cup of coffee and while finishing 2nd cup of coffee. Then updated this database, I need to do the folding of laundry, while drinking 3rd cup of coffee. Have hw to do a lab and another lecture, a few worksheets, and preparing for the exam for this week on material covered comparing it to her wrksht keys if she gives them by that time. Also, want to copy my massage school transcripts and send to TX and take jurisprudence exam and pay for that and the massage therapist application and send that in. Also, need to get the cashier's check for rent, already transferred the share of the roommate's rent with his permission this morning. Not sure if I want to go to Winco or my credit union. Noticed the etrade money never used was in my checking account this morning. Made me think to close my dodge credit union account too and transfer that money though it is only approximately $43-45. I don't like having money spread out anywhere. I took my measurements after the lg BM and before breakfast and before finishing my 2nd cup of coffee. Did the lab 5 and the worksheet on photosynthesis by 9 pm and went to bed at 920 pm. Was tired. Have been tired the last few days, because of six hours of sleep every day. I also had two Jameson and ice water earlier in the day after 4 pm and stopped by 530 pm. Had two naps at 2 and 4 pm for 5-10 minutes. Was still tired all day, shook it off a little with the Jameson and water. Ate a bunch of frozen food and breads. I actually ended up applying for my Texas massage license before I left to the bank earlier in the day to get the cashier's check, deposit a little bit of cash, then one of my monthly subscribers checks for July into savings. My other monthly subscriber had his birthday the end of June and probably out celebrating with one of my MLD clients who also had 7 of those massages left. I took the online jurisprudence exam, that was simple, because if you select the wrong answer it will not let you go to the next question until you do. Basically don't let your massage license expire and keep clients' records minimum 2 years, if you move business locations then you need a new license, continuing education doesn't need to be taken from a licensed massage therapist but somebody trained in the massage related modality or similar, 12 of those CEUs every two years, if you let your license expire there, then you have to reapply with test/exam, and all documents and fees. Ofcourse, nothing sexually driven or related in any capacity for massage and not promoting health profession diagnoses or treatments of disease that is outside the scope of massage therapy. I had a Gardein made for the grill vegan soy-free beef patty and parmesan toast in airfyer for breakfast, then later parmesan toast with 1/4 cup pasta sauce and 1/4 cup mozz in airfryer, after running errands, I got some nachocheese taquitos and more cheese pizza rolls Totinos and a boston cream pie cake from bakery at Albertsons. I ate 5 of those taquitos plain from air fryer, then later had in all 1/4 the boston cream pie cake between 3 pm and 7 pm, another 5 taquitos and 15 cheese pizza rolls, and about 10 fruit snacks throughout the day. Also, there was a jumping tarantula that was desert sand color and tiny, about the size of a pencil eraser with legs that jumped onto my laptop from the ceiling. I tried to catch it but it kept jumping about 6-8" from me. I was able to get it into a gallon size bag with a pippette that we got from biology lab manual that came with the lab manual, I took it outside. It kept showing or popping out its fangs. It reminds me of the jumping tarantulas that are black in Texas. The application was $100 and the juriprudence exam was $34. I tried calling them to see about the fingerprints to pay and get a receipt, but couldn't get a hold of the office there. It was about 1130am to 12 pm CA time and about 2pm to 3 pm TX time. I sent in photocopies of my transcripts in pdf form with my photocopied MBLEX pass sheet, my massage license for CA, and my certificate for massage license from CA, and the criminal history form. I already paid to have the MBLEx and letter of verification sent out to the TX massage board 3 weeks ago, but never applied. Hopefully, they have it on file somewhere. They should because it is a big department that handles all of TX licensing and registration from various jobs. Bed was at 920 pm </t>
  </si>
  <si>
    <t>Woke up at 5 am but got out of bed just before my 530 am alarm went off. Neck ached like I didn't sleep well or maybe the pups were jumping on my head at night. I don't know. Normal routine, had to clean up some pet messes, made my coffee, gave Growly his meds with the babies' food when feeding them, then updated this database and done with nutrition part by 627 am. Took measurements after a reg lg BM and before breakfast around 630 am. Need to finish the cellular respiration worksheet and turn in by tonight, and study for the unit 2 exam due tomorrow by midnight all this material. It is a lot, and sounds understandable when looking at it, but then realize I need to really understand it better. I only have to draw the diagram and answer the apply your knowledge question and check the other responses I put down yesterday before bed and tired. Went to work after breakfast, showering, drying hair, etc. Had a Gardein burger on parmesan toast for breakfast, a double salmon poke bowl. Had 4th cup coffee at work with 4 hazelnut creamers, and got home around 420 pm and had 5 taquitos and 15 cheeze pizza totino rolls with coffee and 1st drink, then a Jameson, and then 6 taquitos and 2 fruit snacks, 2 more drinks, had a 1/8 slice of the boston cream pie cake between last 2 drinks, worked on the last part of the worksheet for cellular respiration and turned it in, then made flashcards until 11 pm from 9-11 on the photo synthesis and cellular respiration. Didn't get to the other cell membrane and transport lecture to make flashcards. I get back after 2 pm tomorrow and have to leave by 720 am for work tomorrow. Bed by 1145 pm.</t>
  </si>
  <si>
    <t xml:space="preserve">gardein patty
(210.00	11.00	9.00	20.00	7.00	1.00	450.00)
2 slices artesan bread
(220.00	3.00	0.00	6.00	40.00	2.00	380.00)
2 tbs parmesan
(20	1.5	1	2	0	0	100)
2 tbs olive oil
(240.00	28.00	4.00	0.00	0.00	0.00	0.00)
double salmon poke bowl
(554.50	11.18	2.15	17.80	96.55	8.35	901.00)
4 tbs cream cheese
(204.00	20.40	12.80	4.40	1.60	0.00	172.00)
4 coffee creamers
(140.00	6.00	0.00	0.00	20.00	0.00	60.00)
11 nacho cheeese taquitos
(916.67	47.67	11.00	22.00	95.33	0.00	1283.33)
serving cheese pizza rolls 15 pcs, serving 16 pcs
(210.00	8.00	2.00	5.00	31.00	1.00	320.00)
2 fruit snacks
(140.00	0.00	0.00	0.00	34.00	0.00	40.00)
1/8 boston cream pie cake
(173.63	5.85	1.69	1.65	29.59	0.98	99.38)
=210+220+20+240+554.5+204+140+916.7+210+140+173.6
=11+3+1.5+28+11.2+20.40+6+47.7+8+0+5.85
=9+0+1+4+2.15+12.8+0+11+2+0+1.7
=20+6+2+0+17.8+4.4+0+22+5+0+1.65
=7+40+0+0+97+1.6+20+95.3+31+34+29.6
=1+2+0+0+8.35+0+0+0+1+0+1
=450+380+100+0+901+172+60+1283.3+320+40+99.4
</t>
  </si>
  <si>
    <t xml:space="preserve">4 fruit snacks
(280.00	0.00	0.00	0.00	68.00	0.00	80.00)
45 cheese pizza rolls
(630.00	24.00	6.00	15.00	93.00	3.00	960.00)
3 vegan chicken tenders (gave 2 to babies)
(210.00	9.00	1.50	10.50	19.50	4.50	600.00)
2 slices bread
(220.00	3.00	0.00	6.00	40.00	2.00	380.00)
2 tbs parm
(20	1.5	1	2	0	0	100)
2 tbs mozz
(80.00	5.00	3.50	6.00	1.00	0.00	190.00)
2 tbs olive oil
(240.00	28.00	4.00	0.00	0.00	0.00	0.00)
1 can coca cola
(180.00	0.00	0.00	0.00	50.00	0.00	60.00)
4 hazelnut coffee creamers
(140.00	6.00	0.00	0.00	20.00	0.00	60.00)
1/4 boston cream cake pie
(173.63	5.85	1.69	1.65	29.59	0.98	99.38)
2 slices artesan bread
(220.00	3.00	0.00	6.00	40.00	2.00	380.00)
2 tbs parm
(20	1.5	1	2	0	0	100)
1 tbs olive oil
(120	14	2	0	0	0	0)
1 morning star vegan beef patty
(80	1	0	1	16	2.5	100)
=280+630+210+220+20+80+240+180+140+173.6+220+20+120+80
=0+24+9+3+1.5+5+28+0+6+5.9+3+1.5+14+1
=0+6+1.5+0+1+3.5+4+0+0+1.7+0+1+2+0
=0+15+10.5+6+2+6+0+0+0+1.7+6+2+0+1
=68+93+19.5+40+0+1+0+50+20+29.6+40+0+0+16
=0+3+4.5+2+0+0+0+0+0+0.98+2+0+0+2.5
=80+960+600+380+100+190+0+60+60+99.4+380+100+0+100
</t>
  </si>
  <si>
    <t>Woke up at 515 am but got out of bed by alarm at 530 am, did normal routine, cleaned pet messes, made coffee, fed Growly's meds, fed babies, then started immediately on the cell membrane transport ppt flashcards, got to slide 9 before alarm to get ready for work went off. Had a reg BM after 1st cup of coffee before the alarm went off and finished 2nd cup of coffee before measurements. Need 3 cups before leaving for work due to tolerance and preventing headache later. Went to bed at 12 am last night, slightly after 1145 pm. Got about 5 hours of sleep. For breakfast made about 20-25 cheese pizza rolls and took them to work where I ate about 10 before work for breakfast and the rest for lunch. I also had 4 fruit snacks. And my 4th cup of coffee with 4 coffee creamers hazelnut. Then at home had made 5 of the vegan chicken strips and about 18 cheese pizza rolls while I finished up the flashcards on photosynthesis took 4-5 hours because of the drawings and notes. I had a drink after about 3 hours figuring 15 more slides to go and still writing the information down. Then studied after the flash cards, the worksheets, not the keys or solutions as not given or graded yet for all. Nothing was actually graded as a final score this week, she must be going on vacation. No class tomorrow but the work will be posted. Fortunately, it was mostly on photosynthesis and not cellular respiration, because I just realized the cellular respiration was in animals but knew the photosynthesis was with plants, I got that from a question on the exam, and I did write all that information down, but there seem to be more steps, and its all rushed at me and I am sure any person taking a 16 week course in 6 weeks, that it seemed confusing to talk of ATP and NADPH in plants, then go to cellular respiration where ATP and FADH2 is used instead with similar process but in mitochondria. But both cells have this organelle, so you can see why I was cramming and getting to know it well but more on concepts, that the overall picture of there being a division or difference between the two to me seemed like cellular respiration happens in both plants and animals but photosynthesis in only plants. I got lucky there. But we are allowed to use notes. Only used one card on glycolysis, tricky, produces pyruvate I know and some carbon dioxide, but it asked if it was T/F that is produces CO2 and NADPH. So I looked it up. That was the only question. I feel like I did good on it, but will find out. She deducts points for essays with wrong information. Before I took the exam I had a coca cola around 930 pm, but got tired around 10 pm and got scared I would fall asleep and miss the exam, so I took it. I also had a couple slices of parmesan toast with the coca cola, I made it with too much olive oil and needed to drown it out with the corn syrup in the soda. Finished exam with time to spare. Tomorrow I plan on deep cleaning the house, we'll see. Unless, I get some clients. I will be drinking, listening to music and deep cleaning the house, although need to go to grocery store or Target first to get a shower curtain and magic erasers. The 2nd drink while updating this database for yesterday and today. Fireworks were all over the place starting at 10 pm. Actually started earlier as expected, but they are displaying more now. Many cities aren't allowing it, but some are little less inclined to report them because they have kids and neighbors that like seeing them and now there are actually penalties in the form of fines in some cities. I don't even care anymore since I don't have to get up early and got booze to fall asleep with it keeps me asleep for a while. Washed the bed linens and blankets because when I got home cat vomit was on them. She vomits hair ball that look like shit in piss. or yellow bile. They weren't dry by the time I wanted to go to bed after 11 pm. It is 1140 pm now and had already put on the alternate set that uses the loose sheet instead of fitted one. I always put a mattress pad on bc the babies pee on the bed every once in a while especially when princess has her toys or babies on the bed. Sometimes just to be assholes too. Was going to go to bed but had the 3rd drink and watched the last two episode of the season 4 Handmaids Tale. Had a slice of boston cream cake pie. My feet are swollen and ankles today, noticed this 2 hours ago. I have had fluid in legs since middle of studying today when lifting leg up while standing. I stand at computer while studying and taking notes and making flashcards. Pressure and fluid at Right knee, and while laying in bed watching the laptop Hulu Handmaids Tale, feet swollen. Fat and swollen.  I went to bed at 230 am last night after watching the last 2 episodes of season 4 of Handmaids Tale on Hulu. I also ate a morning star burger on parm toast that I used only 1 tbs olive oil on and tasted much better with half a new coca cola before going to bed.</t>
  </si>
  <si>
    <t xml:space="preserve">15 cheese pizza rolls
(210.00	8.00	2.00	5.00	31.00	1.00	320.00)
1/8 boston cream pie cake
(173.63	5.85	1.69	1.65	29.59	0.98	99.38)
1/2 coca cola from last night
(90	0	0	0	25	0	30)
9 cheese rolls
(118.13	4.50	1.13	2.81	17.44	0.56	180.00)
1 zucchini
(27	0.6	0.1	2.1	4.8	1.8	5.4)
2 tbs olive oil
(240.00	28.00	4.00	0.00	0.00	0.00	0.00)
2 tbs parmesan cheese
(20	1.5	1	2	0	0	100)
4 fruit snacks
(280.00	0.00	0.00	0.00	68.00	0.00	80.00)
=210+173+90+118+27+240+20+280
=8+6+0+5+0.6+28+1.5+0
=2+1.7+0+1.13+0.1+4+1+0
=5+1.65+0+2.81+2.1+0+2+0
=31+29.6+25+17.44+4.8+0+0+68
=1+0.98+0+0.56+1.8+0+0+0
=320+99.4+30+180+5.4+0+100+80
</t>
  </si>
  <si>
    <t>cauliflower tatertots, serving 9 pcs:</t>
  </si>
  <si>
    <t>PF Changs frozen veggie egg rolls, serving size is 4 with 2 servings per carton, carton:</t>
  </si>
  <si>
    <t>Interntational Delight carmel iced cold brew coffee, serving is 12 fl oz, 5 per carton, serving, cup:</t>
  </si>
  <si>
    <t xml:space="preserve">morning star vegan beef patty
(80	1	0	1	16	2.5	100)
2 slices artesan bread
(220.00	3.00	0.00	6.00	40.00	2.00	380.00)
2 tbs parm
(20	1.5	1	2	0	0	100)
1/4 cup mozz
(80.00	5.00	3.50	6.00	1.00	0.00	190.00)
pkg eggrolls
(440.00	11.00	2.00	6.00	78.00	6.00	1660.00)
6 fruit snacks
(420.00	0.00	0.00	0.00	102.00	0.00	120.00)
2 cups international delight carmel iced coffee
(360.00	7.00	5.00	10.00	64.00	0.00	240.00)
double salmon poke bowl
(554.50	11.18	2.15	17.80	96.55	8.35	901.00)
1/4 cup cream cheese
(204.00	20.40	12.80	4.40	1.60	0.00	172.00)
3 cauliflower tater tots
(43.33	2.33	0.33	1.00	5.00	0.67	103.33)
=80+220+20+80+440+420+360+554.5+204+43
=1+3+1.5+5+11+0+7+11.2+20.4+2.3
=0+0+1+3.5+2+0+5+2.2+12.8+0.33
=1+6+2+6+6+0+10+17.8+4.4+1
=16+40+0+1+78+102+64+97+1.6+5
=2.5+2+0+0+6+0+0+8.35+0+0.67
=100+380+100+190+1660+120+240+901+172+103.3
</t>
  </si>
  <si>
    <t>Went to bed at 930 pm but couldn't go to bed until 10 pm and woke up to pee around 1030 pm, then the fireworks died down or out. Did the normal routine, woke up sore in L tricep and R ubns, from all the scrubbing of the couch and furntiure and floors yesterday. Gave Growly his meds with the babies' food and made my coffee after cleaning pet messes. Woke up tired, the coffee helped wake me up. Got about 8 hours of sleep from 1030 pm to 630 am when I woke up by alarm, but actually woke up 15 minutes before that and laid in bed till alarm went off. Had 1st cup of coffee then a reg BM. Then began 2nd cup of coffee. Need to get some groceries and supplies from the grocery store and clean the bathroom. I got to work later and leave by 220 pm approximately. Feet weren't swollen and ankles only slightly swollen, doesn't hurt when I lift my leg up or fill stiff and swollen with fluid while standing at computer. Measurements taken after BM and 1st cup of coffee and before 2nd cup of coffee. For breakfast had a morning star vegan beef patty and 2 slices of artesan bread with mozz and parm airfryed and 1/3 pickle in slices with a 3rd cup of coffee. I cleaned the bathroom with what was available then showered and went to Target to get a bunch of cleaning supplies and some frozen foods. Had made the box of egg rolls vegetable with the bag of cauliflower hashbrowns, but only ate about 3 of them, because without sauce they taste like eating vegetable oil. The egg rolls I had 3 for lunch, and put the rest with half the cauliflower tater tots in a plastic container for work. I put the tater tots I didn't eat in the fridge to eat later. Probably tonight. I put the Target run on my credit card because I don't get paid until Wednesday and tomorrow at the earliest. Not enough cash for the total purchase. I also washed the curtains that had a bunch of dust on them and noticed the screws loose and fixed those while making my tatertots and eggrolls after the Target trip. I had the curtains in the dryer before I ate lunch. The roommate is up early and wants them up soon as possible. Its hot out but the dj on KISS FM said its going to be a high of 80 degrees fahrenheight, yet feels like uppper 90 degrees. Tired and might take a nap before work. Had my 4th cup of coffee as instant iced mocha cold brew in a carton from Target as brand International Delights. I also had the last 1/8th boston cream pie cake before leaving for Target. For lunch I ate a double salmon poke bowl with the other 4 veggie eggrolls and 1-2 cauliflower tater tots. I had my 5th cup of coffee the same as the 4th cup on the way to work. After work, the roommate was at home but was in pain and didn't get out of bed, the porch light was off and gate unlocked. I had to login to the other computer for him but it kept shutting off, and when logging on for the 3rd time, it took forever to log on. It kept shutting off, he kept bugging me because he had to order something and refuses to use his own laptop because its not charged or his phone that he could order anything from amazon on using. It was really annoying. I was drinking an iced tequila with water trying to unwind and he had to start being his annoying loser self. I don't know why the laptop isn't holding a charge. I just got a new battery for one laptop then switched out the hard drives, but there was nothing wrong with that battery oc the Acer. I think. I got the battery for the HP, or else this battery I just got for the Acer isn't good anymore and I just got a few months ago from Amazon. I will have to check my orders. I checked and it was the HP. The Acer is acting dumb for some other reason. Went to bed around 1145 pm.</t>
  </si>
  <si>
    <t xml:space="preserve">Woke up a little before 530 am but got out of bed when I set my alarm for last night to this alarm at 545 am, have to leave by 8 to get to my indentogo fingerprint appointment in Upland at 920 am and have my regular client at noon. Then got a bunch of homework to do and get started on. The roommate was being retarded again this morning about the laptop. Its a piece of crap and keeps shutting off, won't hold a charge or stay on with it plugged in. Could be the canon cheap printer software messing it up or not having updates installed regularly. I had him on the HP alternate laptop instead. I just need to move all my files from those computers to my hard drive and I probably already have, but just in case I didn't should do it again. Did the normal routine. Made my coffee after cleaning pet messes, fed Growly his meds, he had to skip last night as I was at work, and fed the babies their food. Haven't been giving them icecream or whipped cream this last few weeks with their cat food canned in the am or pm. Updated this nutrition and got the roommate using the HP instead, which did work fine. I need to switch out the hard drives on those 2 lap tops and transfer over the HP files onto hard drive or check that I don't have those ones already. Had a reg lg BM after 1st cup of coffee and when 630 am alarm went off, was into 2nd cup of coffee, then took measurements. Went to the fingerprint place, had a lot of cuts on finger tips that interfered with the rolling of pattern, those dry hands and paper cuts over time. I already have my prints in the system from previous prints and the 2009 August incident with the worst neighbors ever. I then went to the house to upload the fingerprints, and also was notified that I needed a document filled in for financial aid from my advisor. Nice of him because I get so busy. I signed a document agreeing to terms and sent it in, all is good there. I uploaded the reciept to the Texas dept of licensing and regulation for massage with my application login. Then went to noon client's house and the new client of MLD who still had drains in. I used the new red light infrared machine for first time at my noon client's house, and had trouble starting it at first but it gets really hot and can feel the infrared on the skin, only 5 min LB and 5 min both knees bc she has High BP. The machine says no more than 30 minutes per client. But not those exact words. Then at the new client, up the street, I was too early so stopped by the Wendy's for a potato with 2 sourcreams and a butter salt and pepper. Violated the added butter for first time and totally forgot about it. I also got krispy kremes dozen and ate two when I got home after the finger prints and had some pizza rolls a serving and a cup of the instant carmel coffee. Then when I got home and did the laundry with extra detergent and in hot water as always, I ate another 2 donuts and 5th cup coffee as carmel iced coffee. For breakfast I had a Gardein vegan beef patty, 2 slices parm toast, no mozz cheese, and pickles, and serving sweet potato fries that were really good from airfryer. I have a ton of homework to do that is due tomorrow by midnight and have the SOAP notes and receipts to send out and laundry to do. No worries though, haven't even started any of her videos to take notes on and then do the worksheets to turn in and lab. I will do the SOAP notes and receipts first, then all the rest, because now at 440 pm the roommate is home being a bitch about the laptop. No work today or yesterday because his security job site closed that location or ended that contract. Didn't have SOAP notes done by 550 pm but had laundry in dryer and made a vegan beef gardein burger with 12 pcs cheese pizza rolls and mozz toast, the roommate ate all parmesan cheese, he puts a half cup in every bowl of pasta he eats. It should last longer, but buying 2 of those parmesan cheese plastic bottles every week. I had one of his mini coca colas. And finished the lecture slides of the first 2 ppts but she ended abruptly to say she would have an overview on stem cells but I didn't see it in the assignment for this one set of worksheets. Was and am reall tired. It is slightly before 9 pm. It is the other ppt on stem cells, the last 2 slides on embryonic development were not discussed. Went to bed around 9 pm, woke up around 10 pm when roommate came back from wherever and went back to sleep, then woke up at 2 am and stayed in bed until 230 am and had about 20 cheese pizza rolls at 330 am including on this day's nutrition, bc before weighing myself and went back to bed at 430 am after finishing notetaking on the first 2 LE subjects and the lab exercise 6. </t>
  </si>
  <si>
    <t>sweet potato fries, serving 12 pcs:</t>
  </si>
  <si>
    <t>1 teaspoon table salt, calorieking.com</t>
  </si>
  <si>
    <t>potato, calorieking.com</t>
  </si>
  <si>
    <t>salted butter 1 tbs, calorieking.com</t>
  </si>
  <si>
    <t>glazed or sugared donut, 3" diameter, calorieking.com</t>
  </si>
  <si>
    <t xml:space="preserve">2 gardein vegan beef patties
(420.00	22.00	18.00	40.00	14.00	2.00	900.00)
4 slices bread
(440.00	6.00	0.00	12.00	80.00	4.00	760.00)
2 tbs parm
(20	1.5	1	2	0	0	100)
1/4 cup mozz
(80	5	3.5	6	1	0	190)
27 cheese rolls
(354.38	13.50	3.38	8.44	52.31	1.69	540.00)
4 donuts, 2 pink sprinkles, 1 glazed, 1 chocolate glazed krispe Kreme
(768.00	41.20	10.80	9.20	91.60	2.80	724.00)
mini coca cola
(90	0	0	0	25	0	30)
sweet potato fries serving
(140.00	5.00	0.00	1.00	24.00	3.00	140.00)
plain potato Wendys
(134.00	0.20	0.10	3.60	29.60	3.20	11.00)
2 tbs sourcream
(60	5	3.5	1	2	0	15)
1 teaspoon salt with potato
(0.00	0.00	0.00	0.00	0.00	0.00	2325.00)
1 tbs butter
(102.00	11.50	7.30	0.10	0.10	0.00	82.00)
2 cups/servings International Delight carmel iced coffee
(360.00	7.00	5.00	10.00	64.00	0.00	240.00)
1 pickle
(90.00	0.00	0.00	0.00	24.00	3.00	450.00)
20 cheese pizza rolls 330 am
(262.50	10.00	2.50	6.25	38.75	1.25	400.00)
=420+440+20+80+354.4+768+90+140+134+60+0+102+360+90+262.5
=22+6+1.5+5+13.5+41.2+0+5+0.2+5+0+11.5+7+0+10
=18+0+1+3.5+3.4+10.8+0+0+0.1+3.5+0+7.3+5+0+2.5
=40+12+2+6+8.4+9.2+0+1+3.6+1+0+0.1+10+0+6.25
=14+80+0+1+52.3+91.6+25+24+29.6+2+0+0.1+64+24+38.75
=2+4+0+0+1.69+2.8+0+3+3.2+0+0+0+0+3+1.25
=900+760+100+190+540+724+30+140+11+15+2325+82+240+450+400
</t>
  </si>
  <si>
    <t>Tai Pei brand Shrimp Fried Rice frozen section Albertsons Chino Hills</t>
  </si>
  <si>
    <t>2 cups carmel iced coffee
(360.00	7.00	5.00	10.00	64.00	0.00	240.00)
4 donuts, 3 glazed, 1 sugared
(768.00	41.20	10.80	9.20	91.60	2.80	724.00)
16 cheese pizza rolls
(210.00	8.00	2.00	5.00	31.00	1.00	320.00)
sweet potato fries
(140.00	5.00	0.00	1.00	24.00	3.00	140.00)
shrimp fried rice frozen section Albertsons
(400.00	11.00	1.00	12.00	63.00	2.00	890.00)
5 bags fruit snacks
(350.00	0.00	0.00	0.00	85.00	0.00	100.00)
mini coca cola
(90	0	0	0	25	0	30)
=360+768+210+140+400+350+90
=7+41.2+8+5+11+0+0
=5+10.8+2+0+1+0+0
=10+9.2+5+1+12+0+0
=64+91.6+31+24+63+85+25
=0+2.8+1+3+2+0+0
=240+724+320+140+890+100+30</t>
  </si>
  <si>
    <t xml:space="preserve">2 servings cheese pizza rolls
(420.00	16.00	4.00	10.00	62.00	2.00	640.00)
2 servings sweet potato fries
(280.00	10.00	0.00	2.00	48.00	6.00	280.00)
1 gardein vegan beef patty
(210.00	11.00	9.00	20.00	7.00	1.00	450.00)
2 slices artesan bread
(220.00	3.00	0.00	6.00	40.00	2.00	380.00)
1/4 cup mozz
(80.00	5.00	3.50	6.00	1.00	0.00	190.00)
2 tbs parm
(20	1.5	1	2	0	0	100)
3 fruit snacks
(210.00	0.00	0.00	0.00	51.00	0.00	60.00)
=420+280+210+220+80+20+210
=16+10+11+3+5+1.5+0
=4+0+9+0+3.5+1+0
=10+2+20+6+6+2+0
=62+48+7+40+1+0+51
=2+6+1+2+0+0+0
=640+280+450+380+190+100+60
</t>
  </si>
  <si>
    <t>Woke up at 530 and peed and took babies out to pee, then went back to bed until 630 am, and snoozed alarm for 10 minutes then got out of bed while roommate was unloading from work. Made my coffee, felt tired, folded linens from yesterday, made the babies their food and fed Growly before folding linens, the roommate took them out of the dryer to put wash load in dryer and his clothes in washer. Then made the SOAP notes and receipts for last night clients or late afternoon clients, then checked out SOAP notes of the prospective clients for MLD sometime soon, like one this morning at 10 am in Chino, then a return new client already prepaid at 1230 pm in Eastvale for MLD. Many people are having liposuction or full mommy makeovers with Brazilian Butt Lifts or BBL and need the manual lymphatic drainage as soon as possible and recurring to prevent scarring and adipose effects post-op that are permanent if not taken care of regularly and early in healing stage, but also with their surgeon's approval. Had a reg lg BM while making 2nd client's SOAP notes online, and while finishing 2nd cup of coffee. Not tired but have lots of homework to do and start, the next assignments are due tomorrow by midnight, and a lab exam to study for and flashcards to make to study for the exams on the lecture material. I also have the LE prerecorded video to watch, a couple of them on this chapter and the zoom meeting recorded from Wed morning. A full day. Measurements taken after BM, 2 cups of coffee, and before breakfast. My ankles and feet are still swollen from yesterday but not as much. Made a 3rd cup of coffee and sweet potato fries and cheese pizza rolls in the airfryer before going to my morning client's house and before showering around 9 am planned. Didn't shower, did the prepping of laundry, then washed face, put deodorant on and makeup on, and left for new client. She signed up for 10 pkg MLD, then next client, doing great had her drains slowing down. The first client had a BBL retouch lipo360 2 days ago. Not really any bruising on either clients, both of them don't really like the BBL pillow, the 2nd doesn't like using it. The 3rd client was thinking about signing up but decided to try it out a few times at the $60 price and then pay the difference after she decides if she likes it for her post-op 1 week lipo and BBL, not lipo 360, only from midsection not the arms and thighs. I had a 4th cup of plain instant coffee between the 10 am and 1230 pm client. Was able to stop off at the house to put in the laundry and wait till the end to start it after each appointment. Didn't start the hw, but was considering maybe dropping or taking the P/NP option. The deadline is 75% of the semester, this is at 50% 3rd week of 6 weeks. I am already in the chiropractic program, but don't want to stress over making the grade that takes my all and cancelling availability for clients. Had a glass of tequila on ice instead of 5th cup of coffee around 430 pm. And did the notes on the day so far and ate the same thing for breakfast as for lunch same time as 1st drink. But less pizza rolls, shared with babies, so like 80% of the serving of cheese pizza rolls. Then around 7 pm had a gardein vegan beef patty on mozz and parm toast no olive oil and 1/3 pickle in slices, and 3 bags of fruit snacks. Had 2 drinks by then. Didn't start the homework.  Started the homework and went to bed around 830 am, slightly before, to take a nap, and get up and work on it some more. I only got through looking at the inheritance lectures and practice problem videos and note taking. I didn't get up to do homework until after 3 am</t>
  </si>
  <si>
    <t>Woke up at 530 am by alarm got out of bed at 6 am, bc I went o bed at 9 pm and woke up at 230 am to study and finish the notetaking on lectures to ppt slides for assignments due by midnight tonight. Had some cheese rolls approx 20 of them around 330 am, bed again at 430 am for an additional hour, got about 6 hours of sleep. No pet messes to clean at this time, was one at 230 am. Made my 3rd cup of coffee, had 2 cups at 230 and 330 am of coffee. Folded the laundry after feeding the babies and giving Growly his meds. Then updated this nutrition. Had a reg BM, noted later after this day, because every day I have had a BM, but must not have had one until after updating this nutrition but before work. I Have a regular client today after work at 7 pm. They are cute, the cat and her. Had a glazed and sugared cinnamon krispy kreme donut with a 4th cup of coffee as the carmel iced coffee. Then took measurements and got ready for work. At lunch time I got some wet catfood for the babies, they were down to two cans, and myself some frozen PF Changs or similar shrimp fried rice I microwaved in my van. Not bad, but not great. I had the last cup of the carmel iced coffee for 5th cup of day. After lunch, my regular called off, and he was late but was willing to pay 1/2 hour if I would stay but had to do studying and couldn't afford it time wise for 3 assignments due today by 11:59 pm. I had a reg client on side book one of his remaining 2 credits of monthly membership massages, he just got back from LV, his babies mama is my client for MLD, she booked the appt under her name. That was at 530 and was slightly late a few minutes to reg client in Yorba Linda, they live in Eastvale. But made it. Did finish the assignments on time with 9 minutes to spare. Ankles, knees, feet swollen by time I had a drink. My tequila over ice tastes like poison, like sunscreen. Everything tastes like sunscreen zinc or medicinal poisoning. my babies managed to make the house floors look like they weren't just deep cleaned. I got the covers or wetpad protectors for furniture but too loose to stay in place, but atleast they cover the couch and recliner size chair. I am starting to get a lot of MLD requests from new clients, have a new one tomorrow, and one after her I just booked a 10 pkg deal with a few days ago. This one tomorrow might get the 10 pkg, and sounded certain of it, but I will see. Also one in Corona texted back and forth with me too. Biz is booming and lack of time to do assignments for summer course dwindling. But I have time this weekend. Not a big deal. I am already in at the chiropractice school. Finanacial aid should cover all the expenses. Still waiting to see. Thats why I want to keep taking courses if some unforseen circumstance prevents me starting chiropractic school. Also, waiting on the TX licensing. I didn't get my official transcripts sent over. My school closed, but will have to do that, probably. I will maybe call tomorrow and see if I can avoid the $125 fee to have the CAMTC send their copy as my school closed and is unavailable to send them. I only uploaded my own copies I keep with important documents. Today early am was a couple donuts, at lunch the shrimp fried rice, when I got home, a little filling in of a worksheet for course biology, and ate some sweet potato fries, and serving of cheese pizza rolls. Had the 2 carmel iced coffees. Also had 5 bags of fruit snacks, then when I got home, had a couple more donuts, glazed and sugared. I dropped one glazed and threw it away. Didn't get a chance to do SOAP notes or the receipts other than quick notes in notebook of clients SOAP notes. Time was 1250 am now. Need rest to shrink ankle size, but noting nutrition to update later and day's events. Also, had a mini coca cola while working on worksheets to turn in tonight and eating donuts. Went to bed around 1250 am, almost 1 am.</t>
  </si>
  <si>
    <t>chives 2 tbs calorieking.com</t>
  </si>
  <si>
    <t>poke bowl salmon/ahi tuna/brown rice/sesame seeds/cucumber/ginger/wasabi/ponzu sauce/spicy mayo</t>
  </si>
  <si>
    <t xml:space="preserve">9 cheese pizza rolls
(118.13	4.50	1.13	2.81	17.44	0.56	180.00) 
gardein vegan beef patty
(210.00	11.00	9.00	20.00	7.00	1.00	450.00)
2 slices bread
(220.00	3.00	0.00	6.00	40.00	2.00	380.00)
2 tbs parm
(20	1.5	1	2	0	0	100)
2 tbs mozz
(80	5	3.5	6	1	0	190)
1/3 pickle
(60.00	0.00	0.00	0.00	16.00	2.00	300.00)
4 tbs cream cheese
(204.00	20.40	12.80	4.40	1.60	0.00	172.00)
poke bowl ahi tuna, salmon, ginger, cucumbers, brown rice, green onions, spicy mayo, house ponzu sauce, sesame seeds
(610.00	15.20	3.20	23.60	93.90	7.00	1954.00)
7 fruit snacks
(490.00	0.00	0.00	0.00	119.00	0.00	140.00)
1 1/2 cans coca cola
(270.00	0.00	0.00	0.00	75.00	0.00	90.00)
=118.1+210+220+20+80+60+204+610+490+270
=4.5+11+3+1.5+5+0+20.4+15.2+0+0
=1.13+9+0+1+3.5+0+12.8+3.2+0+0
=2.81+20+6+2+6+0+4.4+23.6+0+0
=17.4+7+40+0+1+16+1.6+93.9+119+75
=0.56+1+2+0+0+2+0+7+0+0
=180+450+380+100+190+300+172+1954+140+90
</t>
  </si>
  <si>
    <t>Woke up off and on at 10 pm and 1230 am and 3 am and laid in bed at 3 am until 330 am and got out of bed. I finished the ppt slides for reading what I watched on the video yesterday before bed, and then handwrote in the questions but didn't answer them, and answered some of the worksheet 7 questions. Had a couple cups of coffee and a tiny BM while working on homework and after folding the linens and putting away. I ate about 9 cheese pizza rolls and made the rest of the vegan chicken strips and fed two to the babies Growly and Goody.Had a 3rd cup of coffee with breakfast. Princess was tired but she did have a third of one. Saved the other 3 for later. Took a nap for 20 minutes at 6 am then woke up. Had another sm BM. Then updated this database. Took measurements (after breakfast and 3 cups of coffee earlier before nap) at 7:18 am. Breakfast was around 5 am with the 3rd cup of coffee. Then showered before 730 am. The roommate wasn't home at 630 am the normal time he arrives from work. Not unusual, some of the workers are late or don't show till later. The roommate got home after my shower. Wanting me to check his order arrivals from amazon and target. Went to work and for lunch had a poke bowl, added green onions, and substituted one scoop salmon for tuna, with cream cheese and other scoop salmon, and added spicy mayo too. Only a minor change from normal, with an ice cup of 1 can coca cola, then at work 10 minutes early from break had 4th cup of coffee with 4 carmel machiato International Delight creamers. At home had a Gardein patty with parm/mozz toast and pickles, and a shot of tequila on ice. Finished my assignments for the day. Have a client added to my schedule tomorrow that I haven't seen since the super bowl in February tomorrow night after 8 pm. Not a lot of food items eaten today. Also had 5-7 fruit snacks, and left one out from the last of the box bought about 3 weeks ago from Target. And a mini coca cola with my gardein burger. Went to bed around 1130 pm to 1145 pm. By middle of the day studying, my ankles and feet were swollen, especially the left side. Did some dry brushing and felt a bunch of fluid in right leg and saw the puffiness in both ankles and feet and swollen calves/shins. Didn't remove the fluid with just the dry brushing.</t>
  </si>
  <si>
    <t xml:space="preserve">Woke up at 530 but not by alarm, got out of bed at 530 am but woke up at 445 am to pee and laid in bed napping and waking up until the alarm went off. Coffee, Growly's meds, babies fed, updated this nutrition portion of db. Had 2 cups of coffee and a sm BM after 1st cup coffee. Have to leave for work by 720 am today. Its Saturday, I have studying to do, and an exercise 6 lab to finish the portion not turned in on Wed, that I didn't do at all, this exam is due tomorrow at 1159 pm on the labs from the last 3 weeks. There was going to be a study session but no internet for instructor in Mammoth on vacation, so she said she would turn in answers somewhere. I havea  return client later tonight, local, but last time on Super Bowl Sunday, there was no parking, I had to drive around. It is at 815 pm for an hour. She usually gets an hour and a half. I have had almost 100 appointments since 2/7/2021 when I saw her last. And it is 7/10/2021, so that is about 5 months. they are just on the side, some months more than others. Varied pricing for separate package deals. I woke up with the right side still really swollen and the foot, but it went down some, just feel pressure in the leg and foot when flexing or moving it, but not in the right one, it looks somewhat normal only a tiny bit of swelling around the ankle bones. Took measurements while finishing up 2nd cup of coffee. For lunch had the same as breakfast plus the last fruit snacks. Thats a parm/moss toast with pickles and MorningStar Vegan beef patty sandwhich. I found out that when I updated my blink account to pay through Amazon a subscription it doesn't record the clips anymore and pissed me off, because a whole process of somehow manually adding each device, I tried a loop circuit of unlinking and linking amazon account I alreay subscribed to then only option deleted blink account and had to restart the whole process of connecting cams, and had no recordings from after this morning due to thinking I had updated billing and cancelled the free subscription. It was never linked, even though Blink says its linked to my Amazon account, it it paid for but not recording the clips to anywhere for whatever retarded reason. Pissed me off, made me sweat with that and the heat while in my van and hearing the alerts go off for movements but not able to record due to cancelling account. I cancelled account thinking it would open the door to allowing me to link to Amazon, but of course its a whole process, tech support didn't answer the phone both attempts. I had a drink when I got home and took out the van dash cam, bc I forgot to mention I almost got in a wreck yesterday due to some asshole and another driving a stone hauling double bed truck on 71 yesterday morning. He got pissed I cut in front, and he cut in front of me, then I noticed he was also driving a company vehicle, blah blah blah, and I need to get the video clips. No wreck, but for the scoreboard another misogynist, he actually pulled aside to let me in once he saw I almost got in a wreck getting his side panel information for whatever construction type business he operates. Of course, I get home into 2nd drink, no worries, this client is cheap and has no parking, I didn't get to speak with her last time, she doesn't tip, is my race or my mom's Filipino, and has no parking, double emphasis, bc I don't like to think I am going to lose more in tow fees and loss of peace of mind while delivering massage services to locals at a discounted price. I do give her my regular price and she doesn't get any discounts and pays with zelle so I don't lose any 3-5% fees. They take a grip but give me my scheduling app for free. I tried connecting and got as far as the indoor camera, then samsung updated my phone and blocked time. Fuck it, what the fuck else right? I mean I only have an exam to study for in lab, but not too worried bc its the labs and not that much additional information in biology, and its due tomorrow night. Onto my 2nd tequila drink, the landlord is next door with the plumber and they are fixing up the side duplex to rent. I would love to make it a massage studio just to not have to deal with neighbors or sharing of the backyard where I take my pups, and I average $1200 a month, but could get more clients if I put the outdoor exercise equipment in there and a massage studio with all supplies and rented out space to other independent contractor massage therapists who pass my tests for approval. The parking thing sucks, but there is street parking and a little walk, not so bad, might have to park on the street in the days and open up parking in the day for them. He is renting it for $1800 a month. We pay $1500. Cool, so I just spoke to the landlord and he was ok with a massage studio and plans on having it ready in 2 months. So, I got first dibs. Finishing up my 2nd drink. I don't give a fuck that he probably knows I had a drink or almost two. Anyhow. This is totally doable as all of my biz money is extra money, and I also have extra money, so I could put the gym equipment in the other duplex and the massage studio, it is a 2 1/2 bedroom so we can figure something out, maybe get my nieces to work, or hire some people, but I would need a Tax ID number instead of my Social Security Number, SSN, woo-woo. I got this! hit up victims of police harassment and get my clients there. Awesome! Get in some other folks too, but my prices are very competitive as in good for consumers but about at the minimal for workers. So somehow find a median. It don't matter though, because the landlord already said it was ok to have a massage studio. Super cool. Anyhow had 2 drinks, then a coffee, had another sm BM between the drinks and coffee, studied a bit and texted the guy who texted me out of the blue who bought the Dodge Charger a month ago. Then went to the client's house on time, and found parking but wrong address. The service address on jotform said that address, but the square app said her mom's address in S Corona. I told her I can't let her book anymore and apologized. This should have been communicated earlier. No worries, had time to review exercise 6 of lab, no real studying done, but I will tomorrow on all the review items on labs. Made a pan of pkg beyond meat, zucchini, cashews, and brussel sprouts in olive oil. Had 2 bowls. Had 5th cup of coffee after 2 drinks ended by 5 pm but started around 330 pm. At work had the 4th cup of coffee with the 4 creamers, 3 hazelnut and 1 carmel machiato. Bed time somewhat early, am tired, plan on waking up early refreshed and able to study. When I have to study, I am just going to tell any clients I haven't seen in a while that I can't massage until done for the planned study day be it today or tomorrow. </t>
  </si>
  <si>
    <t>pan of pkg beyond meat, 1 zucchini, approx 9 brussel sprouts, 2 tbs olive oil, 1/3 cup cashews, makes 3 bowls</t>
  </si>
  <si>
    <t>bowl of veggie beyond bruss/zucc/cashw/OO</t>
  </si>
  <si>
    <t xml:space="preserve">2 vegan beef patties morning star
(160.00	2.00	0.00	2.00	32.00	5.00	200.00)
4 slices artesan bread
(440.00	6.00	0.00	12.00	80.00	4.00	760.00)
4 tbs parm
(40.00	3.00	2.00	4.00	0.00	0.00	200.00)
1/2 cup mozz
(160.00	10.00	7.00	12.00	2.00	0.00	380.00)
2 bowls beyond meat, brussel sprouts, cashews, zuchini, olive oil
(1907.33 118.07	19.40	64.53	143.80	7.80	1416.27)
4 hazelnut (3) and (1) carmel machiato coffee creamers
(140.00	6.00	0.00	0.00	20.00	0.00	60.00)
5 cups coffee, 5th cup after 2 drinks after work around 3 pm.
1 fruit snack pack, last one for lunch
(70.00	0.00	0.00	0.00	17.00	0.00	20.00)
=160+440+40+160+1907+140+70
=2+6+3+10+118+6+0
=0+0+2+7+19.4+0+0
=2+12+4+12+64.53+0+0
=32+80+0+2+143.8+20+17
=5+4+0+0+7.8+0+0
=200+760+200+380+1416+60+20
</t>
  </si>
  <si>
    <t>sesame seed oil, 2 tbs, calorieking.com</t>
  </si>
  <si>
    <t>poki bowl double salmon, brown rice, wasabi, ginger, sesame oil, sesame seeds, cream cheese</t>
  </si>
  <si>
    <t>Del Monte tomato sauce spaghetti sauce, 1/2 cup serving, sm can. 3.5 servings per can, slightly less than 2 cups, 1/2 cup serving:</t>
  </si>
  <si>
    <t xml:space="preserve">Penne pea protein pasta barilla, beyond pkg 4 serv per pkg, 3 apples, 2 tbs olive oil, makes 4 bowls, 7/12/2021 recipe, pot: </t>
  </si>
  <si>
    <t>Barilla red lentil pasta 4.5 servings of 2 oz servings, 4.5 servings per box, box:</t>
  </si>
  <si>
    <t>bowl penne pasta 7/12 recipe:</t>
  </si>
  <si>
    <t>Woke up at 430 am with upper abs aching, a bit, not a lot, like the burnt blackened carcinogenic food I pan cooked yesterday on stove of brussel sprouts, cashews, beyond meat and zucchini and olive oil wasn't sitting right. I did normal routine, no pet messes to clean, took babies outside, had coffee, fed Growly his meds and the babies their food, started finishing up exercise 6 activities on mitosis and meiosis that wasn't required to turn into the worksheet turned in Wednesday. I had a tiny BM, then another one while finishing 2nd cup coffee, and another by 3rd cup of coffee, and abdomen felt a little better, but that black burnt stuff in food should not have been eaten as I know it is a carcinogen. My legs and feet and ankles still swollen, more so on Left leg. A little pinge of pain in Right knee that went away that was random after massaging it less than a minute. Finished up the exercise 6 lab activity around 645 am and the 3rd cup of coffee and had a total of 3 sm-reg BMs. Have to review the lab revew sheet on page 99 of lab manual and make sure I know the items listed. I ate the last of the brussel sprouts and beyond meat and shared some with the babies. I took out most of the burnt pieces. They love it. Updated this nutrition from yesterday and then took measurements. Took measurements after breakfast and before showering. The roommate came home around the end of taking measurements 7:35 am. I am trying to eat less sodium, so for lunch I had a poki bowl with double salmon, ginger, sesame seeds, brown rice, wasabi, and sesame oil instead of house ponzu sauce or spicy mayo. Not tastey without it btw. And I had cucumbers on it, but they mixed a red onion in with it that stank disgusting, and had to remove all the cucumbers from the bowl to eat it and seal off the red onion in the bag it came with. I did the studying and had a snack after a while, around 8 pm and took exam for the labs from first half of summer term around 920 pm. For the snack I tried making a quesadilla pizza in air fryer with 1 tortilla flour, pasta sauce Priano, mozz cheese and 3 chopped brussel sprouts. Didn't come out good at all, wet in middle, crispy on edges and brussel sprouts had some type of dark spots on it that was cut out. I ate about 1/2 of it and threw away the rest. Then I took exam about 920 pm and ended about 1/2 hour later or so. We weren't allowed to use notes so I didn't, wouldn't matter much anyways as my notes didn't really have any of the questions I was forgetful on. Only a few or one. So not a big deal. New week, another 3 chapters to squeeze in, complete assignments for, and test take on. Only 3 more weeks of hell for now. Partially joking. My ankles and calves are ridiculously fat and not in proportion to my body, afterwards had two drinks of tequila with ice water. Was doing laundry all day since back from work while studying because one of the babies, probably Goody, peed on my pillow, and some on the bed, had to wash mattress pads, pillow and the linens. The pillow is a memory foam and dried it a little in dryer with it sounding like a dead body in there or shoes like horror films show, and took out to air dry then put my clothes in it. Looked up prices for speed queen washer and dryers and wow! super expensive, not cheaper than $950 for washer and same price for dryer and for commercial used is $2000. So, might just get the Lowes ones. If I rent out the next door, I could get another couple people with me, and would have some dirty linens to wash and dry every day, so something to consider. Even expensive washing machines break and put a biz out of service and convenience when that happens. Went to bed around 12 am. I forgot to add that I ate 3 pcs of hersheys toffee and almond snack size chocolate candies.</t>
  </si>
  <si>
    <t xml:space="preserve">bowl bruss/zucc/cashw/beyond
(953.67	59.03	9.70	32.27	71.90	3.90	708.13)
double salmon, ginger, wasabi, brown rice, sesame seeds, and sesame oil, low sodium avoided ponzu house sauce and avoided spicy mayo
(992.00	62.00	19.90	25.70	84.90	6.80	574.00)
1/2 flour tortilla
(84.00	2.00	0.50	2.00	13.50	0.50	150.50)
1/8 pasta sauce
(45.00	1.75	0.50	1.50	6.00	1.50	230.00)
1/4 mozz
(80.00	5.00	3.50	6.00	1.00	0.00	190.00)
2 brussel sprouts
(280.00	12.00	0.00	0.00	40.00	0.00	120.00)
hersheys toffee almond chocolate 3 pcs
(150	9	5	2	17	1	50)
=953.67+992+84+45+80+280+150
=59+62+2+1.8+5+12+9
=9.7+19.9+0.5+0.5+3.5+0+5
=32.3+26+2+1.5+6+0+2
=71.9+84.9+13.5+6+1+40+17
=3.9+6.8+0.5+1.5+0+0+1
=708+574+150.5+230+190+120+50
</t>
  </si>
  <si>
    <t>Woke up at 530 am, peed, and went back to bed, just layed there, bc I needed to get my legs to alleviate fluid from low limbs. Wasn't really tired, got out of bed when alarm went off at 630 am, tried napping, but couldn't between 530 am and 630 am. Cleared schedule for end of July and early Aug due to finals, with final that Thursday, and possibly going on vacation early Aug somewhere. Since work is closed for remodeling the first 3 days of Aug. I also cleared schedule for the weekend before finals to study. Got exams due, a final exam, worksheets, quizzes, lab exams to study for. A bunch of stuff. Good thing I didn't try cramming the chemistry 1B into summer because its 5 units. Did normal routine, coffee, Growly's meds, fed babies, had a reg BM after 1st cup of coffee, fed alley cat while drinking 2nd cup of coffee - not part of daily routine like that. Have work later and the zoom meeting for lecture at 9 am. I need to stick to a low sodium diet. Or start eating more protein drinks and low sodium as well as low carbs diet. Retaining water for weeks and months even and gaining weight. No soy sauce or pasta sauces at a minimal or not at all. I will make the penne vegan pasta with beyond meat with cheese, and pick out items that are low sodium from my nutritional data to pick from. Made a pot of penne red lentil pasta, beyond meat, 3 apples, and 2 tbs olive oil, then had a bowl with mozz. Updated this nutrition and took measurements after breakfast.Planning to have 2 more bowls and only that for lunch and dinner at work. I thought lecture was at 9 am but its at 10 am. Want to take a nap, feeling tired. Just finished the 3rd cup of coffee, then had a 2nd BM but it was diarhea, My stomach doesn't feel sick though, nor my temperature. Hopefully not sick. Ate a dark chocolate covered donut and a white powder donut at beginning of zoom lecture, then took a nap afterwards for about 15 minutes and had my 2nd bowl of the penne pasta with the mozz/prov Good&amp;Gather brand shredded cheese in airfryer like baked ziti or similar in about 5 minutes. Shared with babies of course, then checked some emails, I have had a few clients inquire about some appointments, that I have had a month or more ago. One wants to subscribe to the monthly plan, the other asked what the most massages I do in a day is. I know the last one is having a wedding soon, or planned, as she was recently engaged, and I haven't heard from her since replying 1-5 households for 1-3 hours each on days off and a reply to what days as Tue and Thur. That was last night. She gets busy and could be planning a sort of spa day with her bridesmaids or family. I got ready for work now at 1 pm plus a few minutes. Added the mozz/parm to 3rd bowl pasta at work on lunch break already in it but microwaved it, had 5th cup of coffee at work with 4 carmel machiato creamers, and the 4th before work while getting ready. At home after work around 1030 pm had a drink then the last of the bottle for 2nd drink of tequila iced water. And reviewed the lab of exercise 8 and got some answers to the questions in the lecture prerecorded lab videos. Had a tiny BM before bedtime. Went to bed around 12 am. Started my rag at work, Felt it wet and wasn't sure why, am getting older and wanted to make sure I wasn't peeing myself but it was blood from my menstruation. At this point, I survived cancer and have a big fibroid, so it is possible but thankfully hasn't gotten to that point. I still have bladder and bowel control and should forever. Nobody can control their uterine blood flow and monthly cycle naturally.</t>
  </si>
  <si>
    <t xml:space="preserve">3 bowls penne pasta red lentil beyond 3 apples 2 tbs olive oil
(1707.00	80.29	18.00	104.55	163.28	31.88	1050.00)
mozz 1/4 cup
(80.00	5.00	3.50	6.00	1.00	0.00	190.00)
2 donuts white powder after chocolate of roommate's Winco bakery
(480	24	12	4	62	0	440)
mozz/prov blend Good&amp;Gather for 2nd bowl of pasta airfryed
(90	6	3.5	7	2	0	200)
mozz/prov blend Good&amp;Gather for 2nd bowl of pasta airfryed
(90	6	3.5	7	2	0	200)
4 coffee creamers carmel machiato at work with 5th cup coffee
(140.00	6.00	0.00	0.00	20.00	0.00	60.00)
=1707+80+480+90+90+140
=80.29+5+24+6+6+6
=18+3.5+12+3.5+3.5+0
=104.55+6+4+7+7+0
=163.28+1+62+2+2+20
=31.88+0+0+0+0+0
=1050+190+440+200+200+60
</t>
  </si>
  <si>
    <t xml:space="preserve">bowl penne pasta from 7/12/21 yesterday
(569.00	26.76	6.00	34.85	54.43	10.63	350.00)
1/4 cup mozz/prov cheese
(90	6	3.5	7	2	0	200)
1 slice artesan bread
(110.00	1.50	0.00	3.00	20.00	1.00	190.00)
1/4 cup mozz/prov
(90	6	3.5	7	2	0	200)
Gardein vegan beef patty
(210.00	11.00	9.00	20.00	7.00	1.00	450.00)
1/4 cup cashews
(164	13.5	2.5	4.7	8.4	0.9	4)
bowl penne pasta from 7/12/21 yesterday
(569.00	26.76	6.00	34.85	54.43	10.63	350.00)
1/4 cup mozz/prov cheese
(90	6	3.5	7	2	0	200)
=569+90+110+90+210+164+569+90
=26.76+6+1.5+6+11+13.5+26.76+6
=6+3.5+0+3.5+9+2.5+6+3.5
=34.85+7+3+7+20+4.7+34.85+7
=54.43+2+20+2+7+8.4+54.43+2
=10.63+0+1+0+0+0.9+10.63+0
=350+200+190+200+450+4+350+200
</t>
  </si>
  <si>
    <t>Woke up at 6 am and took babies out to pee then laid in bed until alarm went off at 630 am. Princess was crawling all over the place and me and annoying. Couldn't sleep. Did normal routine of coffee and Growly's meds and fed the babies. The area by the sink smelled like something died, so when the roommate got back when making the babies food I had him check it out, he didn't see anything under or around the sink and ran the garbage disposal to see if that was it. We have had a mouse a year or two ago that hid under there and left his mouse droppings but it died and all that was cleaned out when the electricians and the landlord's workers came over to fix the electrical wire they crossed to the next door that caused our garbage disposal not to work. That was fixed at that time. Got some homework to do, a 10 am MLD client, regular client at noon, and a 315 MLD client all local Chino, Norco, Corona. Ankles and ft weren't as swollen this morning, probably got about 6 hours of sleep, my rag isn't heavy yet. Hopefully not at all today until home after work, because I don't like bleeding heavy going to each client mobily or at work. Having to constantly change the pad or leak around my pants from so much blood. Having a little bit more blood early morning and a sm BM after 1st cup of coffee and before measurements and breakfast. Then a 2nd cup of coffee while I read through the lab and finished the exercise 8 lab before showering and getting ready for clients. Had a bowl of pasta about an hour after measurements, should have been the last bowl of the pot, but one more, these bowls were smaller. So the pot actually made 5 bowls, but I will keep it there anyways, because its all approximate. Added the mozz/prov cheese in airfryer, then had 3rd cup of coffee to prevent a headache. Started getting one yesterday at work, but had to leave the 2 hour appointment to get water the last 35 minutes and it helped the aura migraine blinding light kaleidoscope go away 20 minutes later. And no pain in the headache later at home, could be bc I also had a couple drinks. Who knows? Four households and five clients, two were a couples, two were MLD, and one new monthly membership. Got back by 8 pm and did laundry, dishes, notes, broke open the grey goose for a drink, starting to feel like a headache coming on. or aura migraine. Haven't restarted my homework, but the lab assignment part is done and some of the exercises, not the worksheet, but doesn't look difficult, and a worksheet due tomorrow. Hopefully only one, could be more. I will know after I do all my client's soap notes. Only went over the LE slides, 1/3 of them and went to bed. Had a couple vodka ice water total while doing laundry and SOAP notes and receipts and emailing out.</t>
  </si>
  <si>
    <t>pasta 7/14/21 recipe: penne red fennel/beyond meat/cashews/broccoli/olive oil</t>
  </si>
  <si>
    <t>bowl pasta penne 7/14</t>
  </si>
  <si>
    <t xml:space="preserve">3 bowls penne pasta brocc/beyond/olive oil/casews
(1713.75	90.44	19.91	109.65	140.55	28.43	1075.52)
3/4 cup mozz
(240.00	15.00	10.50	18.00	3.00	0.00	570.00)
=1713.75+240
=90.44+15
=19.91+10.5
=109.65+18
=140.55+3
=28.43+0
=1075.52+570
</t>
  </si>
  <si>
    <t>Woke up at 5 am peed, laid in bed till alarm at 530 am, did normal routine, coffee, Growly's meds, fed babies, folded 5 sets of linens, covers, towels, and had to redry some in more than full load. Then done folding by 630 am and made a pot of pasta, red lentil penne/beyond meat/broccoli florets/cashews, found the cashews thrown on bottom shelf behind the pancakes. They were in the fridge, lost them with last recipe, had a bowl rushed with mozz cheese G&amp;G brand Target. Filled in this database rushed, and took measurements, bleeding med heavy and no BM. Have two clients today after work and assignments due, but can upload them partially and then upload the finished assignments for full credit, I believe. Measuring tape was sticking to me bc sweaty, hot and sort of humid. Showered around 745 am after taking measurements in the middle of finishing a bowl of pasta. Makes 4 bowls, 4.5 servings per pkg pasta, and 4 servings beyond meat per pkg. Had a bowl for breakfast with mozz, same for lunch, and late night at around 9pm. I had my MLD client in Eastvale area/Jurupa Valley at 4 pm and then did grocery shopping at Winco to get cat food and water and paper towels and toilet paper, then stopped by the house to change my pad a heavy menstruation day, not super heavy with clots but reg heavy. Then went to my client's in Yorba Linda at 7 pm. Left the house around 635-640 pm. A lot of stop lights to work this morning and at that time in Corona. The one at W Grand and Sixth street was really long turning left onto sixth st from Grand blvd. There are video cameras on all of these street corners too, but the city is directing traffic to make you lose 5+ minutes at each light, was waiting there opposite a firetruck across from me gave me anxiety, did not like it and didn't wear my waist trimmer either today. Not sure if that had anything to do with it, but I really noticed I don't like white males judging me from across the street. Reminds me of white privilege and not a fan. My dad called me on the way to work while merging onto the freeway, saying how he is doing and asked what everyone is doing because nobody checks in with him. I told him I would be able to do his taxes for him if he has all his documents, and he does for the most part. He said my health is more important than staying so busy. My dad is a white male. And I love him. I think I really don't like white males, because I feel like Patrick at work is a little prick that is a big attention seeking baby that gets on my nerves and realized that when I got to work. Every racial group at work seems racist, the Mexicans speak spanish, the Asians the same, and the white people talk about bias news out in the open like its not racist when viewing it on tv in the break room about that time when the blacks were going to get reparations many months ago for ancestral inhumanities their families endured. They are not genuinely friendly people. Most people who go there notice that and don't stick around too long, and not because its not busy. Its because of the workers I am thinking. I did the worksheet and turned it in and took the quiz by 10 pm. Got 10/10 on quiz after watching the video. I also had a vodka iced water before completing worksheet and watching video and taking notes on the things she said. I already knew most of it from genetics and it was on the genetics of protein building from nucleus to cytoplasm and DNA to protein. Went to bed without making the two clients' SOAP notes or receipts around 11 pm. No BM all day nor felt like it nor constipated. Didn't wear waist trimmer, but did eat low sodium and higher protein content and avoided sweets.</t>
  </si>
  <si>
    <t>beyond/broccoli/apples/cashews airfryed pot makes 3 bowls:</t>
  </si>
  <si>
    <t xml:space="preserve">bowl penne pasta
(571.25	30.15	6.64	36.55	46.85	9.48	358.51)
mozz 1/4 cup
(80.00	5.00	3.50	6.00	1.00	0.00	190.00)
gardein patty
(210.00	11.00	9.00	20.00	7.00	1.00	450.00)
broccoli
(31.00	0.34	0.04	3.00	6.00	2.00	30.03)
bowl beyond/broccoli/cashews/apples
(473.67	28.71	7.51	29.53	26.37	6.13	478.01)
=571.25+80+210+31+473.67
=30.15+5+11+0.34+28.7
=6.64+3.5+9+0.04+7.51
=36.55+6+20+3+29.53
=46.85+1+7+6+26.37
=9.48+0+1+2+6.13
=358.51+190+450+30.03+478.01
</t>
  </si>
  <si>
    <t>Woke up at 6 am and laid back down, alarm went off when I was starting to dream and made me really tired. The roommate got home at that time and I let him clean up the pet messes and unload his stuff then got read for the day, made the coffee, fed Growly and the babies, Growly didn't eat his food with meds in it. He isn't feeling well. I put him outside to eat his meds, but he stayed out there 20 minutes and didn't eat it. I need to refill his meds too. I have a 10 am in Chino this morning. Noticed my ankles aren't that swollen today, and almost all gone from ankles. Must have been my super high sodium and sweets filled diet. The pasta I made left out pasta sauce due to the high sodium content. Had a cup of coffee and updated this data base but don't feel like a BM is moving with nature soon. Could be wrong. Maybe a few more cups of coffee. I didn't have one at all yesterday. I will wear my waist trimmer today even though not at work because my waist starts getting big if I don't, and I want to keep it as small as possible with this fibroid. My knee has been hurting yesterday and the day before when it was noticed hurting three days ago after massaging my noon Tue client with knee arthritis, used last of other client's CBD and have the work brand. It works. Yesterday I was doing an hour stretch session, first time, and it was a 230 pound ex athlete guy, and felt something in shoulder like a shoulder pull that turned into a knot. On my break I massaged it with my hand and my massage cane and put some of the menthol Massage Envy sponsored partnership brand CBD body butter on it with biofreeze and used the massage cane and the pain, no lie, went away. I didn't feel it the rest of the day or even now as typing. My client contacted me about her brand that she sells for Amway, but it was to fill out a survey. I asked if she and her husband are going out this weekend bc they weren't on the schedule when she wanted to be a few weeks ago. I saw them there, and then I didn't, but on Square, it usually notifies me when I get a cancellation or edit to the appointment or a new appointment. This time it didn't and was genuinely wondering if she actually scheduled it in when I was certain I saw them there for that time at 515 pm this Friday. Its ok. Not a big deal. Took measurements before breakfast and before a BM. Lost a few pounds, probably was water weight from the diet of high sodium foods. Had a tiny BM before breakfast and 3rd cup coffee. Thought my client was at 10 am, but I got there then checked and it is 4 pm. Shouldve checked first. Was texting back and forth with same client asked many able to massage a day and didn't hear from for a few days, wanting 4 people massaged today if not too late, but unable, she said early Aug. works. Got home and finished the lab exercise 9, that will be quized on evolution. Didn't watch the lecture but reviewed confusing slides, bc of plant seeds predicting for next round simulating next gen being more than seeds started with and initially thinking it was supposed to be less, since the birds ate some. BUt realized it mimicks an assumed equation for evolution based on the seeds left and started with. Tired by 1250 pm. Got the couples tomorrow after all pushed back a couple hours, bc have a regular MLD new one, at their normal time. Will get back late tomorrow, and my 4 pm today, will get back by 6 pm. For brkfst had last bowl penne pasta with the mozz in airfryer, and a gardein patty with about 4 broccoli florets for lunch while finishing assignment on lab. Will have to actually read all the intro material to that lab before being quizzed on it and look at lecture, but need to do the worksheets for the other two sections on evolution&amp;naturalselection and sexual selection. Med mensa flow with some clots, almost med-lt flow but some clots. Can use the smaller pads comfortably. Went to bed around 10 pm and after eating some food I made in the airfryer before my last client's MLD massage. It was beyond meat, broccoli, cashews, and apples. Turned out good. No added spices or seasoning, the beyond meat has its own flavor that I like. I had the linens in the dryer by bed time. All day I ate very little. And ankles weren't as swollen as normal by the end of the day but still had some pressure in R knee. Had 2 vodka ice waters before bed after sending out client SOAP notes and receipts.</t>
  </si>
  <si>
    <t>Woke up at 330 am sweating, turned up AC, and did some studying of worksheet on evolution and ppt slides on evolution and selection in biology, finished that by 530 am and turned it in. I have a quiz on lab exercise 9 and another worksheet due by midnight tonight, but have an MLD client and couples for 1 1/2 hours each after work, won't get to it until late. Had breakfast of the beyond meat broccoli apples cashews made yesterday and warmed in airfryer, 2 cups of coffee and working on 3rd cup, feeling exhausted and tired. Would love a refreshing nap before work and my long day. No BM by the time I updated this at 637 am. Fed the babies and GRowly his meds by dissolving in water and using the previous liquid meds syringe to force feed him it around 545 am. He didn't eat his meds at all yesterday morning and then when I got back from my 645 client around 8 pm he had another lights out event or seizure, hacking and coughing, trying to get his breath while excited to see me and then passing out with a little dog scream before knocked out completely. I had to pick him up all limp and pat his back repeatedly and hold him close until he woke up, then gave his his water pill yesterday. I need to refill his meds, they're low. They don't have one meds for his heart and cannot refill it but do have the other 2 meds. Poor little guy. He is only 12 years old and a little French poodle. On menstruation but lightly flowing. Had 3 cups coffee by the time I took measurements and after breakfast around 545 am. My ankles aren't as swollen as they were few days ago before cutting back sodium but there is still pressure in R knee.</t>
  </si>
  <si>
    <t xml:space="preserve">bowl beyond/broccoli/cashews/apples
(947.33	57.43	15.03	59.07	52.73	12.27	956.02)
=947.33
=57.43
=15.03
=59.07
=52.73
=12.27
=956.02
</t>
  </si>
  <si>
    <t>numberAlcholicDrinks</t>
  </si>
  <si>
    <t>TypeAlcohol</t>
  </si>
  <si>
    <t>wine, merlot</t>
  </si>
  <si>
    <t>wine,organic non-sulfate merlot</t>
  </si>
  <si>
    <t>vodka, Potters brand</t>
  </si>
  <si>
    <t>wine, Predator brand cabernet sauvignon</t>
  </si>
  <si>
    <t>wine, merlot red blend</t>
  </si>
  <si>
    <t>wine, Triveno brand red blend</t>
  </si>
  <si>
    <t>wine, Josh vineyards red blend cabernet sauvignon</t>
  </si>
  <si>
    <t>wine, blackstone merlot</t>
  </si>
  <si>
    <t>wine, red blend beringer</t>
  </si>
  <si>
    <t>wine, rose wine</t>
  </si>
  <si>
    <t>wine, moscato</t>
  </si>
  <si>
    <t>vodka, Grey Goose</t>
  </si>
  <si>
    <t>vodka, Belvedere</t>
  </si>
  <si>
    <t>whiskey, Jim Bean Sour Apple</t>
  </si>
  <si>
    <t>vodka, Kettle One</t>
  </si>
  <si>
    <t>whiskey, Jameson</t>
  </si>
  <si>
    <t>tequila, Jose Cuervo margaritas</t>
  </si>
  <si>
    <t>whiskey, Jack Daniels</t>
  </si>
  <si>
    <t>1 tequila (margarita), 2 vodka (Grey Goose)</t>
  </si>
  <si>
    <t xml:space="preserve">tequila, Jose Cuervo  </t>
  </si>
  <si>
    <t>tequila, Jose Cuervo</t>
  </si>
  <si>
    <t>numberAlcoholDrinks</t>
  </si>
  <si>
    <t>this is a text field for the type of alcohol as wine or type of liquor or beer with brand if known or recorded in notes</t>
  </si>
  <si>
    <t xml:space="preserve">This is the number of servings of alcohol, even though a mug or cup is about 1 1/2 cups it can have 3 mugs filled with wine in a bottle, but the bottle of wine says it is 5 servings not 3. If it is an individual sized bottle, then it is one serving per bottle like the moscato 4 pack individual wines. </t>
  </si>
  <si>
    <t>spring mix salad, 1 cup</t>
  </si>
  <si>
    <t>masago 1 oz</t>
  </si>
  <si>
    <t>bowl triple salmon/springSalad/brownRice/masago/doubleCucumber/doubleGinger/SesameSeeds/SesameOil</t>
  </si>
  <si>
    <t xml:space="preserve">6 corn tortillas Guerrero brand
(300.00	3.00	0.00	6.00	63.00	6.00	60.00)
3/4 cup mozz
(240.00	15.00	10.50	18.00	3.00	0.00	570.00)
bowl poke triple salmon/brown rice/spring mix lettuce/double ginger/double cucumbers/sesame oil/sesame seeds/masago forgot about wasabi
(969.00	46.23	8.83	32.88	104.95	8.13	969.50)
1/4 cup almond milk with cold brew iced coffee
(20.00	1.50	0.00	0.50	1.00	0.50	90.00)
=300+240+969+20
=3+15+46.23+1.5
=0+10.5+8.83+0
=6+18+32.88+0.5
=63+3+104.95+1
=6+0+8.13+0.5
=60+570+969.5+90
</t>
  </si>
  <si>
    <t>Woke up at 530 by alarm, didn't sleep well, stayed in bed until 6 am and got up to complete the SOAP notes and receipts and email out to yesterday's clients, then folded laundry, doing the normal routine of coffee, Growly's meds new way dissolved with water in syringe and force fed to make sure he takes it, and fed babies. Then took measurements cutting into shower time, have to leave by 730 am at latest to get there at 8am, Also cancelled my appointments for the day, don't feel a BM coming along today either, and the lack of sleep and low calories last few days won't help with the coffee thats not working, its stress and lack of sleep, roommate was home last night at 11 pm and kept me from sleeping on time that and Princess and her ear scratching and slobbering all over the bed, massive amounts of saliva chewing her paws like she peed on the bed but didn't. The AC worked great, didn't wake up sweating. no alcohol last night, finished the last worksheet and the quiz in lab half or 3/4 assed it on effort but what was in the slides the last hour before due. I didn't really get that lab even though I went over it, but didn't TBH look at the Lecture recording on it, just the lab manual and the ppt slides. Didn't eat anything else other than the two bowls of vegan beef veggies yesterday for breakfast and lunch. Went to bed around 1230 pm last night but not really because couldn't sleep and looked at clock, it was about 2 am. So probably only got about 3 1/2 hours sleep. On menstruation spotting. Almost done with it, thankfully and my ankles aren't that swollen only a little at malleolas, and the knee still has pressure that was also present yesterday on R knee, but ankles weren't very swollen yesterday after a long day of work and lack of sleep and no BM. Lost 7 pounds of water since last week. Mostly from lower legs and abdomen and thighs. My last two clients are regulars that I like but were also 'no shows' I ate a poke bowl between the two no show appointments that was from ichi poke by starbucks and had a grande cold brew with ice and almond milk only. The poke bowl had 1/2 cup brown rice, with 1/2 cup spring lettuce greens mix, 1 tsp sesame seeds, double ginger or 3-4 tbs, double cucumbers about 1/4 cup or 1/2 cucumber, 2 tbs sesame oil, 3 tbs salmon. For breakfast on the way to work had 3 quesadillas in air fryer rolled like flat tacos the normal style of corn tortillas and mozz cheese G&amp;G brand. Got home early after 2 pm, and did laundry of personal clothes and had an iced water vodka. I know I have studies to do, but lack of sleep or being tipsy ain't going to help. Read-repeat-repeat-... and make flashcards while tipsy, but drowned out the nervous stress while amusing myself with the subject matter. I have been gluten free for last 4 days, still having pressure in R knee that comes and goes, but could be from fluid pushed up from ankles. A little swollen not as bad as before lowering my sodium by more than half the norm and going gluten free. Had a reg solid BM finally after 3 days practically nothing eliminated from food consumed, except that tiny BM 2 days ago. Had the reg BM around 315 pm afer or while finishing the vodka grey goose ice water and updating this database with finding how many drinks and what kind for all days I drank alcohol. I am adding that as a new feature/field/variable and just added them at end of data dictionary to keep track. Did the extra credit lab exercise and sent in that was due today, ate some more rolled quesadillas as an airfryed pizz. In total had 6 corn tortillas, 3/4 cup mozz, and 1/4 cup almond milk with my 4th cup of coffee the iced cold brew from starbucks. My stomach started aching like a tummy ache and thought back to what could it be, maybe the lack of sleep of one serving of vodka ice water 5 hours ago, but it was probably all that ginger I had in my poke bowl. I had the worker put double or extra ginger on my poke bowl. It was a good mix, and thankfully no smelly repulsive red onions in the cucumbers. Its so lazy when they cross mix the ingredients that deep into the bowl. It must have been on the knife when they prep the food, the other day at the Aloha Poke and not this Ichi Poke across the street by starbucks in Chino. Was going to study some, but really feeling exhausted now. Probably just going to skim the slides its 9 pm and a good night's rest is needed.</t>
  </si>
  <si>
    <t>Birds Eye potatoes/sweet potatoes/broccoli/cauliflower shredded pieces, bag is 4 servings, serving:</t>
  </si>
  <si>
    <t>Rainbow's end brand watermelon sorbet 93g serving approx 3/4 cup:</t>
  </si>
  <si>
    <t>Rainbow's end brand Hawaiian Delight Sorbet, 92 g serving approx 3/4 cup:</t>
  </si>
  <si>
    <t>3 cups elbow macaroni plain, calorieking.com</t>
  </si>
  <si>
    <t>pot of homemade mac n cheese with 1/3 cup sourcream, 1/2 cup mozz, 3 cups elbow macaroni, 2 slices American cheese</t>
  </si>
  <si>
    <t xml:space="preserve">alaska cod
(100	0	0	25	0	0	150)
1 tbs olive oil on fish
(120	14	2	0	0	0	0)
1.5 serving veggies 
(75.00	1.50	0.00	3.00	10.50	3.00	390.00)
Hawaiian and watermelon sorbet about 2 cups Hawaiian and 1 serving watermelon
(397.33	0.00	0.00	0.00	98.33	0.00	53.33)
bowl mac n cheese only noodles, mozz, sourcream, and processed cheese 2 slices in pot
(401.00	14.63	9.23	16.13	47.20	2.53	314.67)
1 entenmann's chocolate donut of roommate's
(260.00	17.00	11.00	2.00	26.00	1.00	200.00)
2 flour tortillas
(336.00	8.00	2.00	8.00	54.00	2.00	602.00)
1/3 cup mozz 
(106.67	6.67	4.67	8.00	1.33	0.00	253.33)
2 snack sized almond joy candy bars
(159.33	9.00	6.00	2.00	20.00	2.00	40.00)
=100+120+75+397.33+401+260+336+106.67+159.33
=0+14+1.5+0+14.63+17+8+6.67+9
=0+2+0+0+9.23+11+2+4.67+6
=25+0+3+0+16.13+2+8+8+2
=0+0+10.5+98.33+47.2+26+54+1.33+20
=0+0+3+0+2.53+1+2+0+2
=150+0+390+53.33+314.67+200+602+253.33+40
</t>
  </si>
  <si>
    <t>Woke up at 5 am to the roommate checking on Growly under the bed, then got up by alarm at 530 am, had to get the roommates help to force Growly his meds and his food, but he didn't eat it, and went under the bed. I didn't have the AC on cold last night, so maybe he was too hot. I have it on now. Made the babies their food, my coffee, paid some bills water and wifi internet, balanced checking before that. Had a reg BM while starting 2nd cup of coffee. Folded my laundry from last night that I took out of the dryer and left on my bed before feeding Growly his meds bc we couldn't get him out from under the bed and the roommate was trying. Went to bed last night around 930 pm so probably got about 7.5 hours sleep. Ankles aren't swollen except a little by the malleolas on both sides but only when flexing the feet flexing the plantar muscle or pointing the toes. There is still pressure or fluid in the Right knee that makes it hurt when I lift it up to take pressure off my low back when standing at computer. Not spotting anymore on my rag, so marking this day as not on menstruation. Always have some fluid that sheds a few days thats clear when the blood stops shedding the uterine lining. Growly is still under the bed. Didn't eat his breakfast. I need to get groceries for the house. Only have stuff for quesadillas. Need some vegetables and vegan meat and other low sodium food items. For breakfast made a bag of frozen ready to steam broccoli, potato, sweet potato, and cauliflower veggies with some of the frozen Alaska cod (in air fryer with paprika and parsley seasoning) Ate half of the fish and about a serving of the sodium added veggies. The bag serves 4 and has 230 mg sodium per serving. I can taste the salt. These veggies aren't that great as the steamed broccoli. I made a serving of the veggies and the remaining fish for lunch. I need to get groceries. Had 3rd cup of coffee by the time I took measurements around 710 am. Measurements taken after breakfast and 2 cups coffee. Went to work, ate sorbet from the shop next door to the aloha poke I usually go to. It was a froyo place, but expensive, like most gourmet icecream shops. I never saw it busy, but the prices let me know how they stay open, I did also pile on the sorbet, because I intended to get an acai bowl they advertise on their window, but saw the instant frozen yogurt varieties and they had the nutrition on top of the sorbet flavors. Then went to work and ate my fish and veggies I had left over from breakfast after warming it in microwave in van. Then after work, studied for the Unit 3 exam while drinking 2 cups of coffee almost back to back bc I missed the 4th cup at work eating sorbet and was really tired when I got home not too tired, but needed to wake up a little bit more and focus with roommate's background noise of his normal routines and video podcasts, no flashcards this time while studying, but notejotting key points from each slide on 8X10' printer paper to review, then took exam by 10 pm. She drops lowest, but I don't think I did bad on it. I had an aura migraine 3 hours into studying but it went away after drinking some water, thankfully. I was worried I would get a headache from drinking more coffee than normal and did, but it went away by the time I took the exam. Then by 11 pm was considering going to bed, but remembered that the girls, my nieces, are ok with going to do any of the things for fun I offered on my vacation Aug 2-4th like an Air BnB in LV, Santa Barbara, Sedona AZ, San Diego Wild Animal park, Universal Studios Hollywood, etc. But we didn't confirm anything. I looked at some places while drinking an iced water vodka grey goose and saw a few places, one nice one in Palm Springs, but not certain of the fun things to do in Palm Springs other than the nice pool that would cost $800 for 2 nights including the cleaning and disinfecting fee. Had a reg 2nd BM by 1130 pm. Went to bed after 1230 pm around that time maybe 1245 pm</t>
  </si>
  <si>
    <t>Good&amp;Gather applesauce and berry pouches, 1 pouch:</t>
  </si>
  <si>
    <t xml:space="preserve">bowl mac n cheese homemade
(601.50	21.95	13.85	24.20	70.80	3.80	472.00)
4 applesauce pouches, 3 berry 1 apple unsweetened
(180.00	0.00	0.00	0.00	44.00	4.00	0.00)
=601.5+180
=21.95+0
=13.85+0
=24.2+0
=70.8+44
=3.8+4
=472+0
</t>
  </si>
  <si>
    <t>Woke up at 6 am, but layed in bed until alarm went off and decided to sleep in after remembering what day it was and that no appointments on Monday, just lecture later and work, and how I felt when I didn't use that time last week to catch up on sleep, so slept until about 745 am when I got out of bed, gave Growly his meds force fed as solution then fed babies, cleaned up pet messes, and then made my coffee, and updated this nutrition from yesterday. Got lecture in an hour, going to look at some places to vacation at or shower. Need to go to the grocery store. Ankles look normal and not swollen other than a tiny bit of lyphedema around Left outer malleola. Not a lot of pressure in Right knee. Noticed a waist trimmer bruise and scab on my lower R back side where the boning that is metal is stabbing me while I wear it, but not literally stabbing, just pressing on it, the pieces are coming apart. The waist trimmers are at the end of their life cycle, and still haven't gotten those ones that Amazon sent at a deal in price but time in months. I would have cancelled the order if they would have said the expected delivery. Con artists, said it shipped and took my money, then said the expected delivery was months later at least 6 weeks. I will be leaving them a bad review for that regardless. They should be honest up front. That is an Amazon vendor and he/she needs to let the Amazon prime members know they are not getting this item soon. I am not forgetting. My body is suffering, literally, while waiting for these waist trimmers. Had a reg lg BM after 1st cup of coffee and after updating this database. My abdomen is looking smaller, the belly button isn't sticking out as much from the umbilical hernia from the fibroid making it pop out of my belly button. Measurements taken before breakfast. For breakfast I had the last of the mac n cheese about the bowl and a half, gave the rest to the babies. I also had 3 cups of coffee, listened to lecture, but started having a terrible aura migraine while listening to lecture and took a shower. Then drank water, and went to Target to get groceries, still had a bit of the aura migraine there. Made it home and then took a quick 20 minute nap. I think it is from the brain freeze I got yesterday at lunch time from the frozen yogurt place that I ate it too fast and it made my head hurt bc I was tryying to eat it before it melted while driving to get gas/fuel for van on low and because I over packed the small size frozen yogurt. It hurt badly but went away. After work yesterday I had the migraine hit after the 5th cup of coffee. I didn't want to have a 4th cup of coffee today, because I didn't think it would work, it was making me really hurt, and the aura blinding part went away by the time I started work and I dowened a water, and had 3 of the apple sauce pouches from Target earlier on the way to work. I also had my waist trimmer that is missing good grommets in the middle an inch tighter as it was 2 days ago. But didn't hurt. I started the client but felt like the pain from the headache was going to keep me from finishing the hour and a half and hurts enough to make me vomit but that I would try and see. He was ok with it. During the massage, I was massaging his ubns like he requested and med-firm but only med press used, got to his arms dealing with pain, but it was hot, made me sweat, then the AC came on and gave me chills while massaging him and dealing with my headache. After 15 minutes and finishing symmetrically both sides of ubns and rotator cuffs and arms, I ended session. He understood and got dress after asking if he should. Bc nobody is able to finish the massage. And I know the clients have to book in advance and need the massages. Felt bad, literally, told the front about this before starting him, then 15 min after ending session, they let me know they understood. I went to the bathroom bc I felt like something along with my headache would end up being expelled from my body, it was vomit at the sink in the bathroom. I was able to get 3 vomits out of mostly water and some apple sauce, and then use the bathroom cleaner they had to clean up the entire sink of the vomit that thankfully flushed down the sink drain with the cleaner and the paper towels. Looked clean and left it better than before vomiting in it. Then cleaned up room and drove home. Made it home with the throbbing pain, some traffic, then tried taking a nap with babies from 430 to 730 getting up to move around, feeling pain in L side of head from headache. The aura part gone, when bending down to get something the pressure hurts. Sitting up right doesn't hurt it though. But feel sick, not even 85% healthy. Updated the new weekly assignments. Cut out my schedule earlier before work and scheduled in a 1 1/2 hour couples tomorrow after my new MLD at 9 am the return MLD at 10 am and reg monthly at 12 pm. Will be busy, probably the added stress of side work, work, and daily due datees for assignments in week 5 of 6 weeks of this summer school course added to my headache. Made me worry it was a blood clot moved past my knee, didn't notice the R knee pressure, but it is there, the blinding pain of the headache interferes. I am going to start cutting back on coffee. I had 3 cups today and will leave it there. It is almost 9 pm. Going to start that first worksheet due tomorrow, 2 quizzes on We, 2 wrksts on Thurs, 2 wrksts on Fri, Sat an extra credit due, sun the unit 4 exam and participation board, and an animal flyers assignment of quick research after reviewing all this unit's materials is due on Monday. I looked up an article on that and it said that the trigeminal nerve is responsible for brain freezes and not everybody gets them, but people who do are more likely to get migraines. That sounds about right. It controls body temperature in face or mouth, and to fix it, put a warm drink on upper palate after eating icecream or frozen treats fast. Which is odd that I chew ice all the time about 4 cups to 6 cups a day of ice cubes and never get a brain freeze, but if I eat frozen yogurt, smoothies, or icecream fast, I get a brain freeze. Finished the speciation worksheet and turned it in around 10 pm. Then went to bed a few minutes later, maybe around 1015 pm.</t>
  </si>
  <si>
    <t>Woke up at 6 am, laid in bed until 630 am when alarm went off. A bunch of pet messes to clean, fed babies, then gave Growly his meds, haven't had the other vetmed pill bc out everywhere last talking to pharmacist. Then made my coffee. The residual side pain from headache and around back of head is gone mostly, but still there. Not as much pressure. Took measurements before a gardein patty on Dave's killer wheat bread with 2nd cup of coffee. Long day of clients today. I plan on making it through each servive fine. I will only have 2 cups of coffee for the am and the 3rd bw going to first 3 clients to the 4th client a couples not romantic step daughter MLD post op and her father, both return clients. He gets a 2 hour dt massage. Nice people everyone. I am tight on time bw the first two but can make it, might have to cut first client some. Her address is S Corona and the middle client is Chino and regular is Norco then back to the house to drop off laundry and then S Corona to end the day. A few clients might be trying to schedule in some time, I know one for sure needs MLD. She just had her drains taken out. But she also had those two hard spots on her sides that I told her to ask her surgeon about. She did that Saturday and haven't heard from her yet. By the mid-day saw that she booked for Thursday at 1245 pm. Last for the week until intentionally, bc I need to do well on this week and next week's assignments including 2 finals of a lab and unit material in biology. All the clients were great. Had a bit of a headache in all sessions went away about midday, late to 1st client 10 min, extended 5-10 min late 3rd client, the S Corona traffic took slightly more than the 25 minutes after packing up to leave the 9 am. She signed up is getting Lipo Monday and has 9 more remaining. Had a 3rd cup of coffee on way to 3 pm, by 630 pm had a lame poke bowl without sauce and the dude was stingy with the ginger and tasted an onion hidden in the cucumbers sliced. It is usually somewhat busy there, but the place looked closed. I was the only one other than another guy that came in later. I ate about half of that ahi tuna salmon, cucumber, ginger, brown rice, carrot bowl. Didn't add sesame seeds or sesame oil or wasabi. Then had 4th cup of coffee when getting fuel at the new Circle K I pulled into after the Starbucks drivethre for a grande or tall bc the price on almond milk cold brew, no honey of course. The dying bees from pesticides and windshields of vehicles driving through floral mtn passes, aren't evolving fast enough to survive our manmade products and the honey is not being stocked by the Starbucks anywhere I have been checking into. Had 2 apple sauce pouches throughout the day and last meal by the end of the day was 2 slices DKB with mozz toasted. Did the laundry for first clients and all SOAP notes, planned on the reviewing of the material due Wed tomorrow first, but the HA hit while finishing 4th cup of coffee. Had a half shot GG on ice water, then it went away slightly, but also read through the unit slides and the lab slides due today for the quiz material, will look at the lecture part to take notes after work and/or lunch break. Went to bed around 12`5 am exhausted. No BM all day.</t>
  </si>
  <si>
    <t>Daves Killer Bread, 1 slice</t>
  </si>
  <si>
    <t xml:space="preserve">gardein patty
(210.00	11.00	9.00	20.00	7.00	1.00	450.00)
4 slices daves killer bread DKB
(280.00	4.00	0.00	12.00	52.00	8.00	420.00)
1/2 cup mozz
(160.00	10.00	7.00	12.00	2.00	0.00	380.00)
2 applesauce unsweetened pouches
(90.00	0.00	0.00	0.00	22.00	2.00	0.00)
1/4 cup almond milk
(10.00	0.75	0.00	0.25	0.50	0.25	45.00)
poke bowl, 1/2 last style no sauce, ginger/brown rice/tuna/salmon/cucumbers/carrots
(496.00	31.00	9.95	12.85	42.45	3.40	287.00)
=210+280+160+90+10+496
=11+4+10+0+0.75+31
=9+0+7+0+0+9.95
=20+12+12+0+0.25+12.85
=7+52+2+22+0.5+42.45
=1+8+0+2+0.25+3.4
=450+420+380+0+45+287
</t>
  </si>
  <si>
    <t>Woke up at 530 am by alarm that sounded faint and went back to bed after peeing until 630 am when I got out of bed a couple minutes before the 630 am alarm went off. Finished the last half of laundry after giving Growly his meds hes coughing more, and feeding babies and drinking 2 cups of water, Updated nutrition from yesterday, then took measurements before breakfast. No headache in the morning to start. Felt a little more pressure making 3rd cup of coffee. No BM either but felt like I might have one. Have a client later on tonight at 7 pm. Very nice lady and her cat is a sweety. Had a reg BM after measurements and before breakfast. 2 slices DKB with pouch apple sauce and mozz cheese. At work had 2 slices DKB and 3 apple sauce pouches, and 4th cup my instant coffee and bought/reserved an Airbnb by beach. Then after work used the 2-3 hours to study before leaving for client's house. Cool lady, very nice and friendly, her, her cat, and her hubby and other cats. She is on vacation next week in LV. Her cat is so sweet. Very friendly, comes up and leaves up the stairs when bored. Then says bye. I had another applesauce pouch and 5th cup of coffee on the way there. No headache. Afterwards, got some veggies from Sprouts then went home studied a few more hours and got the quick quizzes on the lab 10 and microbes and fungi. It was whatever. I have a 2nd attempt with the microbes/fungi quiz, but will keep choices made. Seem right. Too much to really comprehend fully in 1-2 days possible. Did the lab assignments from ppt lab 10 slides and answered most questions, except the last ones, before worksheet. None of the worksheet not turned in, bc of the quiz. Probably quizzed on it somewhere. But the zoom meeting wasn't recorded today, so won't really know if there was information on that. I have 4 back to back clients tomorrow that just booked. I am glad they could squeeze in, but might not be able to, in fact, know I won't be able to make it to the 1015 appt in Jurupa Valley from Chino leaving by 1005 am quick style. So will text her tomorrow to let her know. But should get to the 4th one on time. in Eastvale from Jurupa Valley, then will finish studying and completing assignments due. I had a gardein burger after work with DKB bread, forgot about, with mozz cheese. Total of 5 apple sauce pouches, 6 slices DKB bread, 1/2 cup mozz, 1 gardein patty, oh, and while studying 3 chocolate hersheys toffee and almond candy pieces from a month ago still in my drawer under laptop. Went to bed around 1120 pm.</t>
  </si>
  <si>
    <t xml:space="preserve">5 apple sauce pouches
(225.00	0.00	0.00	0.00	55.00	5.00	0.00)
6 slices DKB 
(420.00	6.00	0.00	18.00	78.00	12.00	630.00)
1/2 cup mozz
(160.00	10.00	7.00	12.00	2.00	0.00	380.00)
1 gardein patty
(210.00	11.00	9.00	20.00	7.00	1.00	450.00)
3 chocolate hersheys toffee almond candies
(150.00	9.00	5.00	3.00	17.00	1.00	50.00)
=225+420+160+210+150
=0+6+10+11+9
=0+0+7+9+5
=0+18+12+20+3
=55+78+2+7+17
=5+12+0+1+1
=0+630+380+450+50
</t>
  </si>
  <si>
    <t>impossible meat hamburger patties, 2 per pkg, 1 patty:</t>
  </si>
  <si>
    <t>artesano hamburger buns, 6 buns per pkg, 1 bun:</t>
  </si>
  <si>
    <t>Starbucks brown sugar oat milk shaken espresso, https://www.starbucks.com/menu/product/2123431/iced?parent=%2Fdrinks%2Fcold-coffees%2Ficed-shaken-espresso</t>
  </si>
  <si>
    <t xml:space="preserve">3 impossible patties
(720.00	42.00	24.00	57.00	27.00	9.00	1110.00)
3 buns artesano
(570.00	6.00	1.50	18.00	108.00	3.00	1140.00)
pickles 5 slices approx
(30	0	0	0	8	1	150)
3/4 mozz
(240.00	15.00	10.50	18.00	3.00	0.00	570.00)
3/4 hersheys candy bar
(165.00	9.75	6.00	2.25	19.50	0.75	26.25)
2 applesauce pouches
(90.00	0.00	0.00	0.00	22.00	2.00	0.00)
brown sugar oat milk iced espresso Starbucks 4th and last coffee of day
(120.00	3.00	0.00	2.00	20.00	1.00	120.00)
=720+570+30+240+165+90+120
=42+6+0+15+9.75+0+3
=24+1.5+0+10.5+6+0+0
=57+18+0+18+2.25+0+2
=27+108+8+3+19.5+22+20
=9+3+1+0+0.75+2+1
=1110+1140+150+570+26.25+0+120
</t>
  </si>
  <si>
    <t>Woke up at 6 am but got out of bed at 615 am. Did the dishes, gave Growly his meds, made my coffee, texted client I could be 10 min late to start as Chino to Jurupa Valley not exactly close to travel, then texted nieces back on ability to go to Universal on vacation date and checked out tickets and pricing, non-refundable for exact date. They also want their names on the tickets. The park closes at 8 pm and opens at 9 am. Made a beyond patty in air fryer, both of the packaged patties. Had 3rd cup of coffee after BM. Then took measurements before showering to go to my 4 back-to-back clients this morning. Also folded laundry from yesterday before checking out Universal ticket pricing and texting anybody. Ankles haven't been too swollen last 3-4 days, but did feel knee pressure yesterday in R knee, headaches disappearing, thankfully. Had to pee when taking measurements, and retook measurements on waistline and 2" below BB line and saw they shrunk by 1" and 1/2" respectively due to bladder contents reduced. Ankles aren't that swollen, but not completely gone, and pressure in R knee was not a bother by 5 pm after being on feet all day and before starting assignments due tonight. For breakfast had an airfryed impossible burger, with 1/4 pickles and mozz cheese on artesano hamburger bun, and lunch the same thing after returning from my three clients' back to back Chino MLD, Jurupa Valley MLD and 1 hour reg massage, and Eastvale MLD. My phone apps stopped working completely and couldn't navigate to client's house. Only my phone and messaging worked after logging off the wifi of the last guest's house. Not sure what happened. But they are close to each other but I didn't remember how to get to her house even though I have been there 4 times before, too many turns. I had to call her to get directions. She wasn't upset, but understood. Been busy. Yay! Got my vacation plans still being planned as far as who to get universal studios tickets for. Thats a definite need to know as $124 each and not refundable and must be same day reserved. Had a drink of vodka after my oat milk brown sugar iced espresso from Starbucks bc they again didn't have honey almond cold brew or nitro cold brew either. The airfryed impossible burgers were good, and I have another set I can make in the freezer. They are soy based but thats ok. My apps started working once I got home. I won't be able to take new clients if my apps don't work, bc of the Square app, and Spotify app for music to play in background in session, the massages would be sub-par and I would have to know and need to know why my apps shut off. Had two apple sauce pouches, last of pkg while waiting for my 3rd impossible meat artesan bread mozz burger. Ate that, then finished homework with laundry in dryer. Done with homework by 1010 pm, but slightly before. My skin was itchy from irritation with hair growing in after shaving a few days ago, on Sunday before work I think it always seems like I have a longer morning since I leave at 720 am Sat and on Sun at 820 am. I also had 3/4 of a hersheys plain chocolate bar that was in the fridge since before July. I never ate it, got a 4th of July white chocolate candy bar and another plain chocolate one in fridge as needed. Could also be why skin itched, and saw kitty litter bits from dog paws in bed I had to shake out while sitting in bed to study. Not comfortable, felt like I was slouching and didn't have a big enough butt to sit on, even though I have just enough. Also, my leg got swollen on R felt stiff again, had to stand up. Probably the sodium increase with 3 impossible patties and the 3 artesan yeast bread with mozz. And the chocolate candybar 3/4 of it, and 2 apple sauce pouches that don't have any sodium. Drank a drink and folded laundry after homework to relax. Finished laundry by folding it and putting in a file box in plastic baggies lg sz for the sets without pillow case covers or set drawstring bags before 11 pm. Had that 2nd drink of vodka and made me feel tipsy. I feel more drunk drinking the vodka than the other hard alcohol products like tequila or whiskey and it takes longer to wear off. Same amount as the others. Have more assignments due tomorrow and some extra credit to do but have my schedule blocked for side biz work. I do love my clients, but got to do well in my course work. My skin stopped itching. Yay! Went to bed around 1130 pm. My ankles were back to swollen a lot but not that bad by bed time. Had a lot more sodium today than all week. But not highest amounts consumed in month.</t>
  </si>
  <si>
    <t xml:space="preserve">Woke up at 630 am by alarm, the roommate was getting in. I actually woke up at 530 by alarm but went to bed. I went to bed at 230 am last night after watching the last 2 episodes of season 4 of Handmaids Tale on Hulu. It ended up with June and the ex handsmaids beating to death the commander, Fred, the husband of serena to death after trading him for 22 handsmaids and where he was handed to June in the woods deceiving Serena into thinking he was getting them out to be free, but he was a trader to Gilead and they let June and the girls kill him and hang him on the wall. They then sent his ring and ring finger in an envelope to Serena (maybe bc they wanted to know he had his finger taken off like hers was, and/or to let her know he is dead and/or that she has no reason to be freed from prison and her son will have to be given to Gilead or someone in Canada when born), but she didn't open it because the guard in Canada dropped the envelope after checking the contents. I think that is the last season, not sure. But there was closure, and she didn't get back Hannah her older daughter, there also isn't that much variation to keep viewers like me watching with intent on seeing new content that isn't recycled somehow from some other plot. I gave Growly his meds and fed babies then tried to go back to sleep but just laid there, dehydrated, I drank some of the last bottle of water in the house. I had some in the van that I got after laying in bed until about 715 am and making my coffee and starting the roommates laundry. I plan on cleaning the house today. Where to start. I updated the nutrition from late last night. Small BM after 2nd cup of coffee and before 3rd cup and before breakfast. Took measurements and then planning to start with emptying kitty litter and dusting globs of dust on fans in kitchen and living room, then plan to sweep, mop. Maybe dust other things before sweeping. Good thing this is a small house. The roommate was bitching about being in pain again and to rub his back, but I told him he is going to ruin my energy to clean if I do that and to stop offsetting his negative energy onto me. He shut up because he wants me to clean the house too. I wanted to order some pet sofas they look cute but none that look like the babies won't pee on them, and I ordered sofa and recliner chair water resistant pad covers instead. The chair isn't a recliner but it was the only protective cover on Amazon. Those won't arrive until Wed 7/7/2021. Took a while, didn't eat breakfast but had my 4th cup of coffee around 1230 pm and fed babies after done around 330 pm and started cleaning at 830 am. Lots of dusting on the ceiling fans, the counter tops, the chairs, the sofa and chair that are a pleather the dogs made messes all over, and sweeped, then mopped. The roommate used all my pineSol floor cleaner for mopping floors, I know he put them in his make shift floor spray cleaner so just poured some of those bottles in the mop bin, Didn't get to the bathroom other than just sweeping and mopping and shaking out the dirt from the rugs. I also cleaned the stove top that was a mess, the knobs, the grill, didn't touch the inside of the oven, the stove top took a few hours just for that with 409 cleaner, thankfully we have that back in the stores to clean with. I didn't drink alcohol while cleaning, because I thought I might want to go to the store to get those items from Target like the shower curtain and magic erasers. When I get those I will clean the bathroom. We have cleaner for that. That was a work out. Made a serving of cheese pizza rolls. Just curious if I lost weight through metabolism those few hours. That was 7 hours of cleaning. I just weighed myself and 146 pounds with 4 cups coffee and before eating pizza rolls. I weighed 148.4 this morning. I did sweat some early on with the cleaning the sofa and chair with pleather on them and the mopping. Lost 2.4 pounds, I am retaining water though, my ankles are swellen and left thigh is swollen when I raise my leg. My right foot is fat and puffy too. Most of this weight if from all the high sodium airfryer foods I have been eating and shouldn't be. Went ahead and decided to stay home and popped open the bottle of tequila as I finished the whiskey last night, Jose Cuervo and Jameson respectively. Had one drink by 6 pm, started sipping it anyways. The Jose Cuervo tastes like Raid bug spray over ice. I never had Raid, but it tastes like toxic poison of some sort, or like sunscreen, that taste when you put it on your lips and it soaks into mouth. Had 9 cheese pizza rolls, a zuchini in the airfryer with parm and olive oil and 3 drinks total of tequila while watching Savage State. Interesting while drinking tequila. Also, had 4 fruit snacks, fireworks started around 8 pm in the neighborhood. The roommate went out to get some model figurines at the store around 630 pm, or earlier and wasn't home by the end of the movie at around 840 pm. I updated this database before bed and finished around 9:30 pm. Didn't eat many calories because my first meal was at 345 pm. But I also had a late meal last night and only about 3 hours of sleep because I stayed up late. I didn't feel tired while I was cleaning or afterwards at all. Good thing I wasn't at work like that. I plan on sleeping soon, groggy a bit from the 3 drinks in last few hours 2-3 hours, more like 3+ hours started drinking ago and stopped by 830 pm or earlier. There are fireworks going off all over the neighborhood, I might not be able to sleep, but maybe I will. Loud mortar ones from the area diagonal and back neighbors house towards 7th street, on 7th street and that little alley street. I think its the neighbor whose dog kept getting out. I haven't seen him around lately, hopefully its alive, when I drove by a few weeks ago I didn't see it either. I was seeing it for a few months just roaming the neighborhood, it would stick to the sidewalks and our block. </t>
  </si>
  <si>
    <t>poke double salmon, brown rice, 4x ginger, 4x cucumber, wasabi, masago, sesame seeds, no sesame oil</t>
  </si>
  <si>
    <t>Welch's grape jelly 1 tbs:</t>
  </si>
  <si>
    <t>Jiffy creamy peanut butter 2 tbs:</t>
  </si>
  <si>
    <t xml:space="preserve">2 almond joy snack sz candies
(159.33	9.00	6.00	2.00	20.00	2.00	40.00)
1 bun
(190.00	2.00	0.50	6.00	36.00	1.00	380.00)
1/4 cup mozz
(80.00	5.00	3.50	6.00	1.00	0.00	190.00)
1 impossible patty
(240.00	14.00	8.00	19.00	9.00	3.00	370.00)
1 tbs grape jelly
(50.00	0.00	0.00	0.00	13.00	0.00	10.00)
2 tbs peanut butter
(190.00	16.00	3.50	7.00	8.00	2.00	140.00)
4 slices DKB
(280.00	4.00	0.00	12.00	52.00	8.00	420.00)
1 double salmon poke bowl, brown rice, masago, wasabi, extra ginger 4x amt, extra cucumber 4X amt, sesame seeds, no sesame oil
(677.33	17.73	4.63	29.81	98.38	7.73	888.17)
4th cup coffee at lunch with poke bowl
brown sugar oat milk shaken iced espresso Starbucks grande
(120.00	3.00	0.00	2.00	20.00	1.00	120.00)
=159.33+190+80+240+50+190+280+677.33+120
=9+2+5+14+0+16+4+17.73+3
=6+0.5+3.5+8+0+3.5+0+4.63+0
=2+6+6+19+0+7+12+29.81+2
=20+36+1+9+13+8+52+98.38+20
=2+1+0+3+0+2+8+7.73+1
=40+380+190+370+10+140+420+888.17+120
</t>
  </si>
  <si>
    <t>Woke up by alarm at 530 am but got out of bed at 6 am and cleaned a bunch of pet messes, made my coffee, gave Growly his meds in his food when feeding babies, then looked at stuff online wanted to order new mattress covers/protectors and pillow cases, pillows, and linens for the airbnb to use instead of theirs, but target isn't storing items and empties carts. I have to go in person. A Costco card sounds great though. I had a reg lg BM after 2nd cup of coffee and before breakfast, the last impossible burger on DKB, no mozz. Didn't want to open a new bag, the roommate ate the rest of my other bag. Have to get them from under the vegetable drawer. Need to make the beyond meat with vegetables today, likely after work. Only an hour went by thats why it feels like I didn't do anything really. Have homework and a 6 pm zoom meeting in biology for questions and answers type session. Probably will leave it but don't want to disrespect the instructor, if nothing happens like the Q&amp;As in genetics zoom meetings. But they do ask questions, so thats good. Three cups coffee before showering and leaving for work. At work had a double salmon poke bowl from ichi poke with extra ginger, extra cucumber, sesame seeds, masago, wasabi, no sesame oil this time or spring salad and with a brown sugar, oat milk shaken espresso from Starbucks. After work, had a PB&amp;J after a shot of vodka on ice water around 5 pm, the sandwhich late into finishing assignments, and after listening to 1 1/2 hours of the review on plants and animal biodiversity live zoom extended session with instructor and only 2 other females. Finished up around 10 pm all the homework and had another vodka ice water and went to bed by 11 pm. I also had 2 almond joy snack size candies while listening to lecture.</t>
  </si>
  <si>
    <t>Woke up at 530 am by alarm, did dishes, made coffee, fed Growly his meds in the food I feed him with the babies, then made some vegan meat beyond defrosted from freezer with pears, red and green bell peppers, and a zucchini and cashews in the pot on the stove, too much for airfryer. Updated this data nutrition as it cooked or stewed. Alarm went off to get ready for work and was on 2nd cup coffee, didn't eat breakfast, and took measurements before having a BM or having breakfast. Had a BM before getting ready for work and eating breakfast at work or on the way to work, 2 slices DKB as sandwhich with beyond meat/pears/peppers/cashews meat. Brushed teeth and washed face, no time for shower. Put deodorant on, I don't sweat as AC on and haven't worked out in 6 months. Ordered more stuff on AMazon of tshirts and pair blue jean shorts, yesterday the mattress covers and clean linens queen size and 2 pillows. Made sure I would get the order soon unlike the waist trimmers I am still waiting on. Went to work ate the other 3/4 bowl of the beyond meat and veggies made this morning, and another after work. Had 2 slices DKB with lunch, and an artesan bun with dinner bowl and 1/4 mozz. Also 3 snack sized almond joys. Had 4th cup instant coffee for lunch. Had the last of vodka ice water after work around 3 pm, and a patron over ice around 430 pm and watched the 'midnight in the switchgrass' movie that was 90 min long. Actually, I worked out 25 minutes on hams/quads/triceps/chest at UFC gym 40 lbs on hamstring curl machine, quads extension leg machine 40 lbs, abductors 40 lbs outer thighs, back/latts pull down machine 60 lbs, adductors 50 lbs inner thighs machine, 20 lbs on tricep extension machine, 55 lbs on chest, and 65 on squats standing barbell, since I haven't been in months, but have been paying for 5 months without showing up. Then went home and had the last of the vodka and the 2nd bowl in the airfryer of veggie beyond mix made this morning. There is an extra credit due today no a scavenger hunt I will look at. But it will be too late to find any of the items on it. I can still do it later and get 50% credit on the extra credit. Need to study too. The unit 4 exam is due tomorrow, but she drops the lowest grade, I could at least make notes and study. Doing laundry. My right arm was cramping up at the end of work and at home. Like out of circulation but just a cramp, like maybe low on magnesium or phosphorus or minerals to pump blood. A throbbing pain that feels like its asleep almost. Went to bed around 10 pm.</t>
  </si>
  <si>
    <t>UFC gym McKinley
abducturs outer thighs 3 sets 12 reps 50 lbs	
adductors inner thighs 3 sets 12 reps 40 lbs	
squats 3 sets 12 reps barbell 45 lbs + 20 lbs added 10lb disks green Olympic
tricep extension cable 3 sets 12 reps 20 lbs
hamstrings curl machine 3 sets 12 reps 40 lbs
quads with leg extensions sitting 3 sets 12 reps 40 lbs
bench press 3 sets 6 reps barbell 85 lbs	
back latts pulldown machine 3 sets 12 reps 60 lbs</t>
  </si>
  <si>
    <t>1 vodka Grey Goose, 1 patron tequila</t>
  </si>
  <si>
    <t>pot of beyond meat, zucchini, 3 pears, red bell pepper, green bell pepper, 1/2 cup cashews, makes 3 bowls:</t>
  </si>
  <si>
    <t xml:space="preserve">3 bowls beyond meat zucchini red green bell peppers pears cashews
(1617.00 86.70	22.90	90.90	132.70	32.20	1420.40)
4 slices DKB
(280.00	4.00	0.00	12.00	52.00	8.00	420.00)
1 bun
(190.00	2.00	0.50	6.00	36.00	1.00	380.00)
1/4 mozz
(80.00	5.00	3.50	6.00	1.00	0.00	190.00)
3 snack size almond joy
(239	13.5	9	3	30	3	60)
1 reg hershey's candy bar
(220	13	8	3	26	1	35)
1 pear
(103.00	0.20	0.10	0.70	27.50	5.50	2.00)
=1617+280+190+80+239+220+103
=86.7+4+2+5+13.5+13+0.2
=22.9+0+0.5+3.5+9+8+0.1
=90.9+12+6+6+3+3+0.7
=132.7+52+36+1+30+26+27.5
=32.2+8+1+0+3+1+5.5
=1420.4+420+380+190+60+35+2
</t>
  </si>
  <si>
    <t>Woke up at 530 am by alarm, and got out of bed by 545 am, made the babies their food, no pet messes to clean, the roommate was here last night, and made my coffee. Folded my laundry and updated this database. Not sore from working out yesterday, because I went light. I didn't want to overdo it. Had a lg BM while finishing up 1st cup of coffee and before 2nd cup of coffee and breakfast. Measurements after BM and 1st cup of coffee and before breakfast. I have to make another pot of veggies and beyond meat. When making this pot of beyond meat veggies pears, I realized why my right forearm started cramping yesterday, it was from using arm turning power on forearm muscles I never use to stir the pot and mix in raw meat with veggies distributed evenly. That's a relief, thought I was getting carpal tunnel and got paranoid. But its just muscle fatigue, which is also bad, I shouldn't be getting that fatigues over 2 minutes of heavy stirring. But it will go away so thats ok. Not planning on working out today, and will study for the unit 4 exam, but slacking bc it could be the exam that is dropped or will push a different exam to get dropped. All this extra credit got me thinking I shouldn't really worry. I am on track, so that's a plus like always. I thank my abusive grandparents for that shit, since a little girl to study, study, study and do my homework, and be whatever I want to be, and don't rely on anybody else. They are considered abusive by today's standards with the corporal disciplines and the switches and belts. That ended by 1st to 2nd grade, but geeze to be 4-8 years old getting a switch or belt across the butt hurt both physically and emotionally. I still don't care for them but do love them. But know who they were and what type of society they were a part of. Didn't eat breakfast by 720 am but probably will at work. Had some pieces of the pears I put in the pot of same food made yesterday, but with 2 instead of 3 pears. They are delicious and sweet and juicy. When I go back to Sprouts to get them, they will probably be a new batch that isn't ripe, too hard to bite into or old and bruised. Those would have been better for stewing with the meat, as not that great to eat. I am impressed with those pears, danjou red green type. I am not certain what type. Showering before work. I ate the bowl of vegan meat and veggies for lunch then had a bowl at the frozen yogurt shop of the watermelon sorbet a true serving of 3/4 cups with toppings this time of strawberry, blueberries, mangos, and coconut flakes and my added honey in van with a 4th cup of instant coffee. Then after work had a 5th cup of coffee, no alcohol all day. Was going to steal some from the roommate like I did last night with the patron but he was sleeping and I was already in study mood with 5th cup of coffee when he got up. He did yard work and put rocks that were holding tent gym up out onto the drive areas. I finished the assignment and commented and voted for classmates' animal flyers of 2 pages we were to do that is due Mon by 1159 pm on lab 12 animal biodiversity. I took the exam by 1015 pm approximately after briefly studying for it. Noticed after the exam that the exam 3 isn't graded but I have an A- before hand, and that the other 2 exams are graded and downloaded by copy and paste the questions, my response, and correct responses to word to save to study for the final this Thursday. A lab final this wed, and we have to finish a lab assignment on the descriptions of each classmate's animal flyer to our lab manual worksheet and turn in. I need some things at Target for the vacation and for the house because I ran out of food. I ate the entire pot of vegan meat and veggies last night and later in the evening while studying and before exam 4 had the last of the eggs that have been in the fridge at least a month, as hard boiled, 4 of them with black pepper and paprika. I started getting sore from my workout at work to squat to use potty to pee, then started feeling the muscle aches catch up to me throughout the day in arms, glutes, hams, some in the quads as pressure around the knees, added pressure to the already feeling it knee on R side. and some in triceps. Went to bed around 1130 pm.</t>
  </si>
  <si>
    <t xml:space="preserve">pot of beyond meat/zucc./2 pears/1/2 cup cashews/red bell pepper/green bell pepper
(1514.00 86.50	22.80	90.20	105.20	26.70	1418.40)
4 eggs boiled
(280.00	20.00	6.00	24.00	0.00	0.00	280.00)
1 serving watermelon sorbet
(120.00	0.00	0.00	0.00	29.00	0.00	16.00)
1/8 cup strawberries
(6.25	0.00	0.00	0.00	1.50	0.25	0.00)
1/8 cup blueberries
(5.25	0.00	0.00	0.13	1.63	0.25	0.13)
2 tbs honey
(120.00	0.00	0.00	0.00	34.00	0.00	0.00)
1/8 cup mango
(13.38	0.00	0.00	0.13	3.50	0.38	0.38)
1 white choc hersheys candy bar full size while completing the animal flyer
(220.00	11.00	7.00	3.00	29.00	0.00	75.00)
=1514+280+120+6.25+5.25+120+13.38+220
=86.5+20+0+0+0+0+0+11
=22.8+6+0+0+0+0+0+7
=90.2+24+0+0+0.13+0+0.13+3
=105.2+0+29+1.5+1.63+34+3.5+29
=26.7+0+0+0.25+0.25+0+0.38+0
=1418.4+280+16+0+0.13+0+0.38+75
</t>
  </si>
  <si>
    <t>orowheat oatbread, 1 slice</t>
  </si>
  <si>
    <t>vanilla honey greek yogurt, 3/4 cup serving</t>
  </si>
  <si>
    <t>G&amp;G mozz/parm shred cheese, 1/4 cup serving</t>
  </si>
  <si>
    <t xml:space="preserve">2 eggs airfryed
(140	10	3	12	0	0	140)
2 slices orowheat oat bread
(220.00	4.00	0.00	8.00	38.00	4.00	270.00)
1/4 cup mozz/parm G&amp;G target brand
(100.00	6.00	4.00	8.00	2.00	0.00	280.00)
4 lg slices of bella mushrooms
(8.00	0.40	0.40	1.20	0.80	0.40	4.00)
1/2 cup vanilla honey greek yogurt
(120.00	4.00	2.00	9.33	12.67	0.00	33.33)
brown sugar oat milk shaken espresso Starbucks
(120.00	3.00	0.00	2.00	20.00	1.00	120.00)
6 slices bella mushrooms
(12.00	0.60	0.60	1.80	1.20	0.60	6.00)
1/4 cup cashews
(41.00	3.38	0.63	1.18	2.10	0.23	1.00)
2 beyond meat patties
(520	36	10	40	10	4	700)
4 slices oat bread
(440.00	8.00	0.00	16.00	76.00	8.00	540.00)
serving 3/4 cup vanilla honey greek yogurt
(180.00	6.00	3.00	14.00	19.00	0.00	50.00)
=140+220+100+8+120+120+12+41+520+440+180
=10+4+6+0.4+4+3+0.6+3.38+36+8+6
=3+0+4+0.4+2+0+0.6+0.63+10+0+3
=12+8+8+1.2+9.33+2+1.8+1.18+40+16+14
=0+38+2+0.8+12.67+20+1.2+2.1+10+76+19
=0+4+0+0.4+0+1+0.6+0.23+4+8+0
=140+270+280+4+33.33+120+6+1+7+540+50
</t>
  </si>
  <si>
    <t>1 shot Jameson Whiskey, 1 shot Patron Tequila</t>
  </si>
  <si>
    <t>Woke up before 630 am and got out of bed sore from working out the other day. Gave Growly his meds, he keeps coughing a lot now that we don't have the vetmedin pill and it is difficult to get. I stopped trying, and today gave him 2 of the water pills to see if it helps. He is supposed to have 1 pill every 12 hours. Hopefully, it helps but i probably should just give him 1 pill every 12 hours like the vet advised and described by labeling on the medication. Fed the babies and had 2 cups of coffee and a lg BM after emailing the TX dept of lic and reg for my massage license app and the CAMTC about the latest needs I communicated with both a few weeks ago around the 15th and 16th of this month. It is now the 26th of July Monday. My lecture for last week and finals week of biology is at 10 am. I want to go to Target and get items on my shopping list before it starts. Didn't eat breakfast and drank 3rd cup of coffee while taking measurements. The weather at 7:40 AM says it is going to rain today and humid in the high probs of 80-90%. We will see if that is true as the day progresses. Went to Target to get the vacation items and makeup, feeling the mist from the rain and humidity, spent more than normal and got food, but used cash and the rest on card. The workers looking at me with my trench coat trying to look like they aren't judging me into a thief with my dress, trenchcoat, girly pink headband, knee high socks, booties with heels and glasses on, but I know they think they're stealthily trying to see if I steal. Its unnerving but whatever, I already wrote off the Norco one for the same reasons of prejudice and harassment. I got the makeup, mascara, eyeshadow, lipsticks, nailpolish, a face cream, a couple tanning banana boat brand sunscreens that are aerosol spray ons, a bottle of coconut clorox wipes, a bottle of clorox 409 spray or 409 spray, some dryer sheets, some plastic throw away bowls for pups when I am gone a couple days, their pricier generic paper towels, toilet paper, some vegan meat, impossible grill patties, beyond grill patties, couple beyond meat pkgs, some bella lg sliced mushrooms, almond unsweet milk almond breeze brand, some beach towels, cheap green flip flops, bathroom hand towels/bath towels/hand rags for trip and cheap pillow for roommate jealous of the pillows I ordered yesterday on Amazon, and forgot water. Checked out an individual size keurig machine for $70 and skipped on buying it. Maybe next time indiv keurig with the box of 24 kcups for 48 bucks. Still debating that one. I also got fuel from the Circle K on the way turning Left on the unprotected green arrow at the light that was forever green in the straight direction, on the way to Target decided better and turned right onto foothill then made uturn to go straight to sidestreets to S Corona Target, made it back before lecutre about 20 min, but put groceries away and made breakfast while watching lecture. 2 eggs airfryed with 4-5 bella mushrooms and 2 slices of the oatbread just bought at Target and some mozz/parm airfryed cheese on the toast the Good &amp; Gather Target brand just bought. Got the eggs at Target, also had about 2/3 serving yogurt vanilla honey flavored greek yogurt. It was good. Got a pint of that and curbs my sweet tooth. Finished lecture and then saw my boss wanted me to call her. I forgot I had the day off Thursday and she asked me to work, I said yes, until she told me about the lady that is Michael's client that said when I massaged her 3-4 weeks ago how unprofessional I was for saying his pressure couldn't be that good due to his 'many' health conditions (I only know of 1-his kidney disease bc he tells everybody about it when chatting in the break room and he still drinks coffee and creamer from the keurig machine and fatty fried foods) and how I saw him sitting in the back a lot, when she wanted me to use more than my firm Swedish hands only bc she didn't want elbows. That it was unprofessional and upset (that bitchy karen client not her words) her, and it offended me to have to listen to it, but that we shouldn't have to talk about any of our coworkers and that she thought it was negative. I told her ok not a problem but due to my health conditions I cannot take the emotional stress of those types of clients I usually get when I pick up a shift and decided not to work that Thursday to make room for my Manual Lymphatic Drainage clients that expect that day to be open. So she took me off the schedule for those hours I just added before hearing the vile complaint. Some clients are just cunts and I knew she was when I talked to her, she twisted the words around. She can be right, but it does effect people. The older generations think everybody else is entitled when they are the ones walking around entitled and thinking they get more done by voicing their opinions. She could have told me right there she thought differently. I asked if we could end the session instead if the pressure or modality used isn't what client expects and my boss said no bc it should be up to the client to end session when that happens (and we will get talked to about it by her). She understood bc I told her I didn't want to get burnt out which is what it does working for clients who don't appreciate me and only want to get into a massage and need to criticize my work, except not the last part it goes without saying. This upset me. I went to Starbucks and got my 4th cup of coffee. Was going to take a nap before work but still upset and will do my homework and study for the lab exam and final exam this week. I only have one regular tomorrow at noon. She is super cool and going to be on vacation for 3 months in Alabama after this Tuesday's massage and our account will be even or squared up. I do still owe one couple a couples massage on their family membership monthly plan and 5 MLD massages each to 3 clients post op BBL. They do always get massages on Tue/Thur.  They book late, so I will be ready. I have it in a separate account. My last check wasnt as big, but my side work made up for it with my massage biz. I still have money on the credit card and a few hundred in the savings is my earned money to spend. Paid Target with ATM, $130 cash and $157 atm/debit card. Didn't wear a mask at Starbucks by my house but was able to distance from others not wearing masks, not as many people not wearing masks as I would think, but about 45% not wearing to 55% wearing between all people including workers in Starbucks. When I was waiting for my drink in the Starbucks lobby, I called the Vet my dog goes to to ask about his meds he has been unable to get and if they had it. The lady said the vet would be in tomorrow to approve or not making the larger mg vetmed for my pup who is having difficulty breathing, his lung cavity is rising higher and more frequently and he's coughing more when excited. I can call back tomorrow if they don't call me today to check on the order. She said that she was going to ask another doctor there to see what can be done earlier for my baby who is struggling to breath. An eventful day nonetheless. At work had a beyond meat burger patty on oat bread plain with a serving of the vanilla honey greek yogurt. Left early as the last client was a no-show. Updated my last blog to include why I will not massage anyone who feels the need to refer to a licensed massage therapist as a masseuse and the explanation. That lady who complained about my unprofessionalism about her LMT's health condition made me think about our session 3-4 weeks ago on the way to work, and I remembered her, she was one that used masseuse instead of massage therapist in dialogue with me on my experience as a 'masseuse' and I told her I am a licensed massage therapist, and she asked what the difference was, and I told her the bad connotation masseuse has with human trafficking or idiots and ignorant people who cannot do anything else in their life due to lack of education and experience and use massage to do illicit or illegal activities implying their prostitutes. And that as a licensed massage therapist I uphold a set of behaviours and standards, use my experience in addressing soft tissue aches and pains with my experience and education in a trained and accredited school of massage to address those issues and alleviate pain for a client and that I pass background checks on character and pay a biannual fee for licensure, have liability insurance, uphold standards, etc. and she still used masseuse but was defensive about it. She also told me how successful her children were and how some are in different professional graduate programs or the westpoint academy, and she works in finance for some city, but I forget which city, and that I asked is she has finance certifications like series 7 and why a city needs finance personnel, and she said she does their accounts receivable/payable as an accountant but its still finance because the city is a business that needs it. She upsells herself and shows disrespect for her massage therapist she wants to establish a power dynamic similar to the unspoken heirarchy of lighter and richer class of people have more power over the darker and poorer people in an argument when calling the cops for arrests or basically a Karen. She was obviously butt hurt about being corrected on disrespecting my profession and my skills to put myself in a lower heirarchy so that she could have some entitled right to talk down to me or talk disrespectfully and have me listen like an obedient and scared slave. Because that is what 'Karens' do even though she isn't white she is tapping into that power dynamic stream and source of fulfillment. She obviously has some regrets in life and needs to feel like when she pays for service she is treated like a slave owner or queen, but knows she's not British White so will take the lesser entitled role of slave owner. Whatever, I put that in my blog. As updating this database, I have had a Jameson whiskey over ice water and a tequila on ice. and reviewed discussion boards and material to prep for taking lab exam 2 and what to study, need to review the animals and complete that worksheet and the ecology ppt slides and familiarize self with all the images in ppt lab slides from 8-13 of the exercises or chapters. Didn't flip the actual text book to this course at all, as not needed, goes off the ppt lectures. When I was home after the drinks had the airfryed mushrooms ~5-6 and 1/4 cup cashews. Also, before starting the drinking had to clean up some messes, poor Mr. Growly was having his coughing attack and I patted his back and held him to calm him down, he peed on me, I had to disrobe and then put all linens and clothes in wash and clean up mess. He passed a couple turds and pee as he was almost unconsious but awake and alive thankfully. Poor little guy. I need that meds he needs vetmed and waiting on the pharmacy at his vet to provide it. I have to call them tomorrow for it. He is doing better now, 2 hours later. He really is a sweetheart. I know that his soul is valuable, and if he is put to sleep he will be somebody's great puppa baby or human baby for his great servitude in his role as pet dog to love and obey owner human, and he will be happy. He is hanging on to Princess and making her happy, always trying to lick her ears to help with her itch that she has from the yeast in it. She has had that forever. I would use the apple cyder vinegar but he always licks her ears, and don't want to make him sick. I have my client tomorrow at 12 pm. She is a nice lady. The airfryed mushrooms and cashews aren't bad while drinking. I did burn the cashews a little as they were in at 375 degrees for about 13 minutes. I forgot about them as updating this database while digesting 2 alcoholic drinks in last 1 1/2 hours. Went to bed around 12 am.</t>
  </si>
  <si>
    <t>wetzel pretzel bites in bag, but overfilled, probably not accurate, 1 bag is a serving but seemed like 1 1/2 servings, fatsecret.com</t>
  </si>
  <si>
    <t>white sharp cheddar happy farms aldi brand, serving is 1 oz, 8 per pkg, block cheese</t>
  </si>
  <si>
    <t>mozzarella block cheese happy farms aldi brand, serving is 1 oz, 16 per pkg</t>
  </si>
  <si>
    <t>colby jack 1/2" cubes happy farms aldi brand, serving is 7 cubes approx 1 oz, 8/pkg</t>
  </si>
  <si>
    <t xml:space="preserve">wetzel reg/lg bag of soft baked unsalted pretzels with added butter
(450.00	11.00	2.00	9.00	80.00	3.00	360.00)
snack cheese sauce for pretzels
(152.00	11.60	5.20	5.80	6.00	0.40	722.00)
serving vanilla honey greek yogurt
(180.00	6.00	3.00	14.00	19.00	0.00	50.00)
5 cubes colby jack cheese airfryed
(450.00	11.00	2.00	9.00	80.00	3.00	360.00)
1/4 cup mozz chunks airfryed
(80.00	6.00	3.00	7.00	2.00	0.00	190.00)
1/4 cup sharp white cheddar airfryed
(110.00	9.00	5.00	6.00	1.00	0.00	180.00)
5 lg bella mushrooms airfryed
(10.00	0.50	0.50	1.50	1.00	0.50	5.00)
brown sugar oat milk shaken espresso Starbucks 4th coffee after noon massage
(120.00	3.00	0.00	2.00	20.00	1.00	120.00)
gardein vegan patty
(210.00	11.00	9.00	20.00	7.00	1.00	450.00)
2 slices oat bread
(220.00	4.00	0.00	8.00	38.00	4.00	270.00)
1/4 cup mozz/parm G&amp;G brand
(100.00	6.00	4.00	8.00	2.00	0.00	280.00)
serving yogurt vanilla honey greek
(180.00	6.00	3.00	14.00	19.00	0.00	50.00)
=450+152+180+450+80+110+10+120+210+220+100+180
=11+11.6+6+11+6+9+0.5+3+11+4+6+6
=2+5.2+3+2+3+5+0.5+0+9+0+4+3
=9+5.8+14+9+7+6+1.5+2+20+8+8+14
=80+6+19+80+2+1+1+20+7+38+2+19
=3+0.4+0+3+0+0+0.5+1+1+4+0+0
=360+722+50+360+190+180+5+120+450+270+280+50
</t>
  </si>
  <si>
    <t>Woke up at 509 am and got out of bed around 530 am, cleaned pet messes, made coffee, had BM reg sz after 2nd cup. Had a 3rd cup while filling in the animals worksheet due today from the classmates' individual phylum or class. Didn't finish it. The roommate came home and Growly had a fainting coughing peeing self spell. We decided to put him down or see a vet for other options. Called around and didn't eat breakfast but finished 3rd cup coffee while the roommate held onto Growly while laying in bed waiting for the veterinarian we go to to open at 8 am. I called and they said appointment only, I called around and the same thing everywhere even emergency vets, that have opposite hours a clinic, from 7pm-8 am and could have taken him there first but by the time I called them an hour after the roommate went to lay in bed and hold Growly, they were getting ready to close. We took him to normal spot and got his vetmedin and $260 later the other 2 refills, an emergency visit and shot of lasix with a different vet's educated discussion on what is wrong with him, and he thinks he'll improve but can't give a time span on life left, bc the little guys often get those heart conditions but don't show symptoms and die in sleep from the heart murmer/ atrial valve malfunction. I got the roommate to pull over at wetzel's pretzels and got a bag of snack pretzels with cheese, high sodium, but not counting it now. Will have to cut back on other sodium the rest of the day. Thought I would be late or have to cancel for my regular's last massage until she goes to AL for 2-3 months, but made it back in time to do more laundry and shower and set hot packs to heat so they will be ready by the time the appointment starts. Measurements after shower and after getting dressed. Did studying when I got home from Starbucks 4th cup for then as brown sugar oat espresso and a 5th cup for later around 9 pm of plain cold brew. All Starbucks are out of honey and other ingredients for their cold brew specialties. Went to Aldis and got some bottled moscato and merlot and some block cheese to air fry. This old Armenian misogynist new to me customer I had at ME the other night told me about how to fry cheese, and I tried it and it didn't work, but still tasted good with mushrooms in airfryer. Did some studying and note taking of labs from 3 pm till about 10 pm when I went to bed. Did the laundry while studying but no time to fold so kept running dryer cycle. No alcohol all day/night. Had a gardein oat bread plain sandwhich for dinner and some yogurt. Ankles weren't that swollen from the high sodium wetzels ate earlier or the studying on my feet and sitting at desk but noticing when I have to pee and sitting my knee pressure is more intense on R knee. At the end of the night I noticed a tiny bit of fresh blood when urinating, and again later, but was gone by the morning. Just noting it here. I just ended my rag about 2 weeks ago, right? 16 days since.</t>
  </si>
  <si>
    <t>roommates ricecakes, 1 ricecake:</t>
  </si>
  <si>
    <t>patron both servings</t>
  </si>
  <si>
    <t>Woke up at 530 am by alarm, cleaned pet messes, made coffee, fed Growly his meds all of it 3x lasix now as a new change the water pill, and got the vetmedin finally 2x day and 1x the other pill. His cough is much less than before and he doesn't get too excited. Folded laundry I ran in dryer 3-4 times yesterday too busy to fold and didn't want wrinkles. Still haven't unpacked vacation stuff or washed it to get chemicals off, and there is about 2 loads of that to wash and dry before Sunday. Got a lab exam due before midnight tonight to study some more for and review a hopefully recorded lecture the last for the week that could help with the exam and the final. All assignments turned in. Checking my logins for SCUHS, Nebula, and TDLR TX massage licensing, and emailed nebula to find out after 3 months when my sequence would get here, by emailing an old email as a reply with question. Didn't login to the account for my kit but my kit number is in the email. Had a reg lg BM after 1st cup of coffee and finished 2 cups of coffee while updating this database. Then breakfast, and measurements. Took measurements after breakfast of the other gardein patty I airfryed yesterday reairfryed to warm up with a couple slices oat bread with mozz/parm airfryed on it, and 1/2 cup vanilla honey greek yogurt. I am losing some off inches along waistline and fat caliper measurements. It could be the greek yogurt and/or bella mushrooms airfryed. I will have to check that out, or else metabolism picking up after 3 days rest from workout. I need to go back to the gym to squeeze in some more weight training. No blood noticed today when peeing, and ankles aren't swollen, I will start out with marking the swollen ankles as not, since not noticeably swollen just a bit around outer malleola L ankle. Studied for the lab exam and took that by 10 pm. Aftewards had 2 patrons and watched a movie on Hulu with an actor whose name I forgot. Ate snacks while watching it. I didn't remember his name but Nicolas Cage as I looked up the movie. I think it was actually Amazon prime. It was like a B movie, he plays a guy with a crazy wife that hides people in the basement to have babies to expand their family bc she cannot have kids and wanted to have a big family since a little girl. I had an impossible patty with 1 slice oat bread airfryed no mozz/parm added, a mango airfryed with 4-5 sm mushrooms, 2 1/2 servings colby jack cheese altogether including lunch at work of a serving each of colby, mozz, white cheddar, 1/4 serving cashews, 1/2 cup yogurt vanilla honey greek yogurt, for breakfast had the gardein burger with 2 slices oat bread and 1/4 mozz/parm cheese airfryed. For lunch had 2 eggs scramble airfryed turned out fluffy with 2 slices oat bread mozz/parm airfryed too, 1 brown sugar oat milk espresso for 5th cup coffee, had instant as 4th cup at lunch, and 3 instant for bkfst, and a vanilla sweet cream cold brew both starbucks same time when arriving from work and while studying. Got tired studying while sitting in bed and might have dozed off sitting for 5-10 minutes and woke up feeling refreshed enough to continue studying. I also had about 1/4 cup of the yogurt with my gardein burger for breakfast at home and ate the 5 mushrooms I airfryed for lunch for breakfast once arriving at work. Ate the last of yogurt for lunch. I also had a few of the rice cakes no sodium of the roommates in airfryer with mozz/parm with 35 calories and 7 carbs and 0 on fat protein and sodium. Went to bed after the movie around 1230 am.</t>
  </si>
  <si>
    <t xml:space="preserve">5 slices oat bread
(550.00	10.00	0.00	20.00	95.00	10.00	675.00)
2.5 servings colby jack cheese
(275.00	22.50	12.50	17.50	0.00	0.00	425.00)
1 serving white cheddar
(110.00	9.00	5.00	6.00	1.00	0.00	180.00)
1 serving mozzarella
(80.00	6.00	3.00	7.00	2.00	0.00	190.00)
1/4 serving cashews
(41.00	3.38	0.63	1.18	2.10	0.23	1.00)
1 gardein patty
(210.00	11.00	9.00	20.00	7.00	1.00	450.00)
1 impossible patty
(240.00	14.00	8.00	19.00	9.00	3.00	370.00)
1 mango
(107	0	0	1	28	3	3)
10 mushrooms
(20.00	1.00	1.00	3.00	2.00	1.00	10.00)
2 eggs
(140	10	3	12	0	0	140)
1 serving vanilla honey yogurt
(180.00	6.00	3.00	14.00	19.00	0.00	50.00)
2 rice cakes no sodium
(70.00	0.00	0.00	0.00	14.00	0.00	0.00)
1/2 cup mozz/parm shredded cheese
(200.00	12.00	8.00	16.00	4.00	0.00	560.00)
brown sugar oat milk shaken espresso Starbucks grande
(120.00	3.00	0.00	2.00	20.00	1.00	120.00)
vanilla sweet cream cold brew grande Starbucks
(70.00	5.00	3.50	1.00	4.00	0.00	20.00)
=550+275+110+80+41+210+240+107+20+140+180+70+200+120+70
=10+22.5+9+6+3.38+11+14+0+1+10+6+0+12+3+5
=0+12.5+5+3+0.63+9+8+0+1+3+3+0+8+0+3.5
=20+17.5+6+7+1.18+20+19+1+3+12+14+0+16+2+1
=95+0+1+2+2.1+7+9+28+2+0+19+14+4+20+4
=10+0+0+0+0.23+1+3+3+1+0+0+0+0+1+0
=675+425+180+190+1+450+370+3+10+140+50+0+560+120+20
</t>
  </si>
  <si>
    <t>serving Copper Wood wine 1/2 coffee mug full</t>
  </si>
  <si>
    <t>Woke up at 620 am but got out of bed when alarm went off at 630 am, and didn't update this database but did the studying for the final by answering what I could on study sheet that hopefully is accurate as specific questions on certain topics that exclude many other topics. Did that for 3 hours until 930 am and had 3 cups coffee by the end of studying and one serving of colby jack cheese. Had a reg BM after 1st cup of coffee, did the normal routine with only a tiny pet mess to clean, the coffee, Growly's meds, and fed babies. I am dirty, have coffee stains and paprika stains and dirty makeup on face that I studied in and want to shower, and feel like the final exam won't take too much longer to study, but will be a lot of essay questions. So need to be ready and alert for that. Have to go over the apply your knowledge questions from worksheets too at 10 am haven't gotten to. Want to shower. I didn't shower yesterday on the way to work, and have had the same type days where too busy to shower, but my little halter top tshirt with stains all over it makes me feel the need to shower. Also was a little mensa spotty yesterday afternoon, and this morning the same. Might be starting my rag early. I will have to backtrack and mark those days this and yesterday as menstruation days if it continues. Studied and took a break to go to Starbucks and get a couple vanilla sweet cream cold brews around 1130 am, had one then and another around 1 pm. Then went to Stater Bros to get groceries, was going to go to Target but decided I have been going there too often this week alone, so I went to the Stater Bros by that Target. Got the necessities like water, yogurt, oat bread, cat food canned, and ice cream for the babies and for Growly to put his meds in. Also more disposable bowls for the babies. Gave them some ice cream at the house, finished studying by about 230 and took the exam around 3 pm and finished around 4 pm, but I don't think it took that long, maybe 35 minutes or so. Done with this course, and will need to order my official transcript to send to my school in a week when grades post as they need it before starting chiropractic school. Was going to work out, but I don't remember what the hell I did with my workout gloves. It is so weird that I don't know where they are. I will have to get some more. I think there are chemicals in the weights I use that make my palms itch or the bones and cartilage ache lately, around my fingers. Like arthritis but they don't look inflamed. I need to put gloves on when using those weights. Poured a glass of merlot but really wanted to pour patron over my mug of ice cubes but the roommate was sleeping and its from his stash. Didn't drink it until I felt like drinking the cheap Merlot. Copper something from Aldis. I also need a car wash, it got dirty since that last rain in the morning on Monday and haven't washed it since. It was nice out today, warm, blue skies, and in the distance clouds over the mountains. Felt great. Looked like a perfect beach or pool day. A little windy in some parts but not terribly windy. What a relief to have a month break. Get to relax. Yay! Maybe pick up that bioinformatics with python or genomic data primer to analysis with R books I ordered a few months ago when taking the genome sequencing kit. I should wash all those items I bought at Target for this trip this Sunday. I took myself off the schedule Sunday so that I could pick up Bailey and go there after work when I get out at 3 pm and check into the airbnb. Brooke might go on Monday night. I don't know that she has ever driven that far though, but I did get her a Universal Studios ticket. She also said she could meet us at Universal Studios instead. I have a client tomorrow after work and might work out, then Saturday I have a couples on my monthly plan and an MLD client not on a plan, but knows she can pay the difference in the package if she decides to get it. Went to bed around 1030 pm after watching a movie on fandangonow.com called Nobody with the guy from Better Call Saul on it. I had about 1/5 a whole pineapple and 1/2 a mango and 1/4 serving cashews in the air fryer and 4 boiled eggs and 4 more servings of wine, for the bottle of wine called Copper Wood merlot. I also put the laundry of new towels, rags, washcloths, beach towels and 2 queen linen sets in wash to take off new chemicals and clean the fibers that stay on towels that are new and stick to body.</t>
  </si>
  <si>
    <t xml:space="preserve">4 slices oat toast 
(440.00	8.00	0.00	16.00	76.00	8.00	540.00)
1/2 cup mozz/parm on toast 4 slices above
(200.00	12.00	8.00	16.00	4.00	0.00	560.00)
impossible patty for late breakfast early lunch
(240.00	14.00	8.00	19.00	9.00	3.00	370.00)
2 servings colby jack cheese
(220.00	18.00	10.00	14.00	0.00	0.00	340.00)
1 serving vanilla honey greek yogurt
(180.00	6.00	3.00	14.00	19.00	0.00	50.00)
2 vanilla sweet cream cold brews Starbucks for 4th and 5th cup of coffee
(140.00	10.00	7.00	2.00	8.00	0.00	40.00)
1 serving pineapple
(25	0	0	0	6	1	0)
1/2 mango
(53.50	0.00	0.00	0.50	14.00	1.50	1.50)
4 eggs boiled
(280.00	20.00	6.00	24.00	0.00	0.00	280.00)
1/4 serving cashews
(41.00	3.38	0.63	1.18	2.10	0.23	1.00)
1 serving sharp white cheddar cheese
(110.00	9.00	5.00	6.00	1.00	0.00	180.00)
=440+200+240+220+180+140+25+53.5+280+41+110
=8+12+14+18+6+10+0+0+20+3.38+9
=0+8+8+10+3+7+0+0+6+0.63+5
=16+16+19+14+14+2+0+0.5+24+1.18+6
=76+4+9+0+19+8+6+14+0+2.1+1
=8+0+3+0+0+0+1+1.5+0+0.23+0
=540+560+370+340+50+40+0+1.5+280+1+180
</t>
  </si>
  <si>
    <t xml:space="preserve">2 gardein vegan beef patties
(420.00	22.00	18.00	40.00	14.00	2.00	900.00)
6 slices oat bread
(440.00	6.00	0.00	12.00	80.00	4.00	760.00)
2 tbs parm
(20	1.5	1	2	0	0	100)
1 serving pineapple
(25	0	0	0	6	1	0)
1/2 mango
(53.50	0.00	0.00	0.50	14.00	1.50	1.50)
brown sugar oat milk cold brew instead of espresso same calories different price
(120.00	3.00	0.00	2.00	20.00	1.00	120.00)
1 serving vanilla honey greek yogurt
(180.00	6.00	3.00	14.00	19.00	0.00	50.00)
1 serving mozz
(80.00	6.00	3.00	7.00	2.00	0.00	190.00)
1 serving white cheddar
(110.00	9.00	5.00	6.00	1.00	0.00	180.00)
1/2 cup mozz/parm on the bread above
(100.00	6.00	4.00	8.00	2.00	0.00	280.00)
no salt rice cakes 2
(35.00	0.00	0.00	0.00	7.00	0.00	0.00)
1/4 cup mozz/parm
(100.00	6.00	4.00	8.00	2.00	0.00	280.00)
1/2 cup yogurt vanilla honey greek
(120.00	4.00	2.00	9.33	12.67	0.00	33.33)
1 serving pineapple
(25	0	0	0	6	1	0)
1 serving white cheddar
(110.00	9.00	5.00	6.00	1.00	0.00	180.00)
=420+440+20+25+53.5+120+180+80+110+100+35+100+120+25+110
=22+6+1.5+0+0+3+6+6+9+6+0+6+4+0+9
=18+0+1+0+0+0+3+3+5+4+0+4+2+0+5
=40+12+2+0+0.5+2+14+7+6+8+0+8+9.33+0+6
=14+80+0+6+14+20+19+2+1+2+7+2+12.67+6+1
=2+4+0+1+1.5+1+0+0+0+0+0+0+0+1+0
=900+760+100+0+1.5+120+50+190+180+280+0+280+33.33+0+180
</t>
  </si>
  <si>
    <t xml:space="preserve">Woke up at 530 am by alarm and got out of bed around 540 am and spun the wash and put in dryer, cleaned pet messes, gave Growly his meds with his food, he still coughs and gets excited, fed the babies, looked at the news and updated this database. Had a reg BM after 1st cup of coffee when roommate came in, with Growly still coughing when he gets excited. Drank 2nd cup of coffee after taking in catfood from the van and the toilet paper and paper towels and having the roommate take in the waters. I have one of my MLD clients later today at 545 pm I get back home on Fridays around 445-5 pm. She lives about 20 minutes away on side streets. I have been spotty last few days, and am going to back track and put the last two days as starting mensa, even though very light, spotty.Measurements taken after BM and 2nd cup coffee, but before breakfast. Went to bed after 1030 pm after watching Jolt and 2 servings Patron. Finished his bottle of Patron. Will need to replace it. </t>
  </si>
  <si>
    <t>patron tequila</t>
  </si>
  <si>
    <t>Stater Bros Rocky Road ice cream, 2/3 cup is one serving:</t>
  </si>
  <si>
    <t>teremana tequila</t>
  </si>
  <si>
    <t>pot of beyond meat, 1/2 bag broccoli, 1/2 3 bell peppers of yellow/red/green</t>
  </si>
  <si>
    <t>bowl of beyond/brocc/3 peppers---1/2 veggies, pot makes 3 bowls</t>
  </si>
  <si>
    <t xml:space="preserve">2.5 servings vanilla honey greek yogurt
(450.00	15.00	7.50	35.00	47.50	0.00	125.00)
1 serv white cheddar
(110.00	9.00	5.00	6.00	1.00	0.00	180.00)
1.5 servings of Rocky Road icecream
(330.00	18.00	9.00	6.00	37.50	1.50	90.00)
3 servings of mozz block cheese (2 in bread before clients, 1 after clients while drinking with pups)
(240.00	18.00	9.00	21.00	6.00	0.00	570.00)
2 oat bread
(220.00	4.00	0.00	8.00	38.00	4.00	270.00)
1/4 cup mozz/parm
(100.00	6.00	4.00	8.00	2.00	0.00	280.00)
2 oat bread
(220.00	4.00	0.00	8.00	38.00	4.00	270.00)
1/4 cup mozz/parm
(100.00	6.00	4.00	8.00	2.00	0.00	280.00)
1/3 bowl beyond, 1/2 red&amp;green&amp;yellow bells, 1/2 broccoli as sandwhich
(123.06	8.02	2.22	9.22	3.83	1.33	157.61)
=450+110+330+240+220+100+220+100+123
=15+9+18+18+4+6+4+6+8.02
=7.5+5+9+9+0+4+0+4+2.22
=35+6+6+21+8+8+8+8+9.22
=47.5+1+37.5+6+38+2+38+2+3.83
=0+0+1.5+0+4+0+4+0+1.33
=125+180+90+570+270+280+270+280+157.61
</t>
  </si>
  <si>
    <t>Woke up at 530 am by alarm. But got out of bed at 545 am groggy and tired, still just spotty on rag, and dehydrated, drank 1/2 bottle water made coffee and fed babies their food and Growly his meds. The roommate took in a kitten that was a bigger kitten around 8-9 months, not full grown but not a tiny kitten. It came up to him at night so he put it in the laundry room away from the babies. Saw it this morning and let it out and gave it food. But we can't keep it inside, our indoor cat doesn't get immunizations and this one might catch something or have something they could get and we don't have another kitty litter box for it. They like their own kitty litter boxes. My client yesterday cancelled, other plans. And the client tonight cancelled last night, probably the same. I do have a couples tonight that is part of the monthly membership and they haven't cancelled. Tomorrow after work is vacation. I folded all the towels and linens to take with us for the airbnb last night and put in a carrying bag made for laundry with my other supplies like cleaning supplies and beauty supplies. Need to take a shower today before work, bc no shower for 2 days now. There were also ants on the kitchen counter I wiped up with a clorox wipe that keep coming back in a trail but a thinned out trail. I usually don't kill things but, ants are ok and bugs. Thankfully we don't have any bugs. Its hot out and they are invading while looking or searching for food. The wet cat food I leave outside for the cat and now another kitten aren't enough for the ants, they want are other supplies. Had a 2nd cup of coffee late. Have to get to work by 750 am. Will eat yogurt on the way. Took measurements after 1st cup of coffee. Drinking 2nd cup. Waking up. Woke up and had 3 cups coffee and put away my personal laundry and did take a shower and washed hair and ate breakfast at work, the rest of the yogurt about 2.5-3 servings and a serving of the last of the white cheddar, then had a 4th cup of instant coffee with it for lunch and got a car wash for my van but took off the magnets and washed separate as one mystery magnet seems to always fall off and it changes location. Best to prevent that hassle as I had to intervene in the next person's wash last two times and it could be bad if I keep playing that game with odds, fortuately not. But people typically do not weirdos looking under their car while they are getting a wash. There was actually nobody waiting for the car wash today on my lunch which is great, not even afterwards. I went home before the couples' massage. Great couple, very nice, young, has a lot of things and well to do with kids and their own biz of water meters. They are younger than me. We are even, and calculated my money, they will buy August when they book their next couples for the monthly membership. I owe 3 MLD clients 5 massages each at $45 each and a new one I forgot about, that prepaid I owe her 9, she had her lipo the day it rained in the morning this Monday. She is a nice lady. They all are. On the way home I bought a patron to replace the one I emptied over the last month of the roommate's and a Rock's brand Teremana tequila. They taste similar, but the Teremana is 1/2 price of the patron. I haven't seen the cute kitten that my roommate brought home last night or let in because it approached him. Poor little guy, hope he is ok. He was a cute little tabby with white boots on his fur. Very sweet cat. Could be a girl or boy. I didn't look. Friendly cat. I didn't have a BM in the am, but might before bedtime. Feeling movement. Doing the linens in wash before packing the van to leave and get my niece after work tomorrow for the beach. So, in my savings $1170 is the clients' money $225 for 3 MLD clients prepaid 10 pkg for $450 instead of $600, and one MLD $405 owed on same package but for 9 MLD massages instead of 5. Also, included my client that canceled a few earlier in June and never rescheduled but has been busy traveling and had a health issue come up that she didn't discuss with me. That's $1522 in savings and minus $1170, leave $352, I will transfer $350 for fun on vacation. Also, my spotty thing that was happening last 4-5 days stopped and looks like old blood. Weird. I must be pre-menopausal at 39 years of age. Had a reg solid slightly constipated BM at around 8:09 pm after 1st tequila drink and some of 2nd drink. Listening to country music. Made the receipts and SOAP notes for the clients earlier. And emailed out to them. Ankles haven't been that swollen last week, and the menstruation is still marked for today, but this set of menstruation is only spotting since it was noticed about 5 days ago, very light spotting dark blood and today was color of old blood and almost clear but not.</t>
  </si>
  <si>
    <t>Woke up at 530 am by alarm. Vacation after work, getting ready. Making sure to bring my phone charger and necessities and the scale and tape measure and calipers for the daily measurements. Measurements taken before BM and before breakfast and after 1st cup of coffee while waiting for 2nd cup of coffee. Did regular routine this morning, still ants but on the dogs' food and water, I sprayed the trail, the trash is outside bc of ants, cleaned pet messes, fed Growly his meds and the babies their food. Had a BM before finishing 2nd cup of coffee then packed for the 2 day airbnb or 2 night 3 days, a short day checking in and out. Packed a lot of stuff and put hydrocollator in car. Got about 7 hours of sleep, went to bed around 10 pm and woke up at 530 am. Going to shower before work. But eat breakfast before that. Had 2 slices oat bread with 1/3 bowl beyond meat in a sandwhich with mozz/parm and ate the rest of the pot, about 2 bowls total for lunch, didn't eat all of it. Then after work had a brown sugar oat milk espresso, they ran out of the cold brew at Albertsons by my nieces' house. We left by 4 pm to go to Redondo, got there about 515 pm and checked in, met some neighbors with a miniature pincher Mandy. The place is nice, but found out later the bed in living room is in a room the blinds don't shut all the way. We walked the beach strand about 1/3-1/2 the length from Torrance Beach to Redondo Beach and saw a lot of pet dogs. I could have brought Growly maybe. The roommate is giving him his meds. We then ate at the Green Temple before closing, small food, still good food, but wait is crazy once sitted, one waitress and one cook and meal pred or waitress for outdoor patio. I had the white lasagna and the strawberry cheesecake and Bailey had the vegan burger plain. Then we walked the beach and the stairs, she is definitely more fit than me and made it up the steep stairs in half the time as me. We went to the movies and saw Black Widow around 915 pm but got there early. I had a cherry vanilla fountain soda and she had a fountain soda sprite and popcorn. It was good, but a little slower than expected. Similar to the other Marvel films. We got back around 12 am and went to bed around 1230 am. Planning to get up as normal by alarm. Then breakfast and the beach. She might have her friend Megan come by with her dad. Had 5 cups coffee altogether. My ankles weren't too swollen at all but the R knee was feeling pressure sitting and watching movie and previews while drinking soda and the low legs itchy with compression socks on. No more mensa. 4th cup coffee at work instant brand. I got my new waist trimmer the one I originally wanted last night and washed it with linens I washed and folded, put it on and its a small but feels tighter than the other 2 smalls. I think it is more a 30" waist trimmer.</t>
  </si>
  <si>
    <t>veggie alfredo sauce lasagna substituded nutrition for Green Temple, similar, https://recipes.sparkpeople.com/recipe-calories.asp?recipe=3048498, 1 serving, the restaurant is like 2 servings:</t>
  </si>
  <si>
    <t>no bake jello stawberry cheesecake, subbed for green temple vegetarian strawberry cheesecake, 1 slice serving, https://www.nutritionix.com/i/nutritionix/jello-no-bake-strawberry-cheesecake-1-piece-0.13-cake/591ca702b4b0c845436cbf0d</t>
  </si>
  <si>
    <t>cherry vanilla coca cola med size fountain drink, 16 fl oz, https://www.calorieking.com/us/en/foods/f/calories-in-sodas-soft-drinks-vanilla-cola-soda/gX7nsZX1TJGOL-kWteqHgw</t>
  </si>
  <si>
    <t xml:space="preserve">2 slices oatbread
(220.00	4.00	0.00	8.00	38.00	4.00	270.00)
1/4 cup mozz/parm
(100.00	6.00	4.00	8.00	2.00	0.00	280.00)
3 white corn tortillas Guerrero
(150.00	1.50	0.00	3.00	31.50	3.00	30.00)
2 bowls total of the beyond meat broccoli redgreenyellow peppers
(738.33	48.11	13.35	55.33	23.00	8.00	945.68)
used airfryer for above 2 items and some in the sandwhich for breakfast
white lasagna tofu sauce cabbage carrots sun dried tomatoes, spinach fettucini noodles,organic tofu, organic eggs, cheddar cheese, vegetarian pasta
no nutrition information but sauce tasted salty high sodium but ankles didn't swell up
(452.00	16.60	8.20	25.80	60.60	13.40	527.60)
strawberry cheesecake maple syrup stawberries cream cheese graham crust
(448.50	18.00	9.45	7.80	66.00	7.80	534.00)
brown sugar oat milk espresso
(120.00	3.00	0.00	2.00	20.00	1.00	120.00)
cherry vanilla coca cola fountain drink med sz
(199.00	0.00	0.00	0.00	55.90	0.00	50.00)
=220+100+150+738.3+452+448.5+120+199
=4+6+1.5+48.11+16.6+18+3+0
=0+4+0+13.35+8.2+9.45+0+0
=8+8+3+55.33+25.8+7.8+2+0
=38+2+31.5+23+60.60+66+20+55.9
=4+0+3+8+13.4+7.8+1+0
=270+280+30+945.68+527.6+534+120+50
</t>
  </si>
  <si>
    <t>8/2/21 Mon starbucks redondo coffee with almond milk 2.75</t>
  </si>
  <si>
    <t>8/2/21 Mon Sacks on the beach avocado toast and bagel egg sandwhich for bailey $19.95+0.20% tip = 23.74</t>
  </si>
  <si>
    <t>8/1/21 Sun AMC Rolling Hills Estates/redondo movie tickets 27.98 13.99 each</t>
  </si>
  <si>
    <t>8/1/21 Sun AMC Rolling Hills Estates/redondo movie snacks 2 reg fountain sodas and med popcorn 23.00</t>
  </si>
  <si>
    <t>8/1/21 Sun The Green Temple Redondo Beach 43.80 + 10.00 tip = 53.80</t>
  </si>
  <si>
    <t>7/30/21 Sat Circle K car wash 15.00</t>
  </si>
  <si>
    <t>7/31/21 Sun Circle K fuel fill up 61.45</t>
  </si>
  <si>
    <t>8/2/21 Mon San Pedro Fish Market and Restaurant shrimp and fries, side frence fries and cheeseburger plain and 2 med fountain sodas Pepsi and Sierra Mist</t>
  </si>
  <si>
    <t>8/2/21 Mon Smart &amp; Final snacks for airbnb</t>
  </si>
  <si>
    <t>snickers icecream serving 2/3 cup</t>
  </si>
  <si>
    <t>1/4 pound popcorn shrimp, calorieking.com</t>
  </si>
  <si>
    <t>small french fries low sodium</t>
  </si>
  <si>
    <t xml:space="preserve">2 slices wheat bread
(280	7	1	8	42	8	360)
1 avocado
(322	29	4	4	17	18	14)
2 eggs
(140.00	10.00	3.00	12.00	0.00	0.00	140.00)
1/4 cup almond milk
(10.00	0.75	0.00	0.25	0.50	0.25	45.00)
2 servings snickers icecream
(420.00	16.00	9.00	6.00	64.00	0.00	210.00)
9 fried/popcorn shrimp
(390.00	25.00	8.00	14.00	28.00	3.00	15.00)
small french fries there wasn't mush salt on the fries
(267.00	13.70	1.80	3.20	32.70	3.00	247.00)
=280+322+140+10+420+390+267
=7+29+10+0.75+16+25+13.7
=1+4+3+0+9+8+1.8
=8+4+12+0.25+6+14+3.2
=42+17+0+0.5+64+28+32.7
=8+18+0+0.25+0+3+3
=360+14+140+45+210+15+247
</t>
  </si>
  <si>
    <t xml:space="preserve">Woke up at 630 am, but didn't get out of bed until about 650 am, peed after not peeing all night but didn't drink water before bed, on vacation, babies at home. Slept intermittently last night without them cuddling and sleeping around me. Gave Bailey the other room. Took measurements after 1st cup of coffee, then made 2nd cup of coffee. We're going to go to a breakfast and other food place for breakfast called Good Stuff if its still there. Otherwise, google something local then off to the  beach. The weather in Corona at 742 am is 73 but the weather in redondo beach is 66 degrees. It was kind of chilly last night. Had a reg BM after 2nd cup of coffee. Thats good that I was able to go. Slightly dehydrated constipated, but movement, so must be relaxed. Got some places to visit for lunch and breakfast. Not Good stuff but another diner called Krust. Sounds good for avocado toast and strawberry waffles. Unless something else, and the San Pedro Fish market. Their ceviche, seafood soup, halibut, or seafood tacos like scallops and/or shrimp. Sun is out. Going to shower. Wait for Bailey to wake up. I showered and put makeup on and had a 3rd cup coffee half serving as usual, then put makeup on, and we went to some other restaraunt called Sacks nearby, we walked. I had the avocado toast that was slightly brown spotted or old avocado on top, with 2 eggs boiled and sliced on top. on wheat bread, bailey had some bagel egg sandwhich with side of fruit she didn't eat. We then walked the strand on the beach from the top to the pier and back and up the stairs. We walked those steep stairs yesterday too, and she is much faster than me. I was able to refund the client I never massaged with MLD post-op only pre-op that one, but added the $15 service cost ontop that she saved by buying in bulk. Square took out the fees I paid and let me refund her $390 on her end, but will take out the $390 from my checking account minus any fees paid, around $15 in fees. So now have the 3 MLD clients that are owed $225 each or 5 MLD each, but their $15 per massage gets tacked onto each massage if they cancel as well, so it is actually, 225 each plus $15*5=90, which is 225-90=135 refunded to each of them. Or full 225 if I cancel for whatever reason those MLD massages. Because the work can get tedious and it takes more than 30 minutes there and 30 minutes back plus the hour and driving and they don't tip, the one MLD client's bf always tips me for the most part. When he gets a massage too, but his monthly is squared up or even, and he needs to buy another month. Same with the couple I just massaged a few days ago. We were going to wait for coffee to go at the creme de la crepe restaurant in redondo on our walk back but they were busy and didn't have my coffee, so the dude said we could just go to Starbucks on the corner. So we went there, but he was rude about it. Some short little gay Mexican server. I guess he thinks their wait is not worth the food or me standing there when they're so busy is not worth his time as a server. Doubtful he owns the bar. They don't look French. Most looked hispanic. Thanks for the heads up on the food there. Bailey's friend hasn't decided if she wants to come to the beach and I would spend more money on her universal ticket and they would have to squeeze into the front seat. Already spent $210 approximately on fuel and dinner and movies so far. What's another $140 plus more food expenses. They are easy to shop for food at the fast food places. Bailey and I went to the beach closer to Palos Verdes side, tanned in the sun listening to country music. Then went to the San Pedro Fish Market and Restaraunt. Not worth the wait for what we ordered. It does serve up huge shrimp baskets, but it is way too much shrimp to eat with their bread. We saw all the stuff they served and we just had a cheeseburger plain with fries for her and fried shrimp and fries for me with Pepsi. I drank half of my fountain soda. We were there about an hour but a little more just waiting, then Waze took us down the wrong way and onto the huge Long Beach bridge that is nerve wrecking to use. But made it back, stopped off at the airbnb but had to go to grocery store to get snacks we both forgot and took a bunch of mini turns to back out of the tight spot in structure. We got some Snickers icecream, baked cheetos, nacho cheese sauce and tortilla rounds with water bottles 35 pack Smart &amp; Final brand. This Smart &amp; Final is where there used to be an Albertsons. Only had 4 cups up until now of coffee, 3 at home instant and the one from Starbucks that was reg house blend with almond milk. I would have gotten cold brew but the barista said something smart about the face coverings not being on like she has her own jokes. Started updating this around 645 pm. The roommate said Growly is good just tired. Bailey's friend Megan came over at 920 ish after her dad Dan or Matt, sounded like he said Nan dropped her off. Then I showered and dried hair. Got ready for bed. Brooke came over around 1030 or 11 pm. Couldn't fall asleep right away. Same as other night. He gave her money for her universal studios ticket. Megan's dad. </t>
  </si>
  <si>
    <t>8/3/21 Tue Universal Studios Hollywood, Harry Potter area butter beer $8 + Gilly water bottle $5</t>
  </si>
  <si>
    <t>8/3/21 Tue Universal Studios Hollywood, Cinnabon, cinnamon roll $6.79 classic, iced cold brew sm vanilla 3.99, bonbites (4ct) 6.49</t>
  </si>
  <si>
    <t>8/3/21 Tue Universal Studios Hollywood, parking</t>
  </si>
  <si>
    <t>vacation: debit card</t>
  </si>
  <si>
    <t>vacation: credit card</t>
  </si>
  <si>
    <t>8/3/21 Tue Universal Studios Hollywood Bailey's bff one of them, Meghan O'connor, entrance CA rate $124</t>
  </si>
  <si>
    <t>8/3/21 Tue Universal Studios Hollywood Menchies frozen yogurt treated Brooke, Bailey, Meghan, myself</t>
  </si>
  <si>
    <t>8/3/21 Tue Universal Studios Hollywood Starbucks in theme park, 4 bottled waters $20 and 1 salted carmel cream f? cold brew grande $5.49</t>
  </si>
  <si>
    <t>vacation: airbnb rental redondo beach Sun 8/1/21 5:15 pm: Tue 8/3/21 8:30 am</t>
  </si>
  <si>
    <t>vacationRedondo812021_832021</t>
  </si>
  <si>
    <t>total vacation cost:</t>
  </si>
  <si>
    <t>Woke up at 610 am and stayed in bed until 630 am. I probably went to sleep around 1230 am, so got about 6 hours of sleep. Woke up got my coffee. Brooke is sleeping on bottom half of day bed. She'll have to move her car before 8 am on the street and I am going to be packing all the stuff into the van around 715-730 am. I will wake her up officially at 745 am. Took my measurements first thing to get it over with before coffee or breakfast. Weather in Redondo Beach is 64 degrees around 645 am and in Corona is 73 degrees. No BM all day. Went to Universal Studios all of us ready and checked out by 830 am. Got there a little after 930 am. Bought Meghan's ticket, her pops only gave her money for grub which didn't go far. Only a butter beer and food for her and Bailey and Panda Express. I spent more money getting the girls some bottled waters and frozen yogurt. Was great except for the cunty Mexican mama in front of us on 2nd Harry Potter ride, she tried to stare me down for some odd reason. After I almost ran into her when turning and said oops but didn't touch her. We literally had a nonverbal confrontation with me outstaring her then turning around and sending her vibes of arrest and deportation for being a stupid bitch who wants to start a fight because her domestic relationship makes her want to look for battles with other females instead of handling her spouse I am assuming. She is a cunt. I thought about that stupid bitch and how close we were to actually fighting. She reminded me of the chick I got in trouble with in 2009 about 12 years ago, and I turned away from her, but she almost had me making the first verbal response. If I had it on video you would know, but you have to take my word for it. The girls didn't notice, but the other people, some behind me did and were in disbelief. Who comes to a theme park with kids to start a fight and look for bullying some stranger into 'respecting' you. Stupid fat mexican bitches. She literally was speaking Spanish to her dude and keeping a 6-8 foot distance from guests in front while not wearing her face mask. Like she wanted me to provoke her or 'start' a fight. Only bitches that got in confrontations and been in fights including dudes know what the 'mad dog' stare is. She really made me want to bash her head in with my fist and kick her in the head with my feet and knees and throw her on the ground. She is probably 30 pounds heavier than me around her midsection. I hate the 'mad dog' stare. I don't care who the fuck you are, if you try to intimidate me with it, your going to get it right back, just like that racist white dude in front of the South Corona client's house with his german shepard off a leash across the street. I saw Asian dudes giving me that look too when crossing. But not the actual fight mode look, just the one that says they don't give a fuck who I am, and are going to stare at me to get me to show them I am a bitch by staring back. I swear to god that happened. Not all the asian dudes, but a few, at least 3 random Asain dudes. Fucking ruined my mood and I spent a lot of money so far on this vacation to enjoy it with my nieces and her friend. Who the fuck gives them the right to stare down any person, for what, to test them. They were straight edged Asian dudes too, and the lady looks like the typical wife who gets disrespected by her spouse and is shown no respect at home so tries to bully or intimidate other strangers who are females and smaller than them into showing them some type of respect they don't get at home. I will show her the fighters respect if legal to do so to someone throwing the mad dog stare down. But its not so I won't. And have to avoid looking at their disrespectful, entitled asses. Anyways, traveled with Bailey home, and took almost 2 hours as we left around 530 pm and got to her place around 725 pm. We rode all the rides. and the dispicable me one is least favorite, the jurassic park, mummy, and harry potter rides are really good. And the transformers one was good and the tram to start that took us through movie lots. Saw the roommate when I got home and started his laundry he had piled up since Sunday night or Monday morning. Only 2 days. And many silverware and few tupperware in sink, as I left him disposable bowls. Thankfully he fed my babies I love so much. Meow meow didn't greet me and the new kitten looks pregnant according to the roommate and I saw him. Also, she seems to be staying in basement thats open but now there is a light on from her than I can see or it looked like it was on. She is about 8-9 months old as much larger than a kitten but not quite full grown. The roommate thinks she's pregnanat because her belly is big. I didn't notice. I don't even know if kittens that age can get pregnant. I poured a serving of the teremana tequila over ice while starting this database update. Finished it and did the dishes and the laundry. Upon leaving Universal Studios and riding all the rides including Simpsons and Transformers as well as the tram, Harry Potter indoors, Harry Potter outdoors (where cunty ass racist Mexican bully was who probably lies to cover up her own impulsive decisions to start fights with strangers), the Mummy ride, the  Jurassic Park ride, the Dispicable Me ride, and any others that skip my mind, we had frozen yogurt at the Menchies by our parking spot. Brooke and Meghan parked in the Trex jurassic park structure and me and Baily parked in the Curious George parking lot. I treated them all to frozen yogurt. Everybody made it to their house safely. Thankfully. I prayed for that. Being Christian you don't have to say any rosaries or father blessings, just Please God let them travel home safely, and also Universe cause they're good people. It always works. After laundry put in dryer of roommates and first of 3 possible loads of laundry for self, poured another teremana tequila over ice and drank. While updating this data base. Also, noticed while waiting in the simpson's ride and checking junk mail that a lot of mail has went to that my final exam was graded, 90/100, but not sure what final grade is and am assuming an A but could be B at worse. I think an A is fair given the work and effort I put in. But you never know sometimes. She seems like a fair professor. I also dropped my microbiology course I was still enrolled in for fall because I am going to be doing the doctor of chiropractic program for four years instead. I saw there was a waitlist, and didn't want to be some student that never showed or did work or paid that was somehow by fluke kept on record and had an F. So I dropped it. Made some other student of 4 on waitlist happy I'm sure to be added. The fall starts I think but don't remember exactly, in mid August. My chiropractic program starts early September after Bailey's birthday. My neices are so sweet. They almost got into a fight at the park bc of something Brooke does impulsively to pick on Bailey that becomes slightly bullying. But Meghan stood between them and told them to be good girls. Brooke and Bailey are both sweet hearts, but Brooke does have a mean streak that she can't help sometimes. It makes her do things like slap Bailey's face mask on her as Bailey told me. And Bailey slapped her hands away when she tried doing it again when waiting for I think the mummy ride. It might have been the transformer ride, but we were in a brick hallway. I think it was the transformer ride now that I remember. The one where there isn't any of the intermittent theatrics of the video playing of the reason for the ride and what it simulates. Vacation over with and I do feel relaxed given all accounted benefits and dumb stuff like the cunt at the 2nd Harry Potter ride at Universal Studios. Still spent less than $1000 at around $960 rounded up. Most on debit card but some on credit card. The airbnb was half the cost around $456. The rest was food and fuel and other tickets. Actually, I forgot to include the tickets for myself, Bailey and Brooke, so it was about $1352 with the other them park ticket costs of $392 total, for two erroneous tickets bought at higher rate of $134 each and the CA ticket holder cost of $124 for Brooke's ticket while the $124 cost for Meghan's ticket is included in the $960 cost. Not bad. Could have been less expensive, but they were experiences and conclusions drawn from new places to eat and making self and girls happy. I don't mind. It's easier to do that than save for a house at this high rising cost per year. I swear the houses go up $100,000 every two years and have been for last two years. Its retarded. Won't get fixed. Not in my lifetime. But not many people interested in having kids either due to this high cost of living that only nurses, cops, and teachers can afford it or military with spouses who want to retire from military living on base housing. Its retarded the housing market and other states increasing due to CA residents leaving and taking their high pay earnings in full pay retirment with them out of the state. The system is not perfect by a long shot and people like me who have a degree for whatever reason don't get hired in their degree, due to prejudices I am certain. But others even minorities from rich neighborhoods are ignorant to seeing the classism in upbringing or racism that involves races raised in low income neighborhoods or living in low income neighborhoods applying to their jobs. I still get recruiters contacting me, but expecting experienced Data scientists, and I don't want to waste my time on them any more as of a year ago. I know its all bullshit. They bring you in and keep job open if your able to get an interveiw, then find out its been closed because they don't want that position anymore. Its a waste of time and I absolutely hate people who waste my time, just like the people who take more than 4 minutes to get dressed after their massage hands on part of their blocked hour or similar is done. Or the client I had to tell couldn't book anymore because she sent me to the wrong address or didn't tell me about parking being an issue, or waits outside smoking and chatting the first time I massaged her and was done with her mom. So disrespectful. Like I am supposed to fill some servant role and make them feel like royalty but give them full time and not to expect any gratuity for being made to give my personal time to. I do not like those clients. I class them in the same class as male pervs who don't want to fill out a consent form and sound like creeps on the phone. Its another antisocial angle they play, just not the perv one but a demented one on power dynamics in the massage therapist relationship like I am some ignorant and foreign masseuse they can push around and make feel worthless. I had a BM after updating this database around 945 pm. And after finishing 2nd drink. Went to bed around 1030 pm.</t>
  </si>
  <si>
    <t>reg butter croissant, calorieking.com</t>
  </si>
  <si>
    <t>cinnabon classic cinnamon roll</t>
  </si>
  <si>
    <t>cinnabon cold brew iced coffee</t>
  </si>
  <si>
    <t>crunchy baked cheese chips 1 serving 0.9 oz calorieking.com</t>
  </si>
  <si>
    <t>baked potato chips 1 bag 1 serving</t>
  </si>
  <si>
    <t>mango sorbet calorieking.com, 1/2 cup serving</t>
  </si>
  <si>
    <t>watermelon sorbet calorieking.com, 8 oz approx 1/2- 3/4 cup 'love it' coldstone creamery brand</t>
  </si>
  <si>
    <t>watermelon sorbet + mango sorbet+3 blackberries+2 strawberries</t>
  </si>
  <si>
    <t xml:space="preserve">5 sm croissants about 2.5 reg sz croissants
(577.50	30.00	16.50	11.75	65.25	3.75	1060.00)
3/4 cinnabon roll, dry and tasted like eggs with little frosting
(660.00	27.75	12.75	9.75	95.25	1.50	855.00)
1 vanilla latte iced cold brew cinnabon
(180.00	3.50	2.00	3.00	34.00	0.00	100.00)
1 sm bag potato chips baked low sodium
(230.00	13.00	1.50	3.00	25.00	2.00	180.00)
2/3 watermelon sorbet, 2/3 mango sorbet, 3 blackberries, 2 sliced strawberries
(537.50	0.13	0.00	0.50	134.75	3.25	25.00)
3 servings baked cheetos
(360.00	13.50	3.00	6.00	51.00	3.00	600.00)
=577.5+660+180+230+537.5+360
=30+27.75+3.5+13+0.13+13.5
=16.5+12.75+2+1.5+0+3
=11.75+9.75+3+3+0.5+6
=65.25+95.25+34+25+134.75+51
=3.75+1.5+0+2+3.25+3
=1060+855+100+180+25+600
</t>
  </si>
  <si>
    <t>abducturs outer thighs 3 sets 10 reps 50 lbs	
adductors inner thighs 3 sets 10 reps '120' lbs (machine is off correct pully amount. This one had to be set to 120 to feel like 50 lbs, its the one machine that does both by turning pads 180)	
abs leg lifts on bench 3 sets 15-20 reps
squats 3 sets 20 reps 30 lbs dumbells 15 lbs each   
dead lifts 3 sets 12 reps dumbells 30 lbs	 
tricep extension bench standing 3 sets 10 reps 15 lbs each arm
shoulder lifts medial/posterior deltoids/latts 3 sets 15-20 reps 5 lbs	
calves 3 sets 10 reps 30 lbs total with dumbells	
upper trapezius shoulder shrugs 30 lbs dumbells 3 sets 12 reps	
tricep extension above head dumbell 15 lbs 3 sets 10 reps	
hamstrings leg flexion sitting 3 sets 10 reps 40 lbs    
quads with leg extensions sitting 3 sets 10 reps 40 lbs
deltoids shoulders 5 lbs each arm 3 sets 20 reps
biceps curls 30 lbs with 15 lb dumbells each arm 3 sets 10 reps dumbells
bench press 3 sets 10 reps dumbells 15 lb each arm</t>
  </si>
  <si>
    <t>garlic knots 12 oz calorieking.com</t>
  </si>
  <si>
    <t>garlic cheese bread 2 pieces from pizza hut menu calorieking.com</t>
  </si>
  <si>
    <t>margarita flat bread pizza 2 slices calorieking.com</t>
  </si>
  <si>
    <t>veggie pizza 1/4 small hand tossed dough pizza calorieking.com</t>
  </si>
  <si>
    <t>poki bowl double salmon, ahi tuna, brown rice, sesame seeds, sesame oil, gingerX4,cucumbers, carrots,whole avocado</t>
  </si>
  <si>
    <t xml:space="preserve">order of garlic knots about 12 pieces of knot shaped garlic butter pizza bread
(1039.00 42.50	9.50	18.90	132.30	0.00	2457.00)
1/4 cup pasta sauce
(35.00	0.75	0.00	1.50	5.00	0.50	180.00)
1/4 veggie pizza with red onions, mushrooms, olives, tomatoes
(306.00	13.10	6.10	12.30	34.20	1.80	648.00)
1/4 margherite med pizza
(1160.00 44.00	24.00	48.00	144.00	16.00	2200.00)
2 servings baked cheese flavored chips like cheetos
(240.00	9.00	2.00	4.00	34.00	2.00	400.00)
2 slices cheesy garlic bread
(420.00	26.00	10.00	14.00	32.00	1.00	780.00)
2 cans coca cola
(360.00	0.00	0.00	0.00	100.00	0.00	120.00)
poki bowl double salmon, ahi tuna, brown rice, extra extra ginger, cucumbers, carrots, sesame seeds, sesame oil, whole avocado
(1095.00 57.33	9.23	33.28	116.75	25.13	601.50)
=1039+35+306+1160+240+420+360+1095
=42.5+0.75+13.10+44+9+26+0+57.33
=9.5+0+6.1+24+2+10+0+9.23
=18.9+1.5+12.3+48+4+14+0+33.28
=132.3+5+34.2+144+34+32+100+116.75
=0+0.5+1.8+16+2+1+0+25.13
=2457+180+648+2200+400+780+120+601.5
</t>
  </si>
  <si>
    <t>Woke up at 530 by alarm, went back to bed and got out of bed for the 630 am alarm.Got about 7.5 hours of sleep. The blink kept going off in middle of night because of a moth flying by it. Gave Growly his meds, fed babies with icecream, had my coffee and snacked on the last of baked cheetos with 2nd cup, The roommate got home around 730 am, we found out the charges on his account are from Amazon items ordered in May. I texted Dad to let him know I can do his taxes today and looked into my SCUHS account and approved the $33000 student loans for the fall and spring terms 2/12 the program of which $6600 is for their healthcare each term. And 20500 for the two terms. Didn't see the program listed on courses, but could be too early. Also didn't see the university health care contact information to schedule the physician clearance and TB test. I want to do that today on my day off. Had a sm reg BM after 2nd cup of coffee. I put more instant coffee in 2nd cup and avoided 3rd cup instant coffee, picked up Dad's tax docs and worked out with weights and machines at UFC. Slightly sun burned, can feel it, not noticeable to view except areas on upper thigh not viewable by public, can feel it when clothes brush against it. No shower today or compression garments. Ankles swollen again. For breakfast had those 2 servings of cheetos, then for lunch after doing Dad's tax return and paying for it after he put a very generous $1200 in my account. He does that to help out and show he's thankful for his hard work. Very awesome guy. Our whole family is though most of us are not even close to exactly like any other family member. Then when emailing his copy his work firewall blocked it so I printed at Staples, then stopped by to give him it and his docs and then mailed them in after he told me he only gets it if he mails it in not efile due to the Identity Protection Pin he has that changes and he doesn't know. He wants to get his dog Cody a bath but none of the groomers will do it. He doesn't want to schedule it in. I had a poki bowl from the Main St. Poki cat the normal way with 1 added avocado, I like now that I boycott high sodium sauces. Their sesame oil was a bit dark like the normal ponzu sauce and could be why my ankles are swollen as if I did have the ponzu sauce. But it was double salmon, ahi tuna, brown rice, extra extra ginger, he went to the back to get more so I was happy, as I took the last serving and a half from available up front, and line formed, with sliced cucumbers with seed center removed look like sliced onions in 1/8th bits, and carrots with sesame seeds and the sesame oil. The brown rice with sesame seeds and ginger and cucumbers is actually good enough on its own to order. Might do that one time. Because I only get the fish because its a poki place. Next to a vegan shop that had more customers. Then I tried to schedule in an appointment, ordered transcript. Mrs. Melissa is dope she gave me an A in biology. Woo-woo! Yay! I texted my SCUHS advisor that I ordered the transcript and sent to admissions@scuhs.edu and he said good job! and gave me a place in whittier that does the physical, but unfortunately it doesn't have a doctor on staff to complete the requirements of the physical. I didn't let Garfield know that. So after printing out my SCUHS forms for the lab and physical at Staples with a mishap on the print from email first send that I had to hold my card twice for $5, because the pdf only printed the link and not the pdf files. I sent before arriving bc the 250 hard drive doesn't recognize as a USB drive and had to email it first visit to print Dad's return at staples@printme.com. It then replies with an automated email with the code to print file at machine. Anyhow it was completed. Then was about to leave parking spot but decided while drinking my 2nd cold brew brown sugar almond milk added I bought earlier as a set of 2 when leaving Staples first time to go to Dad's work 2nd time after printing his return. I drank that 4th cup, bc counting larger dosed 2 cups instant as 3 cups, and this was last cup of day for coffee as the 5th cup, but didn't finish it on way back, but anyhow, didn't leave lot after 2nd time printing at Staples my SCUHS health forms and called from google search of physicians near me and got a doctor that sent me to their scheduling company that had me on hold 5 minutes and then the lady hung up on me 1st time bc I pressed 1 for schedule an appointment and didn't have insurance but wanted to pay cash and walk in. She literally told me to hold a moment with me on the line and hung up on me. Then I called back and while on hold left a bad review of their scheduling company, and when I spoke to the next operator or scheduler she told me they were a scheduling company and doesn't know who I spoke to, and was able to take my information and schedule me in on the 17th of this month August at 1020 am with a Dr. VAladez? not sure the spelling with Citrus Medical group, and couldn't confirm any price but that it is at least $90, and neither confirmation on my ability to get the physician's stamp of his medical seal. No top range either, but would be getting a TB test as well. BTW 8/17/2009 is the date I first met that bitch and her lying foreign family that tried to run me over and she attacked me first in a school parking lot after I got too close to her car in the kid drop off and tapped her mirror and she called me a bitch and I called her a whore and it then escalated into a fight at around 730 am, and it turned out we were neighbors where I lived up the street from her and she has the same exact birthday as me but 10 years older than me. BLah blah blah, but that bitch yesterday reminded me of her. I think this is the Universe conversing with me on TX massage licensing still examining my credibility as a person who no lo contende to a felony wobbler vandalism when I plead to the count to stop the court trials as it was keeping me from getting my CA license in Massage and the prosecutor said he wanted to make room for more serious crimes and my public defender told me it turns into a wobbler after so long, but didn't tell me if it is expunged before the time, that it stays a felony. And they don't reopen the case to turn it into a misdemeanor. I now have a new understanding of why the lady attacked me, it is bc she wasn't being respected in her household by her husband and/or kids and needed some respect and looked for 'street respect' by picking a fight with me not knowing I was a fighter. She just saw me as a bitch as she called me that was smaller than her but disrespected her as she also claimed. Thanks Universe. Totally understand now. Lets see what TX dept of lic and reg thinks on my massage license. I got my CA massage license right after taking the plea bc it dropped the other counts that were far fetched and not able to withstand a jury with them witnessing the truth of their being witnesses misogyny and criminal actions. Whatever. On that. So, to the point now. I am actually in the middle of finishing a teremana tequila on ice around 4 pm, been taking my time with it as my back is somewhat achey from the roller coasters, mostly the virtual ones that jar you around and push your body around like the Simpsons and Discpicable Me ones. The landlord was next door doing some work with another vehicle later on. Hopefully Pops gets his tax returns without any problems, if he actually knew how much he paid in medical expenses last year for Sherrie I could have gotten him possibly a larger refund. But he still gets a large amount. Tomorrow I have a 9 am and a 7 pm with regulars. They are cool chicks. The 9am is a prepaid MLD I owe 5 to, and the 7 pm is coming back from a toxic friend's birthday in Las Vegas. Super nice and always keep appointments on time or cancel hours before hand. I simply request they cancel at least 2 hours before the appointment, and have my scheduler only book appointments 2 hours before it. Miss Bailey is a sweetheart. I enjoyed my vacation with her. She is going through some stuff due to her driving. But it affects her relationship with her mom. And it is depressing her a bit, but at least her step dad is being nice to her. Love those girls. Love all my family. Even my detached little sisters that I can never really get a hold of. I have to use social media and one has so much anxiety she never follows through on meeting up to hang out with our shared parent and sister and nieces. Had a reg BM after finishing my 1st serving of tequila. Then had a 2nd serving I took my time drinking as well and had the SCUHS healthcare center call me to schedule in the TB test and the physical that would be signed and stamped by a medical physician with a medical seal as a stamp. The roommate and me just got into it again about him and his stupid antics of having to tell me about not seeing a piss spot that dried up by the babies. He is a complete asshole, I didn't see it, and I always tell him if he sees it to shut his mouth and clean it. But for whatever reason he always has to point it out and say I am the one not paying attention. I honestly didn't see it, and it could actually just be dried up floor cleaner from a mess I cleaned up earlier. But he has to always bitch about something and not just clean it up and leave it there. He is such a retard in that way that his own mama doesn't even want him over for bitching at all his family members.He didn't even wash his own dishes while I was gone because he has to have me do it. And I was gone from Sunday night until Tuesday night. He had a bunch of silverware in the sink and only a few plastic containers due to the disposable bowls I left him. Anyhow got my next week appointments scheduled in for days I don't work early in am around 1030 am. Will bring my printed forms into building before appointments start. I need to block off those times on my scheduling app. Just emailed a new potential client who wants massages those days. Must do it before she books an appointment on those times. Murphey's Law says she will. I tried to cancel the other appointment but it was an emergency call service after 5 pm and they said to call back during regular hours to cancel. So I will as a note to self. Got it on a notecard up front. I texted Miss Bailey to ask how she is doing. She is upset because her mom is mad at her. Brooke rubs it in by saying how much she loves her mom. Did some laundry and ordered Fuze pizza delivery after a couple servings tequila, then drank 2 canned coca colas with the whole box of garlic knots, 1/4 the cheesy bread, 1/4 the small veggie pizza, and 1/4 the margherite pizza med sized with 1/4 marinara sauce with garlic knots while watching first half of The US vs Billie Holiday on Hulu. Good movie, watched it all and it brought awareness to the lynchings in the South and how the Senate has still not approved a ban on lynch mobs by southerners on people who are typically black but other outsiders from the white community accused of a crime or offense against a white member based on accusation alone. Had three servings tequila by 815 pm. Between the baked cheetos this morning, the poke bowl at lunch time and the pizza and sides of pasta my ankles are super swollen but not feet. Went to bed around 12 am after turning up AC and finishing a bottle of water and putting last load of laundry in the dryer. Woke up around 1250 am because the AC wasn't on and the heat of my body woke me. All the power was off and I had to make sure it was a blackout because the power bill for SCE is due on the 8th and I still have 4 more days, actually its due on the 9th. It stayed off. But I have 2 cell phones to use flash on and this laptop. I went outside with babies and Princess stayed outside I thought to bark at kitten on neighbors wood fence but when I went to the side of the house it was actually a possum, a baby possum on the wood fence. I had to correct myself instead of saying oh hey kitty had to say oh he possum. I didn't know they were climbers. It was odd. I looked across the street and all houses on my block are out, but the block across street has some lights on, and all the street lights are on along Grand Blvd but not in the alley. I reported it online to SCE for the zipcode and my address. Went to bed around 215 after looking at my laptop with power off and then having the power come back on while viewing stories to comment on facebook.</t>
  </si>
  <si>
    <t>If I took vitamins today or not</t>
  </si>
  <si>
    <t xml:space="preserve">2 slices cheesy garlic bread
(420.00	26.00	10.00	14.00	32.00	1.00	780.00)
3/4 veggie pizza
(918.00	39.30	18.30	36.90	102.60	5.40	1944.00)
1/4 margarita pizza
(1160.00 44.00	24.00	48.00	144.00	16.00	2200.00)
nitro cold brew with pump butter pecan and 1/4 cup almond milk, Dunkin Donuts
(70.00	5.00	3.50	1.00	4.00	0.00	15.00)
1/2 cup vanilla honey greek yogurt
(120.00	4.00	2.00	9.33	12.67	0.00	33.33)
2 pieces cheese bread
(420.00	26.00	10.00	14.00	32.00	1.00	780.00)
1/4 margarita pizza
(1160.00 44.00	24.00	48.00	144.00	16.00	2200.00)
=420+918+1160+70+120+420+1160
=26+39.3+44+5+4+26+44
=10+18.3+24+3.5+2+10+24
=14+36.9+48+1+9.33+14+48
=32+102.6+144+4+12.67+32+144
=1+5.4+16+0+0+1+16
=780+1944+2200+15+33.33+780+2200
</t>
  </si>
  <si>
    <t xml:space="preserve">Woke up at 6 am and turned off alarm at 630 am and set one for 730 am or turned the one I had for 730 am on, and got out of bed at 7 am. Got about an hour between initially going to bed and waking up hot when AC was off as well as all electricity in house and then about 4 hours of sleep afterwards for about 5 hours of sleep. I have a client today at 9 am and another at 7 pm. Could possibly have a few others schedule one in between that time. I had my morning coffee but went ahead and had breakfast with it, 2 pieces of the cheese garlic bread no sauce to dip in, it was there but I chose not to use it. Took measurements after breakfast and first cup of coffee. Had a sm BM before shower, washed hair and had time to put on makeup before leaving for 9 am client. Did a Target Run later in afternoon, to get cat food one case water vegan meat instant coffee, paper towels toilet paper foil baggies paper bowls laundry detergent 409 cleaning spray grapefruit scented clorox wipes eggs cheese and some workout attire that included leggings green print gray seamless sports bra package undies seamless tummy control 4 pack or the bikini 4pk non tummy control and some very low socks to wear that hopefully won't make my legs itch like my knee high compression socks tend to do. The kitten was safely awaiting under the house this morning but didn't see the black cat. Keep wasting cat food when I put it out there and they aren't to be found, the flys and ants get to it first and they won't eat it. I had a nap before Target around 11 am until 12 pm for an hour, and for a snack before napping had 4 slices the small vegetarian pizza from yesterday and a 3.5-4th cup instant coffee, and a 5th cup coffee from Dunkin Donuts on way to Target a butter pecan added with almond milk to nitro cold brew that looks just like old melted coffee slightly cold. It made two mugs filled. Then got home and made earlier client's SOAP notes and updated this database. I emailed my school earlier that I will be tending for the DC program about what the $6,250 healthcare loan is each term, bc I could get health insurance much cheaper and would not want to take out that loan for 3 terms a year at that rate. That's ridiculous. Maybe its a buffer to keep from working as much to be able to study more to do well. Still waiting a reply. Because I was told it $12,500-$13,000 per term for 12 terms on my program. That works out to be $10,250 a term in academic loans on the student login plus that $6,250 for healthcare which is much more expensive than the stated amount. I haven't heard from the TX massage board in any form, but also haven't called them. Still waiting for my genomic data to come in too. And found out my check is good. I spent another large amount at Target on the added personal attire garments to normal shopping. About $250 again, on credit card. But will be able to put a large chunk on my credit card because of the money my dad gave me and also the check after paying SCE $160 and my van payment of $600. There was an email that one online vetmedin provider has the normal amounts now and that I can buy as much as I want while they still have it. I think I will. Its not the one that delivered the package but the mail lady didn't actually deliver it. They did give me a refund after I sent them the police report number they requested I complete. I also got the same vanilla honey greek yogurt in 2 pints and a bottle of multivitamin gummies (vitafusion womens multi daily vitamin gummy berry flavored) from Target and took 2 as a serving when I unpacked the groceries but actually immediately after unpacking groceries and put the new attire in laundry to wash with 1st client's linens, waiting for 2nd client's linens later tonight. The other clients didn't schedule anything today between my clients. Normally they do, but one just started work and is either there or exhausted and the other one goes on a lot of vacations and also gets clients at random due to her job as a lash expert and esthetician. When I got up from my nap before leaving for Target I also had another 1/4 the margarita pizza in air fryer, the same with the other pizza cooked in airfryer. I brought in from the van earlier today instead of yesterday when about to leave to go to my 9 am appointment. But before showering. After Target I had the last of the veggie pizza, 1/4 of it or 2 slices, so I ate 3/4 the veggie pizza today and 1/4 the margarita pizza today and 2 pieces cheese bread no sauce. I put the roasted packaged peppers on first veggie slices in airfryer and it was really spicy, felt like my tongue was on fire 20 minutes after eating it already, and a little stomach acid later in day. Took another nap for 30-45 minutes around 5 pm and woke up at about 545 pm. Then had about 1/2 serving or 1/2 cup greek yogurt before leaving to client's house at 630 pm. Then when I got back, did laundry and ate the last 2 pieces of cheese bread no sauce and had 2 shots over ice of teremana tequila (2nd BM reg sz after 1st drink) and later 3 slices of the margarita pizza all heated in air fryer 3-4 minutes. Sent refunded client her receipt for refund started few days ago. Some of my good emails go into junk email due to the facebook notifications being sent as junk email my other emails get sent there too. Lately a bunch of muslim country people friending me on facebook and I accept. But have no affiliation whatsoever with them. Maybe its Texas DLR in provoking or insinuating some relationship with foreign nationalities they consider a threat to patriotism, I do not know or have a clue why all of a sudden many muslim or Arabic people are trying to be my friend on facebook when I have had less than 5 friends for a year or more on face book. Not until I added my few male clients who served in airforce, now weeks later all these muslim type people are friending me. Weird.  These 3 slices of the margarita pizza is actually if you picture a medium pizza cut into not only quarter sections but each quarter section cut into 3rds so that the medium pizza has 12 slices. Just to be clear. These 3 slices are actually 1/4 the pizza as a whole. </t>
  </si>
  <si>
    <t>womensMultiVitamin</t>
  </si>
  <si>
    <t>Woke up by alarm at 530 am but got out of bed at 605 am and restarted dryer, cleaned a pet mess, made coffee, gave Growly his meds, fed babies with icecream except meow meow, fed kitten outdoor. Had 1st cup of coffee while completing the email to send last night's client her SOAP notes and receipt and then had a sm BM and 2nd cup coffee while putting away laundry after folding it, then had the last of the 1/4 margarita pizza in airfryer when the roommate came home. Took measurements while pizza in air fryer and got ready for work. My ankles were really swollen by the end of the day. It has been 14+11 days since my last full cycle menstruation started so I should be starting my menstruation soon unless the last partial one made it reset. I am also heavier, so retaining water, my calves are a lot more swollen than normal, I could barely put on my leggings I just bought from Target and washed before wearing. For lunch had the beleaf burger at 99 cravings across the street in their food plaza, like a generic vegan in n out burger with their french fries and their generic version of coca cola.With added vegan bacon. They put tomatoes, beyond patty, lettuce, white buns, thousand islands sauce 1 tbs at most, the vegan bacon added probably morning star brand, and grilled onions. For my 4th cup of coffee at work when a no-show at 1030 am, had 3 carmel creamers with the work keurig Donut House coffee. And my 5th coffee was a brown sugar oat milk shaken espresso grande size from Starbucks. My legs itch. Client didn't confirm for later at 7 pm, but checking to see if she confirmed for the other massages. She confirmed the other two and she scheduled this one more than a week in advance with the lipocavitation machine. I will call before going over there and see if she answers because my legs itch. I don't want to waste a trip but I could use the workout but feeling really bloated and retaining water with my legs itching. Tried the below the ankle socks but my ankles swelled up, my calves didn't itch at that time though. I did a little dry brushing then measured my Left calf at 15 5/16" and my Right calf as 14.5" and am definitely retaining water. Just texted client to see if she could confirm by 645 pm and I will get my scrubs on real fast and head over there if so, otherwise stay home. That cat outside, the black one, is so cute, it used to do a cute little hiss to greet me in the morning when I feed her but since she noticed the kitten meows and gets food, she now does a little meow. Its so adorable. I just had to note that. I saw her this morning. I love my pets. I got a reply this morning from the financial advisor that the healthcare financial aid approval is not for health insurance but for getting more federal aid to help pay for school in a qualified healthcare field and that it could help with additional money to pay for necessities while in school. That is great news. Client confirmed after I cancelled her appointment through square app. She confirmed via text. I was able to get there on time. Good thing too, because I almost had my first serving of tequila. Got back around 830 pm, did laundry and had a serving tequila and made 4 boiled eggs I ate then a 2nd serving tequila by 930 pm. Getting ready for bed. by just unwinding looking at anything interesting online.</t>
  </si>
  <si>
    <t>vegan cheese spread similar to vegan cheese slice 1 serving, calorieking.com</t>
  </si>
  <si>
    <t>thousand island salad dressing, calorieking.com</t>
  </si>
  <si>
    <t>1/4" sliced tomato, calorieking.com</t>
  </si>
  <si>
    <t>lettuce 3/4 cup, caloriking.com</t>
  </si>
  <si>
    <t xml:space="preserve">1/4 margarita pizza
(1160.00	44.00	24.00	48.00	144.00	16.00	2200.00)
brown sugar oat milk shaken espresso Starbucks
(120.00	3.00	0.00	2.00	20.00	1.00	120.00)
3 carmel creamers international delight work coffee
(105.00	4.50	0.00	0.00	15.00	0.00	45.00)
beyond meat patty
(260.00	18.00	5.00	20.00	5.00	2.00	350.00)
white bun for vegan burger
(190.00	2.00	0.50	6.00	36.00	1.00	380.00)
vegan cashew cheese slice
(100.00	9.00	4.50	2.00	4.00	0.00	115.00)
lettuce
(17.00	0.10	0.10	1.30	3.30	0.00	27.00)
tomato
(4.00	0.10	0.10	0.20	0.80	0.20	1.00)
thousand island 3/4 tbsp
(59.00	5.60	0.80	0.20	2.60	0.10	138.00)
french fries 1 1/2 servings
(480	23	4	7	63	6	370)
coca cola generic fountain soda
(180.00	0.00	0.00	0.00	50.00	0.00	60.00)
4 eggs boiled after client and 1 serving tequila
(280.00	20.00	6.00	24.00	0.00	0.00	280.00)
=1160+120+105+260+190+100+17+4+59+480+180+280
=44+3+4.5+18+2+9+0.1+0.1+5.6+23+0+20
=24+0+0+5+0.5+4.5+0.1+0.1+0.8+4+0+6
=48+0+20+6+2+1.3+0.2+0.2+7+0+24
=144+20+15+5+36+4+3.3+0.8+2.6+63+50+0
=16+1+0+2+1+0+0+0.2+0.1+6+0+0
=2200+120+45+350+380+115+27+1+138+370+60+280
</t>
  </si>
  <si>
    <t xml:space="preserve">Woke up by alarm at 530 am, went to bed last night around 1030 pm, so got about 7 hours of sleep. Cleaned a pet mess, made coffee, made Growly his meds in food and fed babies with icecream except meow meow. Made a couple gardein burger patties, a bag broccoli rice, and 4 slices oat bread with mozz/parm G&amp;G brand in airfryer. The broccoli microwaved first then airfryed, ate 1/2 sandwhich and gave other half to babies and brought other to work, folded laundry, had 2 cups of coffee lg spoons, and took measurements after alarm to get ready for work at 630 went off. Didn't feed cats outside because they weren't there and I don't like feeding the ants and flies, they won't eat it if the ants and flys are all over the wet cat food. Had a sm BM after breakfast and after measurements. A little bit of spotty blood noticed, so most likely will have my regular menstruation cycle as it has now been 26 days since the last complete cycle that includes this last partial spotty cycle that lasted a few days and never got light, med, or heavy. Calves: Left calf swollen but not as much as yesterday at 3:05 pm 14 11/16, and Right calf is 14 1/16" and I will measure them again later around widest point where gastrocnemius and soleus bulge while not flexing and relaxed. This morning was a fiasco, waze didn't say 71 N closed, both on ramps, had to take side streets was late 15 min but called it in 20 minutes before 8 am. The workers never notified me or other drivers it would be shut down like they normally do by leaving readable construction signs that are digital that say to prepare for a planned road closure. They didn't and nobody reported it. Then of course I have 4 back to back and each one gets pushed back more, and they are upset I am late and they had to wait not just 15 min but 20-25 minutes. I can't do anything but apologize, luckily they pushed back the 3rd one 30 minutes for me and changed my last 90 minute to a different person for 60 minutes so I still got my hour break. For lunch had a couple of the airfryed mozz/parm oat bread and the gardein vegan patty, and about 1/2 cup or 1/3 cup the broccoli rice. The roommate wasn't back by the time I left in the morning and when I got back I spun his laundry but it never ran through the wash cycle. Also, Growly passed out again and peed himself while on the bed. I thought he was a gonner this time. He was doing his normal coughing from excitement then he conked out with his left arm out awkwardly and prone. He woke up about 1 minute-2 minutes later with me patting his back and petting him and peeing himself. I threw those in with the roommate's laundry items and poured a couple scoops of my Gain laundry detergent in with it. He has had to work weekends now because they fired a guy for sleeping on the job. I now have 4 mattress pads and fitted queen sheets, so not a big deal to wash the bedding, but need to do the blankets next.Then I will get to my clothes. I have a family massage tomorrow after work. Had a couple slices of oat bread with mozz/parm in airfryer with 1 cup approx. of vanilla honey greek yogurt, then later finished the last 1 3/4 servings of the teremana tequila over ice. And later had 4 boiled eggs while setting up a virtual machine with Virtual Box and ubuntu and setting up anaconda 3 inside the linux VM of ubuntu. Got almost all the packages the biopython cookbook requires. I initially tried setting up ubuntu on my desktop but it wasn't having it. And not doing the docker portion of this book. Since my VM is working I will stick with it. There seemed to have been bugs before and that was with older outdated VM on my other laptops that wouldn't allow some functionality as they all moved to updating this newer version. Didn't get too far by 744 pm but my skin felt really itchy before drinking the alcohol, and I had a 20 minute nap before starting around 5 pm. Had the drinks around 530 pm. My foot is swollen on Left leg and the leg. I also had another sm BM while finishing the last 3/4 serving of the tequila. Later had about 1 cup of the cookies and cream icecream from Target. </t>
  </si>
  <si>
    <t>favorite day, Target brand, cookies and cream, icecrea, serving is 2/3 cup</t>
  </si>
  <si>
    <t xml:space="preserve">1 1/2 Gardein vegan beef patties
(315.00	16.50	13.50	30.00	10.50	1.50	675.00)
5 slices oat bread
(550.00	10.00	0.00	20.00	95.00	10.00	675.00)
3/4 cup mozz/parm
(300.00	18.00	12.00	24.00	6.00	0.00	840.00)
1/2 cup broccoli rice
(13.33	0.00	0.00	1.33	2.67	2.00	13.33)
1 cup vanilla honey greek yogurt
(240.00	8.00	4.00	18.67	25.33	0.00	66.67)
1 cup cookies and cream ice cream
(285	13.5	9	4.5	37.5	0	120)
4 eggs
(280.00	20.00	6.00	24.00	0.00	0.00	280.00)
=315+550+300+13.3+240+285+280
=16.5+10+18+0+8+13.5+20
=13.5+0+12+0+4+9+6
=30+20+24+1.3+18.67+4.5+24
=10.5+95+6+2.67+25.3+37.5+0
=1.5+10+0+2+0+0+0
=675+675+840+13.3+66.67+120+280
</t>
  </si>
  <si>
    <t>7 Leaves Vietnamese coffee, https://7leavescafe.com/vietnamese-coffee</t>
  </si>
  <si>
    <t>7 Leaves honey boba, https://7leavescafe.com</t>
  </si>
  <si>
    <t xml:space="preserve">1 1/2 Gardein vegan beef patties
(315.00	16.50	13.50	30.00	10.50	1.50	675.00)
3 slices oat bread
(330.00	6.00	0.00	12.00	57.00	6.00	405.00)
3/4 cup mozz/parm
(300.00	18.00	12.00	24.00	6.00	0.00	840.00)
1 cup vanilla honey greek yogurt
(240.00	8.00	4.00	18.67	25.33	0.00	66.67)
4 eggs
(280.00	20.00	6.00	24.00	0.00	0.00	280.00)
6 international delight coffee creamers 4th cup coffee at work instant with work hot water
(210.00	9.00	0.00	0.00	30.00	0.00	90.00)
vietnamese coffee 7 Leaves with tbs honey boba
(350.00	9.00	9.00	2.00	65.00	10.00	71.00)
=315+330+300+240+280+210+350
=16.5+6+18+8+20+9+9
=13.5+0+12+4+6+0+9
=30+12+24+18.67+24+0+2
=10.5+57+6+25.33+0+30+65
=1.5+6+0+0+0+0+10
=675+405+840+66.67+280+90+71
</t>
  </si>
  <si>
    <t xml:space="preserve">Woke up by alarm at 530 am went to bed some more until 6 am got out of bed, the roommate was home last night, no pet messes to clean, made my coffe fed Growly his meds and the babies their food with icecream except meowmeow. Updated this nutrition data base and restarted dryer of my laundry. My menstruation is still just dry very few spotty blood, not even light yet. Ankles weren't as swollen. I went to bed around 1020 pm last night, so got about 7 1/2 hours sleep. I have a family massage tonight for four hours in Chino, but want to go home first to give Growly his meds and eat. Also, have to leave earlier just in case the 71 is shut down today. It could be shut down other direction tomorrow or today. Measurements taken before a BM and before breakfast, same as yesterday for breakfast 1/2 gardein patty and 1 slice oat bread and 1/2 sandwhich, other half shared with babies. 1 cup yogurt too. Put away laundry and made some boiled eggs for after work. Had a small BM before my shower. Left for work at 810 am about 15-20 minutes earlier than normal, had to take side streets to work, had a 4th cup coffee at work with 6 creamers, and a 5th at 7 leaves the med vietnamese coffee with honey boba off Soquel cnyn on the way home, the 71 N is still closed but 71 S is open. Will need to take the side streets to clients' by 415 pm to get there about 450 pm. Famil ymassage 5-9 pm. Had the yogurt at my noshow at 10 am and the sandwhich of oat bread with airfryed gardein vegan beef patty and mozz/parm on top of bread for lunch and went to Dollar Tree to get oils and bottles, they ran out or no longer carry my coconut fracted oil. Had to get regular cooking solidified coconut cooking oil. I went to the family massage and made it on time taking side streets. Met my client's little sister and her boyfriend. I see this client usually for an hour and a half couples massage each for her and her now husband. Very nice couple. She was really generous tonight. She tipped me a lot on top of the great promotion I offer to families for four hours of massage. Super nice. Tired at home, waiting for laundry. Was going to have a glass of that moscato I still haven't opened but didn't. Just updated this. Will do some of the family massage client's SOAP notes and receipts or all before bed. My ankles and knees and calves swollen, but not too bad, just pressure in knees from wearing compression socks and waist trimmer all day. </t>
  </si>
  <si>
    <t xml:space="preserve">Woke up by alarm at 630 am but stayed in bed until 7 am and got out, did the normal routine, the roommate left some paper towels on ground that had pee on it where he didn't clean it up and meow meow was laying on it like a blanket. Poor kitty. She is starting to lay in the bed more until the pups pick on her then she gets off the bed. Made my coffee and fed Growly his meds and the babies their food and cleaned up that pee mess. I sent out the clients' SOAP notes and receipt to main client with email she shares with her new hubby, but they dated for 10 years, and none to her guests or family members, they get their SOAP notes emailed when I fill it out. And main client paid for all. Then folded laundry from last night after it was done in another cycle of the dryer. I noticed a guy came by yesterday around 1045 am in a 4 door white sedan with black windows and moon roof, can't tell if it is a Honda, Toyota, or scion, and can't make out plates. He went up to the porch according to blink, it only got 5 seconds of him entering porch then the last minute's 5 seconds of him leaving porch. Those cameras are sort of crap. They only get bits and pieces of information. I told Dave about it and found out through my live wire cameras on the alley that he pulled in from back alley and pulled out when leaving instead of going to street in front. The landlord thought he was trying to steal his tools and I thought he stole my mail, bc the mail lady a new one with braids was seen the day before around 1130 am pulling mail out, but that was it on blink, nothing of her dropping mail off or leaving, and the landlord was here too bc he has clips of him, but was probably inside doing work bc he didn't speak to her, but he did see the cat we haven't seen since Friday. He also thinks she has babies somewhere and is friendly. I think she looks like a small cat/kitten but older. I didn't notice her belly being big like the roommate did or her being a mom like the landlord did. I took those video clips last night and then showed them to the roommate this morning. He got on offensive and is on lookout. Had 3 cups of coffee by 9 am but no BM, felt like I might have one. I have to print out and fill out some documents for my TB test and my physical in Whittier tomorrow at 10 am. I work tonight until 10 pm. Feeling tired but I went to bed late. Around 12 am after texting landlord videos of strange guy approaching porch. Had about 6.5-7 hours sleep. Still only spotty on rag, not light flow yet, and my Left ankle/foot/shin feel swollen and pressure in low leg the right leg and knee and ankle doesn't feel as bad but the ankle is swollen. Had the last of one pint of the yogurt about 3/4 - 1 cup and 2 slices oat bread with mozz/parm in airfryer. Feeling tired. Need an oil change, get some more groceries, and print those forms. Might take a nap before showering for work tonight. I don't trust taking my van to an oil change place but don't really have time or motivation to do it myself. Workers always snoop around, especially guys in a girl's vehicle. And all my work supplies are in there. I would feel better if I emptied it out but thats a lot of work and no where to really put all of it. The small room is packed off to the side with mine and the roommate's things. Measurements taken after breakfast and a reg BM. around 940 am. Took a 20 minute nap around 10 am, got up, had 4th cup of coffee instant, then showered, then went to autozone to get oil change supplies 5W-20 fully synthetic platinum pennzoil 6 qts and a filter for the Ford Transit Connect XL 2.0 L.  Had lunch at Fatburger, their impossible burger patty vegan. And Then paid for my city of Corona Business license 114+card payment fees of $3. approx $117.31. Fed Growly his meds early in afternoon by 130 pm and the babies their lunch. Left for work at 210 pm and saw that there was no need to take side streets bc the 71 was open both directions. I stopped at 7 Leaves coffee and got a larger vietnamese coffee with boba then got to work early and filled out physician form and the TB test form and uploaded to adobe scan to email to the medical office on campus for my doctor appointment tomorrow morning. I did that on my lunch where I ate a poki bowl but it was more vegan with only masago or fish eggs. It had brown rice 3x cucumbers 3x ginger 2xsesame seeds and no sauce. Opting out bc of my swollen ankles and had enough sodium on however much they put on the Fatburger Impossible burger for lunch before work. The poki bowl was really more like dinner. Didn't wear my face mask at all or glasses today at work. My throat got a bit sore and flemmy but no runny nose or coughs. No alcohol before bed bc I am getting up to go to my physical and TB test in Whittier in the morning. It is at 1030 am. I will leave around 8 or 830 am. It shouldn't take longer than 2 hours to get to Whittier even if side streets. Some people said you can take Grand blvd all the way up and it leads to Diamond Bar and Whittier area. I fed the cute black cat I always feed and haven't seen the other mixed tabby kitten around since Friday. Hope its alright. </t>
  </si>
  <si>
    <t>fatburger impossible burger lettuce tomato pickle on hamburger bun no sauce, doesn't include their seasoning they add to patty on grill</t>
  </si>
  <si>
    <t>poki bowl brown rice masago cucumbers ginger sesame seeds extra extra veggies</t>
  </si>
  <si>
    <t>hamburger seasoning, spice hunter generic dry rub seasoning 1 teaspoon, calorieking.com</t>
  </si>
  <si>
    <t xml:space="preserve">1 cup vanilla honey greek yogurt
(240.00	8.00	4.00	18.67	25.33	0.00	66.67)
2 slices oat bread
(220.00	4.00	0.00	8.00	38.00	4.00	270.00)
1/4 cup mozz/parm
(100.00	6.00	4.00	8.00	2.00	0.00	280.00)
fatburger impossible vegan beef hamburger with lettuce tomato pickle hamburger bun not including their hamburger seasoning
(481.00	16.20	8.70	26.50	57.10	5.20	928.00)
poki bowl no fish other than masago, brown rice 3x cucumber,2x sesame seeds,3x ginger, no sauce
(589	21	4.1	18.2	85.2	11.95	381)
large vietnamese coffee with honey boba from 7 leaves
(402.50	11.25	11.25	2.50	72.75	10.00	83.50)
hamburger seasoning
(0	0	0.00	0.00	0.00	0.00	440.00)
=240+220+100+481+589+402.5+0
=8+4+6+16.2+21+11.25+0
=4+0+4+8.7+4.1+11.25+0
=18.67+8+8+26.5+18.2+2.5+0
=25.33+38+2+57.1+85.2+72.75+0
=0+4+0+5.2+11.95+10+0
=66.67+270+280+928+381+83.5+440
</t>
  </si>
  <si>
    <t>carmel machiato grande https://www.starbucks.com/menu/product/413/hot?parent=%2Fdrinks%2Fhot-coffees%2Fmacchiatos</t>
  </si>
  <si>
    <t>green apple or granny smith apple calorieking.com</t>
  </si>
  <si>
    <t>Woke up at 630 am by alarm, have to get ready for doctor physical and TB test in Whittier, plan to leave by 8 to 830. Did normal routine and updated this database, cleaned a bunch of pee messes by pups, went to bed last night around 12 am, just before that time, got about 6.5 hours sleep. Didn't sleep the best last night, had to turn AC on fully and heard cats screaming in middle of night, saw alley cat was ok by pickup truck. Used last of vanilla icecream for babies and Growly's meds with their food for breakfast. My rag started becoming more spotty yesterday evening and was light by the time I went to bed, and was light flow by the time I woke up. My ankles weren't too swollen when I woke up but got back to swollen after an hour standing and updating this database. Measurements taken while drinking 2nd cup of coffee, before BM, and before breakfast of cup yogurtt. I have to see if my new client at 415 will start around 330 pm instead bc I won't make it to south corona by 6 pm otherwise or if I can start the Anguinos early. Had a lg BM after 2nd cup of coffee and then texted my clients of conflicts to move around schedule and waiting for them to reply through RingCentral App. I took my ab measurements after 2nd cup coffee and lg BM and they were almost the same, BB is 31.5" and 2" below BB is 32.75". Have to shower now. Looking like 830 am is the leave by time for the health office of my campus in Whittier. Did the physical after TB test, a young female happa like me Filipina White doctor of chiropractic resident, I have everything good, but the reflex on the R foot/ankle. She called it something, not sure what. Probably bc of the weak knee I have been having since Jan when twisting it slightly lifting too much on barbell to squat olympic style. She was nice, took about 30 minutes. A lot of physical agility tests, I didn't know I would really be doing any of that sort of testing. Looked like the same sort or similar tests when applying to Navy, with duck walks and jumps and squats and walking on heels and then on balls of feet, testing the ankle by moving foot and the stretch and resistance of neck and muscles. It was neat that I passed all of those. I fell when Jumping up bc I don't ever do those, the same type of jumps for box squats but she was just checking for aches when landing or jumping. Then the normal physical stuff like oxygen, blood pressure, weight, height, lungs when breathing in stethoscope. I go back Thursday to have my TB test read. Reviewed all my SCUHS student portal items to get ready then spoke to my admissions advisor who will check back with me in 2 weeks, 1 week before school starts, the 2nd week school starts the financial aid gets disbursed. Probably a check but could be direct deposit, but there is a delay. And first term is more expensive due to medical equipment buying for labs that is about 1k more than other terms. Very helpful guy. I then left for my 330 pm in Chino and 6 pm in South Corona, all of those were great, got another month out of the south corona return clients, and then the chino client sounds like she could be booking more as she aches from her car wreck and has had a rib out of place by her PTs diagnosis and I told her it was common and she should check out a chiropractor. When I got back from the physical around 11:55 am, I was going to change my oil, but didn't have enough time, though I bought the supplies at autozone norco yesterday. Fully synthetic 5w-20 6 qt and oil filter. I stopped at local Main st Starbucks and got a carmel machiato iced and a brown sugar oat milk espresso both grande. I drank 2 big coffees for breakfast instant about 3 cups, those were my 4th and 5th cups. Had the carmel machiato then did all the school review, and before leaving for clients a few hours later had the espresso drink. I also made some tacos, 3 guerrero with sliced mozz 3 slices and 3 corn tortillas taco ish style with some cut diced peppers I had in fridge and mozz parm in air fryer. Then made the last beyond meat with the last of the diced peppers and the broccoli rice I made a few days ago I didn't eat all of, didn't eat any of it but its in the fridge. Then after the first client stopped at the vons or albertsons by south corona clients and got some mangos and peppers and a fruit and colby cheese prepared fruit box, with 1 green apple, 1 tangerine type cutie orange, and about 4 sliced strawberries, with about 2.5 servings of cubed colby jack cheese. After the clients, stopped at Target and got some items for house, catfood, more paper bowls, some plastic tupperware containers, eggs, water, beyond meat was not there, a new substitute that isn't frozen but looks odd and is soy&amp;gluten free with same protein 19g as beyond pea protein. I will try it out. I also got the frozen 6 patty impossible for $14, the other ones they had before were 2 patties for $3.50 each on sale, but gone. They had an original price of 4.99 for 2 patties of impossible. These are made for grill. I will try them out in the air fryer. Also some more oat bread. I also got a 1 gallon neopolitan icecream. Menstruation stayed light but got a little heavier by the end of the day. Didn't do SOAP notes or receipts by 1030 pm. But will, debating or contemplating a drink before bed. But my skin isn't itchy and I had a TB test and I will be dehydrated from my menstruation when it gets heavy. So probably not tonight. I emailed my client this morning before leaving for the physical and she sent me a photo of the rain on her porch in AL. Looks nice. She is a nice lady. Very friendly. I decided to have a couple drinks of Jameson while preparing the receipts and SOAP notes for clients and uploading this database saying I didn't drink and went to bed around 11 pm, but didn't. I had a Jameson and felt fine then another over ice water while making the clients' receipts and SOAP notes, very repetitive stuff not rocket science, but sometimes when I drink I forget to put the correct item or the receipt number but always correct it. So I was careful while drinking to not make that mistake. Also, had some of that beyond meat with the mix of peppers and broccoli rice and 2 guerrero corn tortillas and mozz parm in airfryer. It was good, made the babies their own to split. Then went to bed around 12 am.</t>
  </si>
  <si>
    <t xml:space="preserve">1 cup vanilla honey greek yogurt
(240.00	8.00	4.00	18.67	25.33	0.00	66.67)
3 corn tortillas guerrero
(150	1.5	0	3	31.5	3	30)
3 slices mozz
(180	12	7.5	15	3	0	420)
1/2 cup mozz/parm
(200	12	8	16	4	0	560)
1/2 cup red/yellow/green bell peppers diced
(17.33	0.00	0.00	0.50	3.83	1.00	1.17)
carmel machiato grande starbucks
(250	7	4.50	10.00	35.00	0.00	150.00)
brown sugar oat milk espresso starbucks
(120.00	3.00	0.00	2.00	20.00	1.00	120.00)
2.5 servings cubed colby jack cheese
(275.00	22.50	12.50	17.50	0.00	0.00	425.00)
1 cutie orange or tangerine
(40.50	0.00	0.00	1.00	10.50	2.00	1.00)
4 strawberries
(25	0	0	0	6	1	0)
1 green apple
(102.00	0.30	0.00	0.80	24.00	5.00	2.00)
1/4 the beyond meat, broccoli rice, peppers
()
2 guerrero tacos
()
1/4 mozz parm
()
=240+150+180+200+17.33+250+120+275+40.5+25+102
=8+1.5+12+12+0+7+3+22.5+0+0+0.3
=4+0+7.5+8+0+4.5+0+12.5+0+0+0
=18.67+3+15+16+0.5+10+2+17.5+1+0+0.8
=25.33+31.5+3+4+3.83+35+20+0+10.5+6+24
=0+3+0+0+1+0+1+0+2+1+5
=66.67+30+420+560+1.17+150+120+425+1+0+2
</t>
  </si>
  <si>
    <t>jameson whiskey</t>
  </si>
  <si>
    <t>pot beyond meat with broccoli rice and 1 cup of diced red/green/orange bell peppers, makes 3 bowls</t>
  </si>
  <si>
    <t>7 Leaves Sea Cream black coffee 20 oz</t>
  </si>
  <si>
    <t>7 Leaves grass jelly</t>
  </si>
  <si>
    <t xml:space="preserve">5 corn tortillas Guerrero
(250	2.5	0	5	52.5	5	50)
3/4 cup mozz parm
(300	18	12	24	6	0	840)
1 1/2 bowls beyond/broccoli/peppers
(614.5	36	10	44.75	30.25	12.5	734.25)
sweet cream black coffee with grass jelly lg 7 Leaves iced drink
(210	11	7	1	57	0	370)
1 cup neopolitan 'good day' brand icecream
(170	8	5.00	3.00	22.00	0.00	65.00)
1 serving corn tortilla rounds chips
(140	7	1	2	18	2	90)
=250+300+614.5+210+170+140
=2.5+18+36+11+8+7
=0+12+10+7+5+1
=5+24+44.75+1+3+2
=52.5+6+30.25+57+22+18
=5+0+12.5+0+0+2
=50+840+734.25+370+65+90
</t>
  </si>
  <si>
    <t xml:space="preserve">Woke up at 530 am by alarm but went back to bed until about 620 am before the 630 alarm went off then got out of bed when the 630 alarm went off, cleaned some pet messes, gave the babies their food and Growly his meds, had my coffee and folden laundry from yesterday and put away of linens and work clothes and by 2nd cup of coffee by the time done had a lg BM, measurements taken after lg BM. My ankles are still swollen and feet, I wore tighter compression socks yesterday and they seemed to help some. I am now still light but a bit heavier on mensa flow, probably going to be about medium flow to heavy flow later in the day. Didn't have breakfast by the time the 730 alarm went off to get ready for work, was updating this data. For breakfast had the beyond beef in two corn tortillas microwaved, packed the airfryer and 3 tacos the same for later. All had the added mozz parm. My legs felt really swollen around inner thigh and knees and LB Right side at work. I checked out my genetic reports on nebula.org and found out I had a very high percentile of 86-91 percentile for autism spectral disorder (ASD), hemorrhoids, heart disease issues in the brain, and other reports I want to check out. Shared it to instagram because I don't care. I had my 4th cup the instant coffee bc the 1st and 2nd cup was really enough for 3 cups coffee. After work had the 5th cup of coffee the sweet cream black coffee with grass jelly from 7 leaves iced like all their drinks. The grass jelly tastes similar to boba. After work explored my reports on associated diseases my DNA is linked to and some of the online orientation. Then on the way to my 7 pm client stopped at WSS to get some open ankle shoes due to my ankles swelling the tennis shoes are a hassle to put on. Found a pair around $45 for some sketchers clog type shoes size 6 but feel like I need a smaller size. I usually wear a 6.5 too. Getting used to them. Client and her cute cat are doing great. No changes since last time. After work got home and had a couple Jameson of the roommate's over ice water and finished the download I started before leaving for the client's house. One was cancelled on the DNA download of approx 50 GB each, but the other downloaded fine for the FASTQ files. Need part 1 of the 2 parts to their FASTQ version of my genome and some other smaller data files on my genome I downloaded. They say I have a high genetic link to lupus, lymphoma, breast cancer, I think glaucoma, schitzophrenia, autism spectral disorder, and others like type II diabetes I don't have a strong link to. Their reports only cover so much detail. They have a software online for analysis that is similar to rummaging through the UCSB and genecards or NCBI data portals but not that great. I am paying $19.99 a month for. AFter the two drinks made the last of the beyond meat with a serving of the corn tortilla rounds chips from vacation at smart &amp; final in fridge. I know high sodium but at this point sodium isn't the problem something else is making my ankles and legs swell. I have to get up early for the reading of my TB test in Whittier but not too worried about it. It never bubbled up like she said or itched. Odd but maybe just means I don't have it. I put the linens in laundry by 1030 pm and started to update this data. Didn't even get to the client's receipt or SOAP notes. Might go to bed. Tired. I also had some of that neopolitan icecream about a serving to 1 cup of it before leaving for my 7 pm client after work. Started my menstruation cramps around the time I left for client's house, its about lt-med flow but could get heavy real soon. Had a small BM after 10 pm some time while drinking a couple of the Jameson of the roommate's drinks. Was still downloading the part 1 FASTQ genome data by 1105 pm but updated this database with nutrition filled out and calculated and sent out client's SOAP notes and receipt before that around 1040 pm approximately. </t>
  </si>
  <si>
    <t>Full Circle organic cane sugar, serving 1 tsp</t>
  </si>
  <si>
    <t>Everything Legendary plant based meat substitute no soy/no gluten, 3 servings per pkg, 1 serving 4 oz:</t>
  </si>
  <si>
    <t>Pot of Everything Legendary plant based meat with green and orange bell peppers and 1 mango, makes 3 bowls:</t>
  </si>
  <si>
    <t>bowl of Everything legendary PB meat peppers mango</t>
  </si>
  <si>
    <t>vanilla sweet cream cold brew Starbucks</t>
  </si>
  <si>
    <t xml:space="preserve">1 cup vanilla honey greek yogurt
(240.00	8.00	4.00	18.67	25.33	0.00	66.67)
8 tsp organic cane sugar in 5th cup coffee
(120	0	0	0	32	0	0)
1/4 cup almond milk unsweetened Almond Breeze good until mid October, but 10 days after opening, opened today
bought about 3-4 weeks ago
(7.5	0.625	0	0.25	0.25	0.25	42.5)
vanilla sweet cream cold brew 4th cup coffee Starbucks Target
(110	6	3.5	1	14	0	25)
serving of the beyond meat peppers mango substituted with Everything Legendary brand PB meat
(261.33	9.00	4.00	22.00	21.00	3.67	452.67)
serving of the beyond meat peppers mango substituted with Everything Legendary brand PB meat
(261.33	9.00	4.00	22.00	21.00	3.67	452.67)
2 servings tortilla rounds chips
(210	10.5	0.75	3	24	1.5	120)
1/2 cup mozz/parm
(200	12	8	16	4	0	560)
=240+120+7.5+110+261.33+261.3+210+200
=8+0+0.625+6+9+9+10.5+12
=4+0+0+3.5+4+4+0.75+8
=18.67+0+0.25+1+22+22+3+16
=25.33+32+0.25+14+21+21+24+4
=0+0+0.25+0+3.67+3.67+1.5+0
=66.67+0+42.5+25+452.67+452.67+120+560
</t>
  </si>
  <si>
    <t xml:space="preserve">Woke up at 630 am by alarm. I have to get ready to go to Whittier for the 2nd part of my TB test to check results. Same time as the other day 1030 am. Want to leave by at least 830 am. I did get there 45 minutes early last time but was able to pee before the appointment and walk around the campus some. I cleaned up some pet messes, made my coffee, then fed Growly his meds and the babies their food, and saw the download from last night finished successfully with about 4 GB left when I went to bed around 12 am. Tired and got about 6.5 hours sleep. Want to also change the oil but the roommate has these rocks down on the dirt I used to change the oil on and it might not work with putting the van ramps on top and trying to drive the van on top. I will see. Might need to go to my dad's house while he's at work to change the oil there with his permission of course. He lives up the street from me on the other side of Grand Blvd. I have one client scheduled so far at 7 pm. Nice lady. Doing the lipocavitation. It is starting to get dark outside now and she lives in apartments but right by my gym too. I need some tennis shoes too maybe with ankle support or wide for working out but easy to put on or covers my swollen ankles for those days. I am not a runner so doesn't matter if they are high tops. Had a regular BM while finishing 2nd cup of coffee, it is like the 3rd as I have been putting more instant coffee in the mixing spoon. Then took measurements before breakfast. Planning for 1 cup yogurt, the vanilla honey greek yogurt. Ankles and inner thighs still swollen and feels like pressure on inner thighs, feeling the pressure in Left foot too. The menstruation is still light medium and only changed the pad one time during the night about 45 minutes before waking up. Went to the campus and had the front desk take a photo before my appointment time and tell me it should take a day or two to get my email from doctor but that it looks good, then I can upload it into EXXAT. I stopped off at Target and bought 5 t-shirts that are cute. Needed something to hide my belly bulge and upper chest veins. Put the cats t-shirt on, and had a vanilla sweet cream cold brew from the Target Starbucks. That was my 4th cup of coffee. When I got home I changed the oil and was done by 1230 pm but after cleaning the supplies it was 1 pm. I then made the new vegan meat similar to beyond meat but different flavor and cooks faster and is refrigerated and doesn't say to freeze it. Made that with one mango and the green and orange bell peppers I bought from the S Corona Vons a few days ago. I also ate one of the mangos. It was good. I had my 5th cup of coffee at that time with 2 tbs raw sugar from the Full Circle brand and 1/4 cup almond milk instant coffee. Had about 1/2 bowl of the pot of vegan meat mix that makes about 3 bowls, with 3 guererro tacos and light mozz/parm approx 1/4 cup. Then I finished reviewing all the orientation documents and files and some videos to take the orientation quiz and got 5/5 on that. Simple enough. I also got some new tennis shoes before changing the oil, from same shoe store WSS, I bought some white Nikes with black swoosh and airmax logo in gray, similar shape to my work van in security footage and colors. And a pair of wide ankle sketchers to tie up that are easier to slip on than the other black nikes I have that the store is still selling. I bought those I think about 6 months ago. Maybe longer. The sketchers are solid black just like my Nikes. Took a nap at 430 pm for about 20-25 minutes and got out of bed at 5 pm. Instagram's autotext infuriated me when I made a post on lymphatic drainage. Some people post stuff under that hashtag like they know what they are talking about and try to knock down another pro's experience or quality of service. Its the same shit for the same stuff, but mine is better, and I am not ignorant like those people into selling stuff that isn't possible to people with wrong service. These people are retarded. One lady posted to #lymphaticmassage and I follow that hashtag, on a whiteboard she wrote some things about top pros booked weeks out, don't expect fibrosis gone in 2 visits if you had 8 and need 10 but had 8 elsewhere. That is retarded right there, bc she should back up every claim she is saying with proof. I haven't seen any of these people improve hard spots called fibrosis, that I think they get from the hot needle of surgeon getting too close to skin and causing scar tissue in epidermal tissue instead of adipose tissue, or the fajas being too tight while healing post op and wearing for 23+ hours that causes pooling of inflammatory agent filled fluid that hardens and causes those hard spots or fibrosis so the patients can keep their contoured shape. They have to wear the fajas to keep the contoured hour glass shape. These competitors of mine in this niche also charge a lot more than me and some do a vigorous or rough 'lymphatic' massage that is NOT lymphatic drainage massage while posting instagram promos knocking other competitors' work out of their way with no proof to back their magical voodoo techniques bc their full of shit and just want that cash and pay a shit load of money on their rent space to lie and connive these patients into their office. Bc first off they are already insecure and believe anything, they paid tens of thousands of dollars they don't have but came upon on plastic surgery for starters and know the dreams and such can be filled and implanted into their minds by the next best thing, and they are always looking for it. Had a double shot jameson, didn't do much after 630 pm client, so had another. Then some nachos with 1 bowl the imitation beyond meat mango peppers made earlier, 1/4 cup mozz/parm and about 2 servings tortilla rounds. Looked at the nebula results and was going to make a blog, but got halfway through reports and didn't feel like it, some of those percentiles aren't significant for the genotypes I have with my mom and dad's contributions, it is a score of 5000 people who I was compared to as a sample of population that I am in a percentile of those 5k people for lower than or higher than by a numeric value of having or not having some disease or condition of genome wide association study GWAS genes. They have some that are adding to likelihood and some that take from likelihood, we all have a combination. The significance is to at least power of -8 or lower like -5, some are exactly at -8 and others I have a higher likelihood of having associated risks have me at more than -8 power as not significant. But some things like the dry eyes and lips genes are correct. But not believing the cancer likelihoods for breast cancers and the mental disorders like schitzophrenia and autism. Still haven't made client's receipt or SOAP notes, not difficult or time consuming bc SAL same as last time. Been lt-med flow all day but had some cramps and felt like I had to go while waist trimmer on, belly feels bloated might be the fibroid growing, made me feel like I was constipated when I went to pee felt like I had to go #2 but couldn't and didn't try. The waist trimmer was probably putting too much pressure on my internal organs. Put laundry in the dryer by 1030 pm and was listening to country music while making client's receipt and SOAP notes I sent out around 1005 pm. Tomorrow a longer day till 4 pm. My boss knows that I need to change schedule to accomodate my chiropractic school. Fridays after 5 pm and Sat/Sun till 5 pm both days opening. Said she will talk to me Monday about it. I go in at night, so she must be there around 3 pm or so. Maybe earlier. Tired, probably sleep soon, its about 1035 pm. I took off my waist trimmer for my 630 pm client, only one for the day. AFterwards dropped off the oil from 6 months ago and today from 2 oil changes at that autozone. They weren't full fortunately were able to take it and the containers. Had my cat t-shirt on. Its a funny shirt for anybody older to wear. It is pink with cats on the front, that with my high water scrub pants, and the pink headband and glasses and face mask. Feeling like an autistic person on the outside. Looked at those reports and not all genes significant. Their sample of 5k people compares my genotypes to those and that I am in the percentile towards or against each disorder or trait. </t>
  </si>
  <si>
    <t xml:space="preserve">Sat </t>
  </si>
  <si>
    <t>Favorite Day neopolitan icecream, serving 2/3 cup</t>
  </si>
  <si>
    <t xml:space="preserve">vanilla honey greek yogurt 1 1/2 cup
(360	12	6	28	38	0	100)
bowl of beyond sub and mango and peppers
(261.33	9.00	4.00	22.00	21.00	3.67	452.67)
2.5 servings tortilla round chips
(350	17.5	2.5	5	45	5	225)
2 slices oat bread
(220	4	0	8	38	4	270)
2 eggs
(140	10	3	12	0	0	140)
2 slices mozz cheese 
(120	8	5	10	2	0	280)
1 serving Favorite Day Target brand neopolitan icecream
(170	8	5.00	3.00	22.00	0.00	65.00)
=360+261.3+350+220+140+120+170
=12+9+17.5+4+10+8+8
=6+4+2.5+0+3+5+5
=28+22+5+8+12+10+3
=38+21+45+38+0+2+22
=0+3.67+5+4+0+0+0
=100+452.67+225+270+140+280+65
</t>
  </si>
  <si>
    <t xml:space="preserve">Woke up at 530 by alarm and laid in bed a few minutes with legs hanging down building pressure then got out of bed. Might have to take side streets to work today bc the 71 could be closed, didn't say what side, but could be the 71N or 71S, but I saw the sign on Mon after 10 pm about 71 shut down fri 8 pm to Mon 5 am on 71S leaving work. I will have to leave early just in case, maybe stop by a store if so. I don't think Target would be open, but a grocery store will. Had a lg BM around the time my 630 am alarm went off and before finishing my 2nd cup of coffee. Finished 2nd cup of coffee and then took measurements, had breakfast and got ready for work. Menstruation is light, and was light last night. Can wear light pad, unless unexpected gusher occurs, to be safe. Do I want to gamble? But also, not showering before work to save time and make sure I get to work with enough time. Nothing planned all weekend. And tempted to refund these 3 MLD client's outstanding credit balance on 5+5+4 MLD massages, they don't need. They are beyond the 6 weeks mark for all of them. They know they can use it as a credit, but I don't really want to be hit up months down the timeline to give out some credit balances, plus right now it is still early enough to get back some Square fees when I refund them their money in my savings for unused massages. Went to work had a coffee with 4 carmel creamers for lunch after trying to fit a shelf I bought at TJ Maxx Home Goods that I though would fit but was 3-5" too big. Made it work. Got home organized laundry, got rid of stuff I don't need, separated clothes and put shoes, towels, and blankets, pillows up on shelf or in a bag in room. Then had some drinks. five servings of Jameson by the end of the night after watching Night Hunter on Hulu from 2019. Pretty good. Reminded me of the creep as twins that creeped me out as first of male clients, has back injury , and that pig nose, loser scum. Was a high school teacher who had to have spinal surgery years before meeting me for massages, and I ended our massage relationship after 4th massage because he kept flailing his legs and ft at me, and did stuff like a psychopath does setting up to kill someone off guard by walking behind me when setting up massage table. He said he had acid reflux and spit after coughing disgustingly and having me press hard into his cervical muscles prone so he could spit through face cradle. So gross! Ryan Sch**t. Last I seen him was before quarantine in 2019 I think. The dude that played twins of him was in movie. It also had some other lesser known actors like Henry Caville, Ben Kingsley, and some girls who was in other movies I don't remember which or the names. I also made mac n cheese with almond milk and 2 slices mozz instead of butter with a oat bread impossible burger made on grill. Burnt and charred the patty following instructions on frozen bag. Tasted the same. Had about 1/3 the package of mac n cheese and shared 1/4 the sandwhich with the babies. princess didn't eat any of it. Went to bed before 1030 pm after movie ended and added notes to this data. Menstruation is light still, and inner low thighs hurt, feel tight like fluid in there too much for skin. They hurt when moving legs further than shoulder width apart to get on off bed or lift leg up to get on bed. Sucks! It literally feels like my thigh skin is too small and being pulled apart by excess fluid retention and causing it to ache. </t>
  </si>
  <si>
    <t xml:space="preserve">Woke up at 530 am by alarm and laid in bed napped a little until 620-625 am. Got out of bed and did normal routine. Went to bed around 11 pm last night so got about 7 hours of sleep. Cleaned pet messes, made coffee, gave Growly his meds, fed babies, restarted dryer. Checked Dad's tax return I mailed in last week but the efile portion, and it was never sent but paid for so sent that out. Thats odd I thought it was sent, but probably not bc of internet connection or his pin. He is getting older and hopefully he will be around a lot longer. He lived a healthy life but was rooming with a chain smoker the last 21 years who passed away in November 2020. Nothing scheduled for my side biz tonight. I am enjoying my time off and having extra money. Got everything done for school just waiting for the TB form to get emailed to me so I can upload it into EXXAT. Had a lg BM before finishing 2nd cup of coffee and took measurements. Didn't have breakfast yet. Or fold laundry and put away. My menstruation was med flow last night and looks like lt-med again today to start out. The feet and legs still swollen but they start out less swollen in the morning. Had about 1/2 a bowl of nachos so about 8 chips and 1/2 bowl of nacho meat just made for breakfast, for lunch packed a cup of the yogurt greek vanilla honey and the rest of the nachos and about 1.5 servings of tortilla chips. Altogether about 2.5 servings tortilla chips and a bowl of nacho meat. Had the 4th cup of coffee instant no fillers for lunch. AT home had a couple servings Jameson bc day off, nothing booked and why not, my roommate told me not to, but his attitude is more toxic than my moderate drinking. Today my dad texted me and said a gray and white cat was dead beside his porch and didn't know how to remove it. I told him to get a DNA scan bc mine said I have genes for autism and schizophrenia and he might too. But also that it was Sherrie his deceased wife trying to reach him but got hit by a car or attacked by dogs or similar and made it to his porch then died. Its odd he texted me to tell me about the dead cat. I also told him about filing his taxes efile late by this morning and that they were rejected due to the 6 digit pin being incorrect, and he already knew that would happen and is why I mailed his returns to fed and state. Listening to the new Dan + Shay on Spotify and had a 3rd serving of Jameson. Let me tell you about these Genome Wide Association Studies or GWAS genes that are associated with genes, they are usually very small samples of people, and cannot be reproduced in other patients across the globe by like minded and educated adults, but the genes have made some introduction into diagnosis of and treatment outlooks for patients so they are kept as their genotypes and usually much less people in the studies examined. They take those genes then they have 5000 people according to Nebula with which they have sequenced and compare the results of your tagged genotypes to those 5000 sampled people to represent the population and give you back a return of how your genotypes known to be associated as reducing or enhancing disease association with those 5000 people, so that if you have more or the highest score you are 100th percentile according to that sample. Given they use statistics and Central Limit Theory and Law of Large Numbers to determine a large enough sample will eventually reach the actual population sample value for what is sought as in the mean or center of the bell curve. This is disturbing, bc, it is not meant to be taken medically diagnosing, but has some information that was examined in other individuals that were studied and compared to your genes and a sample they have that could potentially represent the population as a whole. The sample usually has to be at least 40-100 different patients, but also random, identically and independently selected, and replaced or sampling with replacement for bootstrap method of calculating a population theoretical value. It has been proven in many studies by Gaussian, not knowing first name at moment. However, only those people who had access to genome scanning, could afford whatever price was asked, and felt confident about their genes or had a disease they wanted to get scanned or other reason. So this isn't necessarily random sampling as the population doesn't hold that many people that are represented in a subset of people that had the interest, time, money, etc to get screened compared to others in population that don't have interest, time, money, etc. So not necessarily following the rules for assumptions needed for Central Limit Theory. As the number of samples grow the true mean will converge to the true population mean value. Significance is if the calculated ratio of your value compared to the mean in samples over the number of samples as the true value or number representing lets say someone with Alzheimer's disease has overexpression of some gene by 5.7 figuratively and others randomly selected have values similarly close, than that gene or genotype is examined further to see if it is a target gene and vice versa for under expressed genes that lets say healthy non-alzheimer's disease patients have a much higher expression of a gene and similar genotypes than someone with Alzheimer's disease. I had 3 drinks at this point, and would like to read the bioinformatics book and will very slowly probably a couple pages by 10 pm and its 615 pm. Then had a scrambled egg sandwhich 2 eggs in almond milk on oat bread with 2 slices mozz G&amp;G brand but ate only 3/4 of it, no flavor. Then watched some western movie post civil war from 2015. Looked interesting. Had a tiny BM somewhere between watching the movie and going to bed, for 2nd of the day. Went to bed around 10 pm after watching some older movie about 6 years old western type post civil war movie called 'The Keeping Room' sometimes those movies sound so interesting, because we are so used to surviving off goods and services we all need like phone, fuel, grocery stores, internet, movies, etc, and back then in a war, that had to be tough as a female holding down the house with enemies nearby about to burn your house or take over or rape and pillage, etc. There are quite a bit of those movies out there. Some of the older ones too, only when I am having a few drinks and have time to watch. A whole different world to think about. Probably similar to the turmoil in 3rd world countries by those battles and wars by the state and rebels or guerillas. Thank fully  not a problem here as we maintain everything great. Bed time by about 10 pm. Tired, had 3 drinks total. </t>
  </si>
  <si>
    <t>Kraft mac n cheese dry mix 3 servings per box, 1 box dry:</t>
  </si>
  <si>
    <t>pot mac n cheese made with 1/3 cup almond milk and 2 slices mozz cheese</t>
  </si>
  <si>
    <t>bowl mac n cheese with almond milk and sliced mozz</t>
  </si>
  <si>
    <t xml:space="preserve">frozen impossible burger patty plant based meat </t>
  </si>
  <si>
    <t xml:space="preserve">vanilla honey greek yogurt 1 1/2 cup
(360	12	6	28	38	0	100)
4 carmel creamers in 4th cup coffee
(140	6	0	0	20	0	60)
bowl mac n cheese with mozz slices instead of butter and almond milk instead of milk
(293.33	4.94	2.67	12.44	49.78	2.11	672.22)
1 beyond beef patty frozen kind
(240	14	8	19	9	3	370)
2 slices oat bread
(220	4	0	8	38	4	270)
=360+140+293.33+240+220
=12+6+4.94+14+4
=6+0+2.67+8+0
=28+0+12.44+19+8
=38+20+49.78+9+38
=0+0+2.11+3+4
=100+60+672.22+370+270
</t>
  </si>
  <si>
    <t xml:space="preserve">Woke up at 530 by alarm laid in bed until 550 am, restarted dryer and spun the blanket I washed last night before bed. Made my coffee and fed the babies with Growly his meds, updated this nutrition. I forgot to look at the cameras to see if there was somebody in the alleys leaving the neighbor's house the night before around 11 pm and 1 am bc somebody broke into her car at that time. I will get around to it. Measurements taken after 1st cup of coffee before 2nd cup coffee and before a BM or breakfast of yogurt. Still on my rag it is still light to med flow. Ankles not as swollen but inner thigh still hurt the same feeling of fluid in there or nerve pain. Maybe I am getting fibromyalgia. I don't know. I looked at the video and didn't see anything down the alley bw 11pm-1 am on Fri/Sat but a possum and my alley cat friend, and some other cat moving around. Had a reg BM after 2nd cup of coffee. They are larger spoons of coffee so its like they are 3 cups of coffee. Larger servings than I usually have in 1 cup. For the last month or so my 3 cups are split over 2 actual cups of coffee. At work had 4th cup of coffee with 4 french vanilla creamers the work donut shop keurig and a poki bowl all the normal stuff, double salmon, ponzu sauce, brown rice, cucumbers, ginger, sesame seeds, cream cheese, and wasabi. Then got home tired from the side street drive. I always get really tired half way on the way home, when I leave work I am not tired, but half way home I get super tired. Exhausted. The alcohol woke me up listening to country and taking off the waist trimmer and compression socks. Kept bra on not too uncomfortable. I ended up watching some movie on Amazon the Informer with the actor that is in Suicide Squad that I watched afterwards but fell asleep drunk to it. Kept having a serving of Jameson. Didn't finish it and also had 2 Impossible burgers with mozz sliced cheese on oat bread. Stopped counting after 5 servings but I think I had 2 more after that, so 7 servings since I got home around 4 pm until bed time around 1130 pm or 12 am. </t>
  </si>
  <si>
    <t xml:space="preserve">serving vanilla honey greek yogurt
(180.00	6.00	3.00	14.00	19.00	0.00	50.00)
2 impossible patties
(480	28	16	38	18	6	740)
double salmon poki bowl 
(554.50	11.18	2.15	17.80	96.55	8.35	901.00)
with creamcheese
(51	5.1	3.2	1.1	0.4	0	43)
4 slices oat bread
(440	8	0	16	76	8	540)
2 slices mozz cheese
(120	8	5	10	2	0	280)
4 french vanilla coffee creamers
(140	6	0	0	20	0	60)
neopolitan icecream
(170	8	5.00	3.00	22.00	0.00	65.00)
=180+480+554.5+51+440+120+140+170
=6+28+11.2+5.1+8+8+6+8
=3+16+2.2+3.2+0+5+0+5
=14+38+17.8+1.1+16+10+0+3
=19+18+96.55+0.4+76+2+20+22
=0+6+8.35+0+8+0+0+0
=50+740+901+43+540+280+60+65
</t>
  </si>
  <si>
    <t xml:space="preserve">Woke up at 630 am by alarm, couldn't remember the end of the movies I watched last night, but hung over and feeling it. Laid in bed a few minutes then did the normal routine, washed the pan from the impossible burger 2nd one last night, did normal routine feeling sick and saw I didn't finish the movie and laptop was unplugged and closed. I gave Growly his meds no icecream today bc the babies aren't really eating it, but they had their normal am wet cat food same for meow meow. Made my first cup of coffee about 1 1/2 servings and drank water, started feeling better, started the movie over again to the part they landed on island, and replayed while finishing up the 2nd cup of coffee and then done before end of movie around 835 am and then updated this database. Will probably take a nap before going to work leaving by 2 pm. I am talking with my manager about my schedule today too for school. I also did start drinking yesterday while finally getting the Virtual Machine ubuntu linux anaconda Jupyter notebook to work, bc it wasn't installing the r-essentials, and I started drinking bc it was really really slow and not working then I checked the previous uploaded packages and noticed they weren't in the bioinfomatics environment, so reinstalled, then had success with the r-essentials and r-gridpackage after reinstalling everything individually. I guess I didn't actually save it correctly in a version when shutting it down from a week or two earlier where I had uploaded the packages. Then I tested out the programs in the anaconda jupyter notebook and had an issue with the timezone fault that anaconda's google search fixed. The quetions for the community and the other one that is for coding was useless. I forget  the name of it, but the questions were unanswered or not relevant. I just googled it and saw it is getting pushed further down rankings of most popular choices, stackoverflow.com, is obsolete. Anaconda seems to have the fixes with issues when the package functions are outdated to try a different fix package. Kept feeling nautious and made myself vomit, only acid burnt my throat and a tiny bit of the impossible burger and oat bread came up less than a couple spoons in total. But kept burping up that burger from last night. Then made a 3rd cup of coffee but went through some of the files ln my computer and noticed that I accidentally erased all the biology coursework I had for the summer, Everything! I thought I saved it to my external hard drive but didn't. Know way to recover those files. I wanted to look up the class of starfish that regenerate and shark skin and noticed the files were gone. This is after watching the Suicide Squad 2. Shark skin: cartilage and the class of starfish is echinoderm or something similar. Also wanted to recall exactly when humans migrated from AFrica my memory wants to say 2 million years ago. But cannot confirm that last part after reading about blond dog fur 2 million years ago extinct gene in our domestication of dogs. I still have the lab manual and the book. The animalia was last section. That really sucks that I don't have the powerpoints or any other files from that course like the study guides or worksheets. I didn't upload that file to dropbox either. I remember most of it anyways. But still, good to have it nearby to look at especially with my coursework in biology coming up for the doctor of chiropractic program. I will be chilling out on the alchol consumption from now on. I am feeling really nautious and sick still. Makes me think my biological father who died a vegetable from a heart attach while mowing the lawn in his late 40s will happen to me. He was an alcoholic. But I didn't inherit that gene, because my genome says I don't have a high percentile in their 5000 sampled individuals to compare to for that gene. But do have a slightly higher than average percentile of congestive heart failure. I think the 60th percentile range. At least I have my genetics and my chemistry coursework stored on the external drive and the nebula genome data large files stored on it too. I had a sm BM after looking at computer and noticing files missing and before 3rd cup of coffee. I tried to take a nap before the BM but couldn't take one around 9 am. Head spinning. Felt relaxing for a while but not able to sleep, downed that 3rd cup of coffee that was cooling off after the 1st BM, felt naituous, saw if I would vomit or if I could, I also had my vitamins on empty stomach, 3 today, and 3 yesterday instead of 2. Not bleeding today, just the liquid stuff after menstruation. Then had a 2nd sm BM while updating this nutrition data for yesterday.  Keep feeling sick and on/off nausea. Chest pain slightly not painful but might be me thinking I have a heart condition or where stomach acid is. Sure liver is working to detox blood and this alcohol soaked food from last night. Tried laying down for nap again after setting alarm for 1 and 2 pm. around 11 am, and got a call from my manager for the schedule change and she said it would start the 7th as requested for a year and that if anything changes to let her know and I agreed afterwards to work Mon the 6th 8 am -3pm for Labor Day I usually work at night, but would like to work at that time as they close at 3 pm. I got up about 12 pm after laying in bed cold, I turned off the AC before trying to nap. Ate a peanut butter and jelly sandwhich on oatbread to have something in my system, no longer feeling nauseated but do feel slightly groggy, went outside to soak up some sun while finishing the other half of PB&amp;J sandwhich. Was able to eat no problem and hold it down. Will have a 4th cup of coffee before work today. Measurements taken after eating the PB&amp;J sandwhich. I tried taking a nap again but no luck. Took a shower and got ready for work and laid in bed for about 1/2 hour. Didn't eat anything else but had that 4th cup of coffee before work, and at work on my break ate a falafel bowl but none of the 5 falafels because they tasted gross like the way arm pits smell after sweating. A dude made them. I did have the pickled beats, 3 small scoops of the red peper, traditional hummus and the zesty feta with a red cream sauce have no idea what it is some type of tzaziki sauce. And there was additional feta cheese plain on top. Wasn't tired or sick at work. Had a 5th cup of coffee with 4 carmel coffee creamers after the falafel bowl on break. Schedule is changed and set for early September. I didn't wear my compression socks or waist trimmer today and when I got back my feet and ankles were swollen, the ankles super swollen in the whtie socks with my sketchers version of the crocs without holes. </t>
  </si>
  <si>
    <t>pita bread, calorieking.com</t>
  </si>
  <si>
    <t>wheat pilaf calorieking.com</t>
  </si>
  <si>
    <t xml:space="preserve">peanut butter and jelly sandwhich
(450	19	2.5	15	59	6	405)
4 carmel coffee creamers
(140	6	0	0	20	0	60)
1 serving pickled beets
(40	0	0	1	8	1	140)
1.4 cup serving cucumbers
(4	0.025	0.025	0.175	0.95	0.125	0.5)
1 serving hummus
(435	21.1	2.8	12	49.5	9.8	595)
feta cheese 1 serving
(179	14.5	10.2	9.7	10.8	0	759)
1 serving wheat pilaf
(200	4.5	2	7	40	8	680)
1 serving red pepper dressing sauce
(180	16	3	7	3	1	70)
1 flat bread
(165	0.7	0.1	5.5	33.4	1.3	322)
=450+140+40+4+435+179+200+180+165
=19+6+0+0.025+21.1+14.5+4.5+16+0.7
=2.5+0+0+0.025+2.8+10.2+2+3+0.1
=15+0+1+0.175+12+9.7+7+7+5.5
=59+20+8+0.95+49.5+10.8+40+3+33.4
=6+0+1+0.125+9.8+0+8+1+1.3
=405+60+140+0.5+595+759+680+70+322
</t>
  </si>
  <si>
    <t>frozen Trader Joes Vegetable Panang Curry</t>
  </si>
  <si>
    <t>Woke up at 630 am by alarm, was tired, laid down for about 10 minutes more then got out of bed. My R shoulder aches from the 3 deep tissue massages I did last night. I will nurse it later with the massage gun, massage cane, and CBD and a hot pack or/and red light. I decided I have the day with nothing to do other than work on my genomics book in my linux virtual machine. Fed babies and gave Growly his meds with his food. Haven't been giving them icecream because they don't eat it all but there is still some in the freezer. Made my coffee and cleaned up pet messes before feeding babies. Quite a bit of them or a few even though I took them out late last night. Went to bed just before midnight last night. Maybe about 1145 pm. Also, after 1 st cup of coffee had a sm BM. Ate 3 vitamin women's gummies on empty stomach and made me dizzy while looking at the genomics book and scripts in the virtual machine. Had some mozz cheese about 1 1/2 tbs and 2 slices oat bread toasted plain. Felt better. Was able to get through the interfacing in jupyter notebook bw R and python and the graphs. Will do ch 2 next on next generation sequencing. I had to avoid 1 chunk of code on R conversion of data frame into a python data frame bc the function used wasn't recognized as an attribute to the function. using attribute 'ri2py' it didn't matter really. Probably not, nothing else depended on it. It used a couple ways to 'magic'ally use the '%R' to interface in the notebook bw python and R and the other robjects.r method. No drinks last night bc still recovering but feel good. Not drowsy at all. I took a nap around 1045 am for 30 minutes or so after reading through most of chapter 2 on the FASTA and FASTQ files for the Jupyter notebook. Woke up, didn't shower or brush teeth, but dropped the clothes I had in the van from a few days ago at Goodwill and then went to Starbucks to get a nitro cold brew grande with brown sugar and almond milk and then to Trader Joes. I haven't been to in probably a year or close to it. I picked up some vegetarian frozen meals like vegetable lasagna, some Indian/Thai type savory dishes, a shrimp kabob fresh in deli and a salmon filet and farm raised salmnon patties with bell peppers and a bag of cheetos. Felt kind of nauseated, maybe the coffee, but no headache, that was the 3.5-4th cup for the day as the first two were more like 1.5 cups each due to instant coffee scoop size. Before going to Goodwill I also put some CBD, biofreeze, and infra red light by the wand and the massage gun and massage cane not that order on my R shoulder and then left. I probably smelled like Ben-Gay at those few places I went to. A nice older lady with white hair in a bob touched my back and told me to follow her to the 1st lane, but it was slower and suggested I go to another and I did. She was nice, but that was odd. I had to disrobe when I got home just in case her hand had germs bc I am vaccinated but its odd to touch my back. And my experience tells me those people touching other people and appearing nice or courteous are actually spreading germs. Maybe she coughed in her hand or wiped snot in it earlier then touched my back. I was feeling nauseated while and after eating the vegetable frozen meal of the panang, which is jasmine white rice and a thai type red sauce with green beans and green onions. I don't like to be that way but cashier's sneeze in their hands and greet you courteously while touching your hand grab bag chips and drinks, same with an esthetician I knew who used to have her extraction wet rags in her hands and then touch my freshly washed and dried hair. It was annoying. I do not and absolutely hate germy folks. They are nice, but need to keep their hands to themselves. Started feeling better after pouring some rubbing alcohol on my back that she touched on the clothes then changing into clean clothes and putting those in the dirty clothes. Probably my subconscience just making myself sick knowing germs are everywhere. But I am thinking I am right about the lady spreading germs. Probably bc I kept touching the seafood packaged to pick one out and putting back the others. Also bought some 'saturn peaches' that are like flattened peaches that fit into a pkg of 4 with all peaches exactly the same flattened shape or appear to be. They are good, sweet, juicy. Had one before the veg panang curry and one about 30-45 minutes later. They probably will go rotten soon. There was a pkg in display that looked like it was already leaking brown liquid, didn't get that pkg at Trader Joes.</t>
  </si>
  <si>
    <t>Trader Joes vegan tikka masala</t>
  </si>
  <si>
    <t>Trader Joes baked cheetos 4-5 servings per bag, 1 serving is 3/4 cup:</t>
  </si>
  <si>
    <t>1 raw peach calorieking.com med sz</t>
  </si>
  <si>
    <t xml:space="preserve">2 slices oatbread
(220.00	4.00	0.00	8.00	38.00	4.00	270.00)
1/4 cup mozz/parm
(100.00	6.00	4.00	8.00	2.00	0.00	280.00)
brown sugar almond/oat milk nitro cold brew
(120.00	3.00	0.00	2.00	20.00	1.00	120.00)
trader joes veg panang curry frozen meal 1 pkg is 1 serving
(470	11	9	9	84	9	760)
bag Trader Joes baked cheetos serves 4
(560	24	4	8	72	4	680)
vegan tikka masala Trader Joes frozen meal serves 1
(390	17	4.5	12	49	2	800)
4 peaches
(232	1.6	0.4	5.6	59.2	9.2	0)
=220+100+120+470+560+390+232
=4+6+3+11+24+17+1.6
=0+4+0+9+4+4.5+0.4
=8+8+2+9+8+12+5.6
=38+2+20+84+72+49+59.2
=4+0+1+9+4+2+9.2
=270+280+120+760+680+800+0
</t>
  </si>
  <si>
    <t>wed</t>
  </si>
  <si>
    <t xml:space="preserve">Woke up at 520 am and got out of bed by alarm at 530 am. I went to bed around 10 pm, so got about 7 hours of sleep. Did normal routine, cleaned pet messes, coffee made, Growly given meds, babies fed, then made the shrimp/salmon/peppers kabobs I got at Trader Joes yesterday in airfryer with olive oil and pepper. And folded the laundry and put it away from last night. Looked at the books last night for R and Python with genomics and bioinformatics, and decided to explore the $20/month genomics viewer on nebula.org that I am subscribed to for getting my DNA whole genome analyzed, and they actually have some good stuff on a couple genes that are known to be pathogenesis genes for uterine fibroids, TNRC6B and BET1L, and I saw that I have my variants published for my genome and it says the nucleotide base that is either a duplication, deletion, insertion, in a location where it shouldn't be and if it is something to look out for or not. Nothing red for me, so not to worry, but I had a lot of single nucleotide polymorphisms (SNPs). Interesting. I want to compare it to the genes I put together in my Tableau public dashboard and compare,... eventually. I am not so happy with these self educate books I bought on genomics. Some information, but it always stops at an interesting pedagogy part of the text reading and explains where to go for more information, bc this book isn't for that and backtracks to you should already know or look into another reference to find out more information. Bunch of side tracking. Thought I could do something with the FASTQ files but the long sequences and rankings of how each nucleotide is probably the right one seems like I will have to use a BLAST or basic alignmenst sequencing tool by manually inserting each sequence, but it doesn't give the gene name to each sequence, just the number of variants to each sequence and the long string of the coding region of it. Too much work for what I wanted. The online nebula genomics viewer seems to be good enough. I had oat bread toast for breakfast and a reg BM after 1st cup of coffee which was before breakfast about 45 minutes before breakfast. I had 3 vitamins while eating breakfast. Then took measurements. Ankles aren't too swollen to start the day. </t>
  </si>
  <si>
    <t>chile spiced mangos dehydrated from Trader Joes, serving is 1/2 cup, 6 per bag</t>
  </si>
  <si>
    <t>unsalted cashews, 20 pcs about 1 oz is 1 serving, 10 servings per bag</t>
  </si>
  <si>
    <t>Garlic Naan Trader Joes Indian Bread, serving is 1 slice</t>
  </si>
  <si>
    <t>Roasted vegetable multi-grain lasagna Trader Joes, serving is 1 cup, 4 per pkg</t>
  </si>
  <si>
    <t>parmesan bagel 1, calorieking.com</t>
  </si>
  <si>
    <t>smoked salmon enough for bagel, about 1/3-1/4 cup, 4 oz in 1 serving, calorieking.com</t>
  </si>
  <si>
    <t>capers, 2 tbs, calorieking.com</t>
  </si>
  <si>
    <t>salmon and lox or capers parmesan bagel with creamcheese and tomato slices 2</t>
  </si>
  <si>
    <t>2 slices oatbread
(220	4	0	8	38	4	270)
vanilla sweet cream nitro cold brew
(110	6	3.5	1	14	0	25)
horchata machiato iced beverage at a small ma and pa Chinese coffee snack store, using same as other vanilla sweet cream
taste similar but with cinnamon in horchata version
(110	6	3.5	1	14	0	25)
salmon, lox bagel on parmesan bagel with a lot of cream cheese and tasted like mayo, tomato, some green pea shaped veggies probably the lox and smoked salmon tasted like bacon almost
(723.1	33.7	17.6	39.7	68.6	6.1	3591.2)
serving cashews 20 pcs
(160	14	2.5	5	8	1	0)
2 servings chile spiced mango dehydrated
(280	0	0	0	66	2	380)
1/2 cup salmon on kabob
(268	7.8	1.8	14.2	33.4	1.2	386)
5 shrimp on kabob
(26.25	0.4375	0.0625	5.0625	0.25	0	36.875)
1 tbs olive oil over kabob
(120	14	2	0	0	0	0)
2 pita bread or 'Garlic Naan' frozen Indian entree from Trader Joes, airfryed as is
(500	7	3	14	94	6	620)
=220+110+110+723+160+280+268+26.3+120+500
=4+6+6+33.7+14+0+7.8+0.4+14+7
=0+3.5+3.5+17.6+2.5+0+1.8+0.06+2+3
=8+1+1+39.7+5+0+14.2+5.06+0+14
=38+14+14+68.6+8+66+33.4+0.25+0+94
=4+0+0+6.1+1+2+1.2+0+0+6
=270+25+25+3591+0+380+386+36.9+0+620</t>
  </si>
  <si>
    <t xml:space="preserve">Woke up at 630 am, but a few minutes before it to pee and then let alarm go off. Then laid in bed until 7 am. This new client a guy wants a massage in Pomona at 9 am, yesterday he booked a massage on the scheduler but didn't fill out a consent form, so I cancelled it and told him to do that first, he did, then rebooked. I had to cancel first one bc of that and also bc no way to contact him to ask him bc no phone listed on the square app for his appt. He has a phone listed on the consent form, but I didn't call to ask him any questions to screen him. I will do that before leaving in a few minutes. He wants an hour and a half for 'overall stress in body' and I need to know he isn't some creep or weirdo. Need to ask if he's had a massage before and what type of stress or why he's stressed, he put that his stress is a 3/10 with 10 being the most stress so that would indicate he's not stressed. I also want to know how he heard about my biz and when his last massage was. Getting started late for the day. Finished the Doctor Sleep movie I started last night but didn't finish. Went to bed before 12 am so got about 6.5 hours sleep. Did normal routine this morning and finished 2 cups of coffee by the end of the 45 minutes I didn't watch of the movie. Ate some of the spicy mango and the cashews while watching last of the movie. Then had a reg BM while updating this database. Then took measurements and got ready to go to this potential client's house. Potential if he answers those questions correctly. Ankles and feet are still swollen. The dude answered the questions fine and turned out to be a nice family guy. Close to my work, but I didn't ask how he found my services. But he was sore from work, has had massage but years ago. I am spotty again today, it was red spotty after I changed and got ready to go to the new client's house I noticed, but didn't put a pad on bc I thought it was odd and not likely to be a gusher. I had about a week of it not spotty at all and just ended my rag that missed the med-heavy and heavy days. Continued being spotty the rest of the day. After client's house had the 4th cup of coffee a 7 Leaves large Vietnamese coffee with boba, and at home did the linens and laundry. And made the salmon filet in the air fryer with olive oil, paprika and black pepper for 20 minutes at 360. Turned out really good. Ate that with last of the Indian bread. Shared with the babies and they all loved it, even Meow-meow. Though I only gave them small pieces of the salmon. Ate half that, and saved rest for later. Took a nap at about 130 after being put on phone queue to be called back by the TX dept licensing and regulation for massage to find out how my massage licensing is going. When I woke up 20 minutes later I got the call back and the lady was able to tell me everything is good, but just waiting on the background clearance to get approved. Then I got a confirmation from my admission advisor at SCUHS about a time to speak to each other of any questions, I got the book list and course schedule earlier. And chose 4pm and he emailed me to  confirm. I had a couple hours and wanted some book shelves and possibly a new desk so deposited some cash I have had from tips and some cash clients in the atm of my bank and checked out the Marshall's and saw a great comfy desk with mismatched wood bench perfect for each other at 170 for the desk and 60 for the bench, decided to pass and got makeup brushes instead. But did check out the shampoo and conditioners they had from designer brands that smelled like old ladies or similar. Decided to pass on those too. Wanted smells reminding me of hair salons, professional hair salons, but the keratin and gardenia and plumeria and cherry blossom didn't take me there for $12-20 a bottle or combo. I had a starbucks brown sugar oat milk espresso from the new starbucks on Main street before going to the bank around 2 pm, and tons of school traffic all along the way to South Corona from downtown where I live. Same on the way back, but the end of the school buses and traffic leaving the high schools. Then I had the 4 pm call with my advisor and he told me that I will get the medical equipment in the book list and supplies per course as the medical kit but should check into the zoom meeting with the Dean when it is scheduled on Monday 12-2 pm I think to ask any other questions like on the medical gowns and medical marking pencils and robes we would need for the courses. For the coursework, we are palpating and need to wear shorts and sports bras as a requirement so the other classmates can palpate I am assuming our spines, since it is the doctor of chiropractic, possibly abs as in the physical exam I was told we learn to do, and is part of the soft tissue manipulation. I did actually notice something odd when leaving 7 Leaves after leaving the new client's house, about 20 SUV sherriff vehicles in single file line coming down the 91 freeway going East while I was merging onto the 91 freeway from the 71 freeway. It looked like a parade of them and it made me think of the mass shooting that happened in San Bernardino in 2015 that there was a need for that many different police and patrol cars and different policing agencies. All these cop SUVs were white and had their lights on or red/blue/white emergency vehicle lights on but not the noise, or couldn't hear it if so. I merged onto the freeway to catch the tail end of it. There didn't seem to be a police chase either. Made me wonder what that was and want to take it off my dash cam and upload to the cops group of facebook to ask. Not really the cops group but the group for police activity in Corona and surrounding area. Didn't see anything about it when googling it. When I got off the phone call with the advisor I fed the babies and Growly his meds and ate the last serving of the neopolitan icecream. Didn't touch the rest of the salmon yet. For breakfast I had some of the spicy mango and the cashews and by mid day had about 1 serving cashews that I ate my vitamins with and a serving of the mangos. After client's 7 pm appointment did the laundry and folded laundry from earlier, decided to have one drink, had a small BM, and put on a pad, bc I am definitely light on my rag, not just spotty. It is slow but light flow. That makes 2nd BM for the day. Sent out client's SOAP notes before having a serving of Jameson. I premade her receipt earlier and sent out first client's SOAP notes and receipt before her appointment so it was fast. Also, before going to her house had another bit of the half salmon filet in fridge, and left the other quarter in the fridge. Had it with 2 slices oatbread toasted. I only drank that serving of Jameson to do something in moderation and not think of it as poison, from last time I had way too much which was almost 5 days ago, and it made me sick just having that one serving. I felt it in my upper abs stomach area and tried to sleep by 11 pm after putting laundry in the dryer, but because my menstruation is weird and light spotty flow I burped and tasted stomach acid so made myself vomit and a little bit of the salmon came up that I had before leaving for the client's house 3-4 hours earlier with the taste of the whiskey. I felt better and was able to go to bed. Must have still been digesting. BUt my body isn't ready to drink yet. Not for a while. So I will put that 2 liter bottle of Jameson back in the roommate's room. </t>
  </si>
  <si>
    <t xml:space="preserve">2 servings cashews
(320	28	5	10	16	2	0)
2 servings mangos
(280	0	0	0	66	2	380)
vietnames coffee with boba 7 leaves brand
(297.00	4.30	2.70	4.00	60.00	10.00	86.00)
brown sugar oat milk espresso starbucks brand
(120.00	3.00	0.00	2.00	20.00	1.00	120.00)
3 servings salmon
(306	30.6	19.2	6.6	2.4	0	258)
2 slices oat bread
(220	4	0	8	38	4	270)
1 serving neopolitan icecream
(170	8	5.00	3.00	22.00	0.00	65.00)
2 Naan Indian bread
(500	7	3	14	94	6	620)
=320+280+297+120+306+220+170+500
=28+0+4.3+3+30.6+4+8+7
=5+0+2.7+0+19.2+0+5+3
=10+0+4+2+6.6+8+3+14
=16+66+60+20+2.4+38+22+94
=2+2+10+1+0+4+0+6
=0+380+86+120+258+270+65+620
</t>
  </si>
  <si>
    <t>Specially Selected Aldis brand Dark chocolate Sea Salt Caramels, serving is 2 pcs, 7 servings per pkg, 2 pcs:</t>
  </si>
  <si>
    <t xml:space="preserve">Haribo Gold Bears, gummy bears, Aldi brand, serving is 13 pcs, 4.5 per bag, 1 serving: </t>
  </si>
  <si>
    <t xml:space="preserve">9 servings in 2 bags Haribo gummy bears
(900.00	0.00	0.00	0.00	207.00	0.00	45.00)
4 servings veggie lasagna, the pkg
(880.00	20.00	8.00	44.00	140.00	20.00	1520.00)
8 pcs chocolate carmels from Aldis
(560.00	24.00	16.00	4.00	92.00	4.00	200.00)
4 fr vanilla creamers in 4th cup coffee
(140.00	6.00	0.00	0.00	20.00	0.00	60.00)
serving salmon airfryer with last of lasagna
(102.00	10.20	6.40	2.20	0.80	0.00	86.00)
=900+880+560+140+102
=0+20+24+6+10.2
=0+8+16+0+6.4
=0+44+4+0+2.2
=207+140+92+20+0.8
=0+20+4+0+0
=45+1520+200+60+86
</t>
  </si>
  <si>
    <t xml:space="preserve">Woke up at 530 am by alarm, but laid in bed napping until just before 630 am and got out of bed and peed by the time 630 alarm went off. Cleaned pet messes, made coffee, gave Growly his meds and fed babies and folded and put away laundry from last night and made Trader Joes frozen vegetable multi-grain lasagna in microwave for 20 minutes. Then took measurements after looking at this database and updating it without the nutrition till after. Ankles aren't that swollen or at all this morning, will see as the day progresses. Had a sm reg BM before showering. For breakfast, lunch, and dinner ate all the lasagna, also had 2 bags of gummy bears and some sea salt chocolate caramels I bought at Aldis on my lunch break. I had a sweet tooth. For a no show in the morning that I got paid for, I had a coffee with 4 french vanilla creamers. Didn't do much of anything when I got home, but made another package/monthly plan for couples or those liking 90 minute massages, for $275, once a week every month for $275 pay up front each month, or every other week for couples both 90 minutes. Includes one add-on service and expire 90 days after last day of month purchased. Then emailed the three clients about their credit balance with me to use on services or get refunded less money than the credit once the bulk discount is added back to each massage. One client gave me that idea for texting me about using it on a couples massage as she would rather do that instead. Went to bed after watching the miniseries Nine Perfect Strangers on Hulu. Interesting show but more like a short story. </t>
  </si>
  <si>
    <t>baked cheetos, serving is 34 pcs, 8 approx per bag, serving:</t>
  </si>
  <si>
    <t xml:space="preserve">2.5 slices oatbread
(275	5	0	10	47.5	5	337.5)
1 impossible frozen patty
(240	14	8	19	9	3	370)
1 blueberry muffin 85 degrees bakery
(480	26	5	6	59	0	590)
1 salt bread 85 deg bak
(320	17	10	6	35	0	430)
3/4 coffee milk 85 deg bake
(555	22.5	22.5	0	90	0	37.5)
15 cheese totino pizza rolls
(210.00	8.00	2.00	5.00	31.00	1.00	320.00)
3 servings baked cheetos
(420	15	3	6	60	3	720)
=275+240+480+320+555+210+420
=5+14+26+17+22.5+8+15
=0+8+5+10+22.5+2+3
=10+19+6+6+0+5+6
=47.5+9+59+35+90+31+60
=5+3+0+0+0+1+3
=337.5+370+590+430+37.5+320+720
</t>
  </si>
  <si>
    <t xml:space="preserve">Woke up at 530 am and went to bed a little after 10 pm last night. No alcohol but could have drank the wine with the last of the lasagna and salmon I made in the airfryer for dinner. Need to get more food from the grocery store. Maybe today after work. Its a short day today until school starts back then I extend it three hours to 5 pm. Updated this database. Might leave early to get a donut or bread from a bakery close by before work. I'll eat a slice of oatbread toasted to take my vitamins. Did the normal routine, a bunch of pet messes to clean, made my coffee, gave Growly his meds and he is low on the water pill, need to call that one in, and fed babies, did dishes of roommate's from last night. Didn't bleed much of any last night, but still on my rag a light flow. This cycle has been odd, all spotty to begin before normal cycle, then it was light-medium flow during cycle, and stopped then again to spotty light flow. I did start taking the multivitamins during this cycle, so maybe that is effecting it. Ankles aren't too swollen either, but still a little swollen around inner maleolas both ankles. But not so much on outside of ankles. Took my 3 vitamin gummies while eating 1/2 a slice of the oatbread end, and making an impossible frozen patty in the airfryer. This check was good, and it included the vacation days, but most my tips might have been on this last check from work. It was direct deposited yesterday. Already, thinking to pay down credit card, set aside some for my neices's birthdays soon in early September and early-mid October. Its now mid-late August. Also, some bookshelves and many expensive books upwards of $3k for this term's books, but my advisor said some could be cheaper digital versions on the kindle. Measurements taken after the oatbread with vitamins and 1.5 coffees, but before BM and real breakfast. Had a lg BM after making my 3rd light weight coffee. Packed an impossible oatbread burger for lunch. Then showered quickly and got ready for work. ANkles weren't that swollen today. Stayed up till 2 am finishing that shelf and getting ready for bed. See tomorrow notes. </t>
  </si>
  <si>
    <t xml:space="preserve">baked cheddar sourcream potato chips, serving is 11 chips , 6 serving per bag, serving: </t>
  </si>
  <si>
    <t xml:space="preserve">3 servings cheese pizza rolls totinos
(630	24	6	15	93	3	960)
3 servings baked cheetos
(420	15	3	6	60	3	720)
5 pcs of sea salt chocolates
(350	15	10	2.5	57.5	2.5	125)
1 serving baked cheddar sourcream potato chips
(120	3.5	0.5	2	22	1	250)
=630+420+350+120
=24+15+15+3.5
=6+3+10+0.5
=15+6+2.5+2
=93+60+57.5+22
=3+3+2.5+1
=960+720+125+250
</t>
  </si>
  <si>
    <t>Stella Rosa Moscato Wine</t>
  </si>
  <si>
    <t xml:space="preserve">Woke up at 530 by alarm went to bed woke up at 630 by alarm got out of bed. Went to bed around 130-2 am bc had to build the shelf that was crap btw. The thing is 3D printed with cheap material that cracks that is cheaper than the dexterity of a trash can. Reminded me of putting together piece after piece to a cheap quality trash can, and had to use duct tape, but fortunately it ended up doing its function. From 720 pm until about 1220 am, tired, but finished while listening to country music same spotify account on loop, and the roommate was ok with it, he told me to take it back, but it was heavy, and I already unpacked the items, many small pieces, and the point of the bottom pieces is still retarded to me as the screws don't fit in, and if you mess up on inserting the only side with screws your whole doors bottom is fucked. Basically, why not just put the pieces in there. They had it on display at Home Depot but it took 6-7 hours to build, and not for the types that want anything as quick and easy as IKEA DIY furniture with much better examples. Then was unwinding while viewing murder stories across US and the asshole fucking neighbors across the street decided to set their tweaker ass alarm off and I know they did it on purpose too around 115 am bc a small motorcycle went by with an engine and it went off, when it never went off before for much larger trucks doing that. Mexicans. Mexican American assholes. I told my ex to go tell them to shut it off because they didn't and it went off for 3 minutes. I put mine on to see if they would but nope. They are fucking loser assholes. Newer to this neighborhood from the old lady that lived there before. I was able to put stuff in the shelf and it works fine but looks 2nd hand when it should look brand new. It is a better bargain but too bad the quality is terrible. It holds stuff up fine once in place. I planned on organizing my whole area and books but couldn't due to it taking forever. Yesterday I spent almost all my cash in my account except some for the rent and electricity on cool gadgets like a microscope on Amazon, some stuff for my DC program and books on my credit card. I only got half of the order and it was more than $700 with sales tax and mostly free amazon Prime shipping. I still have $700-800 more to spend on books, but will wait till my loan or my next few spurts of money. I cancelled a client who booked 10 in a row with me 3 weeks ago then picked off each appointment until one left that I cancelled a few days before it about a week ago. And this was bc she booked it for 6 pm at 1230 pm yesterday for the free MLD but I don't offer that package anymore and notified her that she would have to get the $60 each hour appointment booked to book one but also not today (yesterday) bc I had a triggered low tire/flat tire light which I did and needed to handle which I did after work and the tire shop a quickie ma and pa shop one said just air low, not a patch, and that cancelling bc need to organize today is what I told her. Didn't hear back, but thats ok. I don't like that package, nobody really completes it all the way through once prepaying for it, and other things that irk me occur like not counting them correctly and thinking they are owed one more after and before the 10 are almost up, wanting a refund, not tipping, looking on other MLD sites for better results, etc. They want a miracle when Its not going to happen. Their surgeon created the hard spots too close to skin instead of adipose and thats why hard spots unless it is from their faja wearing too tight with little dimples and rivers inside the garment pooling the collagen and inflammatory rich fluid to one spot preventing lymphatic drainage and causing hard spots in fat. Got about 4 hours sleep from 2 am to 6 am. Took measurements after about 8 cheetos and 3 multivitamins and before 2nd cup of coffee finished. Ankles weren't that swollen yesterday or today. But I have been wearing those open ankle shoes I bought that are similar to crocs but are solide in front and can pull strap off top to put behind ankle, with compression socks. At work had the rest of the cheese pizza rolls I didn't eat for breakfast about one serving for breakfast and one for lunch. I ate breakfast when I got there, and finished the last 1/4 bottle of the coffee milk from 85 degrees for 4th cup of day at lunch time that was in the fridge and brought to work. After work had more pizza rolls a serving and organized the shelf by putting all the games, photo lighting, additional laptops, some extra work blankets, my course books from this year and notes and lab manuals, anatomy charts, the car magnets not being advertised, the mini fridge I don't have room to use, and my quesadilla maker, french coffee for cold brew coffee maker, and my ninja blender in it until I get my long list of books to start rolling in the door, microscope, other chem/bio supplies, and med school tools. Nothing delivered yesterday and Amazon automatically sent me a sorry note about not being able to make yesterday's delivery but said I would get some deliveries today and tomorrow and by sept 2nd for some other items. Its the 23rd of August today. I also had 2 glasses of the moscato stella rosa wine and felt fine. No more than that and tried to eat that french garlic bread I got from 85 degrees the other day that I put in the airfryer, but wasn't feeling like eating it. After done organizing, I watched a movie I never seen called Assassination Nation. Reminds me of a Quentin Tarantino type Purge movie for high school aged people. Went to bed after putting their dog blankets in the dryer. Washed them twice, then cleaned out the washer with this detergent washing machine cleaner through a cleaning cycle. Bet time was around 10 pm. I was tired. I only got a few hours sleep the night before. I snacked on about a serving of baked cheddar sourcream potato chips and a serving of the baked cheetos. I finished the other bag of cheetos at work also baked, about 2 servings at lunch time and after work driving home. I also finished the last of the sea salt chocolates watching the Assassination Nation movie. I looked at the indoor camera and I went to bed around 911 pm about 915 pm after taking babies outside to pee and putting the washing machine cleaner in the wash. </t>
  </si>
  <si>
    <t>X</t>
  </si>
  <si>
    <t>Woke up at about 620 am before the alarm went off. Growly keeps getting into fights with Goody. Doesn't want him on the bed, and that’s why Goody pees on the places Growly sleeps and hence why Growly doesn't like him on the bed, but Growly has a heart problem. Had to calm him down and let Goody on the bed. He doesn't do it while I am on it, I don't think, but does when I leave the bedroom and they do whatever they do with the pet stairs there next to it. I have to take it away so only Princess can get on it if I am gone or else Goody will pee on the bed. Got up out of bed when alarm went off at 630 am. Picked up the vet meds for his water pill yesterday after work before arriving home mentioning now. And they said to give him the water pill once but 3x a day every 8 hours. I cannot do that and when I asked the roommate who always complains about me not doing anything though he knows I do everything, he doesn't want to be bothered and says to give him the morning pill as 2 doses and the evening pill as one dose. I work in the days and sometimes have clients that pull me away from stopping by the house when they book a call and can't give him the afternoon pill or the middle of the night. I wake up around 630 am on average and give him his pill. They want me to give him his 2nd pill at 430 pm after work which is possible most days except Monday, and then in the late night at 1230 mignight, then it cycles to 830 am and add another 2 hours which makes no sense. So, I am guessing 2 in am or pm and 1 the other time every 12 hours is better. I just checked it out on a spreadsheet, nevermind, when doing the math in my head, the pill can be given at 6 am, 2 pm, and 10 pm, and cycle through another day. Still won't be able to give the 2 pm pill. Would have to give it later by 330-430 pm, and the 10 pm pill maybe around that time or by 9 pm a bit earlier. Everyday except Mondays until my schedule changes and school starts. But still won't be able to give the 2 pm pill and the Wed/Thur I will be gone by 5 am and would need to get up around 4 am to get ready for those days and give the pill around that time making the afternoon pill at noon. Unable to do. Gave Growly his 2 water pills and other 2 pills, fed babies, cleaned their pet messes, made my first cup of carmel machiator keurig coffee in my keurig mini machine I didn't read directions to, just played around with until it brewed. Not sure if after turning on power and pouring 6-12 oz water in it, if you then push the center button then lift lid to put keurig pod, or lift lid to put k-pod then close and push the center gray button thats large and not noticeably a button. Whatever it was, I got my couple cups of coffee out of 1 k-pod. Had a lg BM after 1st cup of coffee and while looking at the video of last night to see what time I went to bed. I was only spotting a little bit yesterday and didn't wear a pad at all even at work. And no spotty ness today. So not marking this as being on my rag. My menstrual cycle is off and has been for about a month now. But no heavy days. Woke up and ankles not swollen but could be by end of day. I work 3 pm to 10 pm and need to stop by Ulta or Cosmo Prof to get some nail files and some nail clippers. Hopefully, I get some of my packages from Amazon before work today. Measurements taken after BM and before breakfast. I also had to put electrical tape around one of the cables to the outdoor camera and decided to just move it to the back porch, but now I don't get a view outside to the side to see if my black alley cat is waiting for food or eating. Its ok though because I can see more of the backyard. For lunch and at work for dinner had about 2 servings total of cheese pizza rolls and 3 servings cheetos baked and 2 servings of potato chips baked. I ate at my open appointment. First time in a while I had an opening on the schedule and had two of them. On my actual break I drove back home to get there and see if Amazon packages arrived, nope. And as I pulled into parking lot I checked cameras and saw it was there and then it left. I texted the roommate to get them and right when I did it left. When I drove by earlier there were more street traffic than normal but I usually am not there on a Monday at 730 pm. When I went in through the front, I was quiet and noticed the roommate was there and didn't want to excite Growly bc of his heart condition as I could only stay a few minutes and he gets too excited and passes out sometimes. I was able to get fuel at a cheaper price as I was also low on fuel. Got to work and the 8 pm wasn't booked. I could have stayed a few 15 minutes had I known it wouldn't get booked but how was I to know. Bc if I would have then it would have gotten booked. No alcohol when I got home preferred sleep to drinking. Still need to fix the inside video cable to the back porch camera. My client Laura contacted me, the one I was thinking of the other day as one of the only ones who finished the 10 package MLD massages but she was the one who thought I owed her one more. She wants the same package for her daughter. I guess she got the same type surgery at age late teens early 20s. I texted back and forth, she keeps emailing me from her phone and it ends up being a text file I have to open to read. I didn't get a consent form from her bc I think she gave me the wrong email address. I resent it today after noticing it was, but forwarded it to her email address as well as her daughter's. Amazon delivery is getting pretty protective of their packages. A first, because unlike them to not deliver the package due to some area not to put them. Went to bed around 11 pm.</t>
  </si>
  <si>
    <t xml:space="preserve">3 servings cheese pizza rolls
(630	24	6	15	93	3	960)
3 servings baked cheetos
(420	15	3	6	60	3	720)
2 servings baked cheddar sourcream potato chips
(240	7	1	4	44	2	500)
=630+420+240
=24+15+7
=6+3+1
=15+6+4
=93+60+44
=3+3+2
=960+720+500
</t>
  </si>
  <si>
    <t>Everything Legendary meat substitute burger patty:</t>
  </si>
  <si>
    <t>French Garlic Cheese 85 degrees celsius bakery</t>
  </si>
  <si>
    <t>smoky jalapeno cream cheese spread, alouette brand from Vons, 3 tbs serving</t>
  </si>
  <si>
    <t>sesame and poppy seed crackers signature select brand, serving size is 3 crackers</t>
  </si>
  <si>
    <t>garlic french bread 85 degrees celsius bakery
(410	15	9	10	55	0	650)
2 slices oat bread
(220	4	0	8	38	4	270)
1/4 cup mozz/parm
(100.00	6.00	4.00	8.00	2.00	0.00	280.00)
pickles
(30	0	0	0	8	1	150)
Everything legendary burger patty 
(200	9	4	21	6	1	470)
coca cola 1 reg can
(180	0	0	0	50	0	60)
2 slices oat bread
(220	4	0	8	38	4	270)
1/4 cup mozz/parm
(100.00	6.00	4.00	8.00	2.00	0.00	280.00)
pickles
(30	0	0	0	8	1	150)
Everything legendary burger patty 
(200	9	4	21	6	1	470)
3 servings of the cheese spread alouette brand
(300	27	18	6	6	0	450)
5 servings of the sesame poppy seed crackers
(350	17.5	0	5	45	5	550)
=410+220+100+30+200+180+220+100+30+200+300+350
=15+4+6+0+9+0+4+6+0+9+27+17.5
=9+0+4+0+4+0+0+4+0+4+18+0
=10+8+8+0+21+0+8+8+0+21+6+5
=55+38+2+8+6+50+38+2+8+6+6+45
=0+4+0+1+1+0+4+0+1+1+0+5
=650+270+280+150+470+60+270+280+150+470+450+550</t>
  </si>
  <si>
    <t>1 stella rosa moscato, 2 patron</t>
  </si>
  <si>
    <t>Woke up at 630 am by alarm. Put the dog blankets and couch sofa protectors on that were still on the table from yesterday. Gave Growly his meds and fed babies and made both cups of my coffee off one kpod in my keuring. Had a lg BM after 1st cup coffee and after tampering with front porch so the roommate doesn't leave it locked and Amazon fails to deliver my packages again. If this happens again I might just have to cancel the orders. I don't like it and its too much of a headache. Measurements taken after BM and before breakfast. Had that 85 degree garlic french bread I didn't eat from about 4 days ago, that I toasted 2 days later and didn't eat either. I ate my 3 multivitamins with it. Got the roommate to give me his share of the AAA annual fee for the upgrade to 100 miles tow service and he bitched bout it as always. Saying I am hurting for money, and I told him I am not paying for a toxic degenerate who always complains to me about me. He needs to take care of his own debts and he needs the 100 mile tow service more than I do. I started getting a blinding aura migraine before that argument it was about when I started to eat the refrigerated garlic french toast. I made another cup of a new kpod and sipped it but the aura or color kaleidoscope band got larger and wider in my view of vision. Haven't had one in a while. Not sure what triggered it. Maybe its the switch to this new caffeine instead. I don't have the actualy headache part yet. I get it after the kaleidoscope dissapears. I will see if it goes away after this 3rd cup of coffee. Might try wine instead. I don't have clients until 5 pm anyhow. It goes by fast and I will be far from intoxicated by that time. It went away after the 3rd cup but hit a little bit of pain an hour and a half later around 1020 am. I made a fast forward timelapse video of the storage unit I put together and posted to youtube. Not going to advertise it, I put it in a powerpoint video using windows movie maker on 64x speed. It actually took about 4 hours to build. A little bit longer but not 7 hours. I started about 735pm Sat 8/21 and ended around 12 am. For lunch, early lunch had a coke and a burger with the Everything Legendary beyond meat substitute, same price, but the only one Target is carrying. Put that on oat bread with mozz/parm in airfryer with pickles. Then noticed the landlord's truck pull up while updating this database. Might take a shower and walk around some park for a bit by self not pups, bc Growly can't go bc he almost died in the heat last time with his heart condition. Ended up taking a shower later after putting up a new blog and then went to Marshall's to get that bench but it wasn't there so got a different longer one that works out. Thankfully it fit in the van but upright instead of long ways. I then went to the client's house and afterwards listened to a voicemail of my roommate ranting and bitching at me about rigging the porch to not close when locked. I completely forgot about it but didn't think he had to threaten to kick me out about it. I got home around 745 pm and did the laundry listening to him talk about his expensive stuff on the porch that looks like junk. Then he left and I opened up that patron I replace a few weeks ago and had a couple drinks of it then uploaded that video clip to youtube. Made the receipt for today's clients but didn't do their SOAP notes yet. Will do it after manually inputting it into my client journal of SOAP notes. Before the client's at 5 pm I was early and stopped at the Vons in S Corona to get some cheese spread jalapeno flavored that was spicy and made my nose run and had some sesame poppy crackers (7) at the park right behind their house. Then after work and after the two tequila's had the same but with pickles on each. For lunch had the same as breakfast as I made both patties at breakfast time and saved one for later, warmed up in airfryer with oatbread and mozz-parm cheese. No sweets, but did have that glass of wine or the last of the bottle of the moscato and then got the many packages from Amazon delivered on the porch steps. The landlord was over with the landscaper Eddie an old guy that annoys, he swept into my face while picking up the packages from the front side porch and he left a bunch of open leaves by the roommate's truck that annoyed him, and he also left the same broom that is ours open and displayed on top of some crates so that when we open the door we get a draft of wind pushing the dirt on the broom bristles into our face. He is skinnier than normal and probably dying but still able to work. He looks, not even trying to be mean, like he is early 70s a the youngest. Some hispanic old dude that still has to work and has no transportation, but is one of the landlord's workers. His plumber Dave was there too. Updated this nutrition while thinking about the roommate and the video I uploaded of me listening to his surprise audio text bitching me out. It upset me, and the tequila enhanced it. I never get sad or cry and am used to his behaviour, but it made me cry thinking about it. Didn't get to the SOAP notes yet. No more drinking tonight. He is an asshole and I know it. and he does dumb things that I also know, but the tequila makes me want to dwell on the fact I am a loser and picked a poor loser mate to harass me every minute he can and make me think I can do better but be a crybaby about shit I can't change. Another reason to not drink. Thanks tequila. Its pretty convincing people always fight and people do stupid shit all the time, and I already know my roommate is a piece of shit, and I do not look to him to make me respect myself or love myself, hence the divorce. He is a loser, will end up alone, but we live off each other because we're both difficult to live with and we have pets that aren't potty trained that we love and live in an affordable place in Corona that we are comfortable paying our own bills to meet a subsistence relationship. Nice try tequila, this is how those hormone replacements make people depressed or the post natal emotions women get. The compartmentalized zones of our mind get opened and make the host feel like a useless tool that isn't appreciated and sad that it could be better. But can it? Of course not, so shut up and leave it be. Apprarently I have a reason to believe that asshole is meant to be with me. He goes overboard on how he displays his anger towards a human being, and never regrets it. He never would, its him in charge all the time, his way or he's the only one who makes his rules and life. Not everyone is a romantic. I gave that up a long time ago. Its a symbiotic relationship or co-dependent. It works to survive CA high cost of living and huge population. If he wasn't the asshole, I would be and its the truth. It is really that simple. Not meaning to be but getting overly upset about nothing. A bunch of what ifs? Laundry is in the dryer and SOAP notes written in journal but not sent out and it is 1015 pm. I have the client I cancelled rescheduled for 530 pm after work, hopefully it works. I also have my 7 pm regular. Sleep is important. It shouldn't be a problem. Went to bed around 1045 pm.</t>
  </si>
  <si>
    <t xml:space="preserve">Woke up at 530 am by alarm and laid in ed until 545 am and got out of bed. The roommate came home early. Complaining about his LB and wanting me to rub his LB or put pressure on it, I told him no and to stop texting me bitching and he refused saying I learned and only way to learn. He is such a loser. Of course I didn't rub his LB. Made my coffee, cleaned some pet messes, gave Growly his meds, fed babies, folded laundry from last night, and sent out SOAP notes and receipts and updated this database and looked at the new client information for later this afternoon after work. Working on 2nd cup of coffee and deciding on breakfast. Maybe boiled eggs for breakfast. That old man Eddie pulled up in the front at 645 ish am saw him on the blink camera out front. Took measurements while waiting for two eggs to boil on the stove. No BM yet, but haven't finished my 2nd cup of coffee the keurig, used a new pod bc yesterday reusing the same one for 2nd cup gave me a headache. That and saying that waiting for the amazon order and it turning back when here gave me a headache when it actually didn't give me a headache at that time. So I probably gave myself a headache. Not sure, but anything that contributed needs to stop. I got another book and some biology stains for microscope readings of samples coming in within this week to next week. But not till Saturday to start. I'll take my multivitamin with the boiled eggs, pickles, and that jalapeno cheese and crackers.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</si>
</sst>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xf numFmtId="2" fontId="0" fillId="0" borderId="0" xfId="0" applyNumberForma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549"/>
  <sheetViews>
    <sheetView workbookViewId="0">
      <pane ySplit="1" topLeftCell="A532" activePane="bottomLeft" state="frozen"/>
      <selection pane="bottomLeft" activeCell="B549" sqref="B549:H549"/>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1005</v>
      </c>
      <c r="B350">
        <v>70</v>
      </c>
      <c r="C350">
        <v>1</v>
      </c>
      <c r="D350">
        <v>0</v>
      </c>
      <c r="E350">
        <v>3</v>
      </c>
      <c r="F350">
        <v>13</v>
      </c>
      <c r="G350">
        <v>2</v>
      </c>
      <c r="H350">
        <v>105</v>
      </c>
    </row>
    <row r="351" spans="1:8" x14ac:dyDescent="0.3">
      <c r="A351" s="16" t="s">
        <v>756</v>
      </c>
      <c r="B351" s="17">
        <v>220</v>
      </c>
      <c r="C351" s="17">
        <v>11</v>
      </c>
      <c r="D351" s="17">
        <v>7</v>
      </c>
      <c r="E351" s="17">
        <v>3</v>
      </c>
      <c r="F351" s="17">
        <v>29</v>
      </c>
      <c r="G351" s="17">
        <v>0</v>
      </c>
      <c r="H351" s="17">
        <v>75</v>
      </c>
    </row>
    <row r="352" spans="1:8" x14ac:dyDescent="0.3">
      <c r="A352" s="16" t="s">
        <v>757</v>
      </c>
      <c r="B352">
        <v>220</v>
      </c>
      <c r="C352">
        <v>13</v>
      </c>
      <c r="D352">
        <v>8</v>
      </c>
      <c r="E352">
        <v>3</v>
      </c>
      <c r="F352">
        <v>26</v>
      </c>
      <c r="G352">
        <v>1</v>
      </c>
      <c r="H352">
        <v>35</v>
      </c>
    </row>
    <row r="353" spans="1:8" x14ac:dyDescent="0.3">
      <c r="A353" s="16" t="s">
        <v>758</v>
      </c>
      <c r="B353" s="17">
        <v>230</v>
      </c>
      <c r="C353" s="17">
        <v>9</v>
      </c>
      <c r="D353" s="17">
        <v>2</v>
      </c>
      <c r="E353" s="17">
        <v>9</v>
      </c>
      <c r="F353" s="17">
        <v>40</v>
      </c>
      <c r="G353" s="17">
        <v>5</v>
      </c>
      <c r="H353" s="17">
        <v>580</v>
      </c>
    </row>
    <row r="354" spans="1:8" x14ac:dyDescent="0.3">
      <c r="A354" s="16" t="s">
        <v>759</v>
      </c>
      <c r="B354">
        <v>220</v>
      </c>
      <c r="C354">
        <v>14</v>
      </c>
      <c r="D354">
        <v>8</v>
      </c>
      <c r="E354">
        <v>1</v>
      </c>
      <c r="F354">
        <v>34</v>
      </c>
      <c r="G354">
        <v>0</v>
      </c>
      <c r="H354">
        <v>180</v>
      </c>
    </row>
    <row r="355" spans="1:8" x14ac:dyDescent="0.3">
      <c r="A355" s="16" t="s">
        <v>760</v>
      </c>
      <c r="B355" s="17">
        <v>330</v>
      </c>
      <c r="C355" s="17">
        <v>17</v>
      </c>
      <c r="D355" s="17">
        <v>10</v>
      </c>
      <c r="E355" s="17">
        <v>10</v>
      </c>
      <c r="F355" s="17">
        <v>34</v>
      </c>
      <c r="G355" s="17">
        <v>1</v>
      </c>
      <c r="H355" s="17">
        <v>270</v>
      </c>
    </row>
    <row r="356" spans="1:8" x14ac:dyDescent="0.3">
      <c r="A356" s="16" t="s">
        <v>761</v>
      </c>
      <c r="B356">
        <f>B347/2</f>
        <v>80</v>
      </c>
      <c r="C356">
        <f t="shared" ref="C356:H356" si="87">C347/2</f>
        <v>1</v>
      </c>
      <c r="D356">
        <f t="shared" si="87"/>
        <v>0</v>
      </c>
      <c r="E356">
        <f t="shared" si="87"/>
        <v>1</v>
      </c>
      <c r="F356">
        <f t="shared" si="87"/>
        <v>16</v>
      </c>
      <c r="G356">
        <f t="shared" si="87"/>
        <v>2.5</v>
      </c>
      <c r="H356">
        <f t="shared" si="87"/>
        <v>100</v>
      </c>
    </row>
    <row r="357" spans="1:8" x14ac:dyDescent="0.3">
      <c r="A357" s="16" t="s">
        <v>764</v>
      </c>
      <c r="B357">
        <f>B30*2.5</f>
        <v>75</v>
      </c>
      <c r="C357">
        <f t="shared" ref="C357:H357" si="88">C30*2.5</f>
        <v>0</v>
      </c>
      <c r="D357">
        <f t="shared" si="88"/>
        <v>0</v>
      </c>
      <c r="E357">
        <f t="shared" si="88"/>
        <v>0</v>
      </c>
      <c r="F357">
        <f t="shared" si="88"/>
        <v>20</v>
      </c>
      <c r="G357">
        <f t="shared" si="88"/>
        <v>2.5</v>
      </c>
      <c r="H357">
        <f t="shared" si="88"/>
        <v>375</v>
      </c>
    </row>
    <row r="358" spans="1:8" x14ac:dyDescent="0.3">
      <c r="A358" s="16" t="s">
        <v>768</v>
      </c>
      <c r="B358">
        <v>410</v>
      </c>
      <c r="C358">
        <v>28</v>
      </c>
      <c r="D358">
        <v>13.5</v>
      </c>
      <c r="E358">
        <v>19</v>
      </c>
      <c r="F358">
        <v>19</v>
      </c>
      <c r="G358">
        <v>6</v>
      </c>
      <c r="H358">
        <v>990</v>
      </c>
    </row>
    <row r="359" spans="1:8" x14ac:dyDescent="0.3">
      <c r="A359" s="16" t="s">
        <v>769</v>
      </c>
      <c r="B359">
        <v>290</v>
      </c>
      <c r="C359">
        <v>3.5</v>
      </c>
      <c r="D359">
        <v>0</v>
      </c>
      <c r="E359">
        <v>4</v>
      </c>
      <c r="F359">
        <v>60</v>
      </c>
      <c r="G359">
        <v>7</v>
      </c>
      <c r="H359">
        <v>710</v>
      </c>
    </row>
    <row r="360" spans="1:8" x14ac:dyDescent="0.3">
      <c r="A360" s="16" t="s">
        <v>770</v>
      </c>
      <c r="B360">
        <v>670</v>
      </c>
      <c r="C360">
        <v>26</v>
      </c>
      <c r="D360">
        <v>8</v>
      </c>
      <c r="E360">
        <v>21</v>
      </c>
      <c r="F360">
        <v>88</v>
      </c>
      <c r="G360">
        <v>5</v>
      </c>
      <c r="H360">
        <v>1330</v>
      </c>
    </row>
    <row r="361" spans="1:8" x14ac:dyDescent="0.3">
      <c r="A361" s="16" t="s">
        <v>771</v>
      </c>
      <c r="B361">
        <v>160</v>
      </c>
      <c r="C361">
        <v>6</v>
      </c>
      <c r="D361">
        <v>1</v>
      </c>
      <c r="E361">
        <v>9</v>
      </c>
      <c r="F361">
        <v>19</v>
      </c>
      <c r="G361">
        <v>3</v>
      </c>
      <c r="H361">
        <v>320</v>
      </c>
    </row>
    <row r="362" spans="1:8" x14ac:dyDescent="0.3">
      <c r="A362" s="16" t="s">
        <v>772</v>
      </c>
      <c r="B362">
        <v>150</v>
      </c>
      <c r="C362">
        <v>8</v>
      </c>
      <c r="D362">
        <v>1</v>
      </c>
      <c r="E362">
        <v>16</v>
      </c>
      <c r="F362">
        <v>6</v>
      </c>
      <c r="G362">
        <v>3</v>
      </c>
      <c r="H362">
        <v>400</v>
      </c>
    </row>
    <row r="363" spans="1:8" x14ac:dyDescent="0.3">
      <c r="A363" s="16" t="s">
        <v>774</v>
      </c>
      <c r="B363">
        <v>330</v>
      </c>
      <c r="C363">
        <v>21</v>
      </c>
      <c r="D363">
        <v>12</v>
      </c>
      <c r="E363">
        <v>5</v>
      </c>
      <c r="F363">
        <v>30</v>
      </c>
      <c r="G363">
        <v>2</v>
      </c>
      <c r="H363">
        <v>280</v>
      </c>
    </row>
    <row r="364" spans="1:8" x14ac:dyDescent="0.3">
      <c r="A364" s="16" t="s">
        <v>775</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778</v>
      </c>
      <c r="B365">
        <v>210</v>
      </c>
      <c r="C365">
        <v>6</v>
      </c>
      <c r="D365">
        <v>1</v>
      </c>
      <c r="E365">
        <v>5</v>
      </c>
      <c r="F365">
        <v>32</v>
      </c>
      <c r="G365">
        <v>2</v>
      </c>
      <c r="H365">
        <v>540</v>
      </c>
    </row>
    <row r="366" spans="1:8" x14ac:dyDescent="0.3">
      <c r="A366" s="16" t="s">
        <v>779</v>
      </c>
      <c r="B366">
        <v>180</v>
      </c>
      <c r="C366">
        <v>12</v>
      </c>
      <c r="D366">
        <v>5</v>
      </c>
      <c r="E366">
        <v>4</v>
      </c>
      <c r="F366">
        <v>14</v>
      </c>
      <c r="G366">
        <v>2</v>
      </c>
      <c r="H366">
        <v>20</v>
      </c>
    </row>
    <row r="367" spans="1:8" x14ac:dyDescent="0.3">
      <c r="A367" s="16" t="s">
        <v>780</v>
      </c>
      <c r="B367">
        <v>170</v>
      </c>
      <c r="C367">
        <v>2</v>
      </c>
      <c r="D367">
        <v>0</v>
      </c>
      <c r="E367">
        <v>2</v>
      </c>
      <c r="F367">
        <v>37</v>
      </c>
      <c r="G367">
        <v>4</v>
      </c>
      <c r="H367">
        <v>340</v>
      </c>
    </row>
    <row r="368" spans="1:8" x14ac:dyDescent="0.3">
      <c r="A368" s="16" t="s">
        <v>781</v>
      </c>
      <c r="B368">
        <v>20</v>
      </c>
      <c r="C368">
        <v>0</v>
      </c>
      <c r="D368">
        <v>0</v>
      </c>
      <c r="E368">
        <v>0</v>
      </c>
      <c r="F368">
        <v>0</v>
      </c>
      <c r="G368">
        <v>0</v>
      </c>
      <c r="H368">
        <v>200</v>
      </c>
    </row>
    <row r="369" spans="1:9" x14ac:dyDescent="0.3">
      <c r="A369" s="16" t="s">
        <v>784</v>
      </c>
      <c r="B369">
        <v>105</v>
      </c>
      <c r="C369">
        <v>0</v>
      </c>
      <c r="D369">
        <v>0</v>
      </c>
      <c r="E369">
        <v>0</v>
      </c>
      <c r="F369">
        <v>27</v>
      </c>
      <c r="G369">
        <v>0</v>
      </c>
      <c r="H369">
        <v>260</v>
      </c>
    </row>
    <row r="370" spans="1:9" x14ac:dyDescent="0.3">
      <c r="A370" s="16" t="s">
        <v>786</v>
      </c>
      <c r="B370" s="17">
        <v>70</v>
      </c>
      <c r="C370" s="17">
        <v>2.5</v>
      </c>
      <c r="D370" s="17">
        <v>0</v>
      </c>
      <c r="E370" s="17">
        <v>10</v>
      </c>
      <c r="F370" s="17">
        <v>4</v>
      </c>
      <c r="G370" s="17">
        <v>3</v>
      </c>
      <c r="H370" s="17">
        <v>210</v>
      </c>
      <c r="I370" s="17"/>
    </row>
    <row r="371" spans="1:9" x14ac:dyDescent="0.3">
      <c r="A371" s="16" t="s">
        <v>787</v>
      </c>
      <c r="B371">
        <v>110</v>
      </c>
      <c r="C371">
        <v>4.5</v>
      </c>
      <c r="D371">
        <v>0.5</v>
      </c>
      <c r="E371">
        <v>11</v>
      </c>
      <c r="F371">
        <v>9</v>
      </c>
      <c r="G371">
        <v>4</v>
      </c>
      <c r="H371">
        <v>390</v>
      </c>
    </row>
    <row r="372" spans="1:9" x14ac:dyDescent="0.3">
      <c r="A372" s="16" t="s">
        <v>792</v>
      </c>
      <c r="B372" s="17">
        <v>90</v>
      </c>
      <c r="C372" s="17">
        <v>2.5</v>
      </c>
      <c r="D372" s="17">
        <v>0.5</v>
      </c>
      <c r="E372" s="17">
        <v>2</v>
      </c>
      <c r="F372" s="17">
        <v>10</v>
      </c>
      <c r="G372" s="17">
        <v>2</v>
      </c>
      <c r="H372" s="17">
        <v>510</v>
      </c>
    </row>
    <row r="373" spans="1:9" x14ac:dyDescent="0.3">
      <c r="A373" s="16" t="s">
        <v>793</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794</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796</v>
      </c>
      <c r="B375">
        <v>630</v>
      </c>
      <c r="C375">
        <v>22</v>
      </c>
      <c r="D375">
        <v>7</v>
      </c>
      <c r="E375">
        <v>20</v>
      </c>
      <c r="F375">
        <v>86</v>
      </c>
      <c r="G375">
        <v>6</v>
      </c>
      <c r="H375">
        <v>1390</v>
      </c>
    </row>
    <row r="376" spans="1:9" x14ac:dyDescent="0.3">
      <c r="A376" s="16" t="s">
        <v>801</v>
      </c>
      <c r="B376">
        <v>218</v>
      </c>
      <c r="C376">
        <v>23.1</v>
      </c>
      <c r="D376">
        <v>3.6</v>
      </c>
      <c r="E376">
        <v>0.5</v>
      </c>
      <c r="F376">
        <v>3</v>
      </c>
      <c r="G376">
        <v>0.3</v>
      </c>
      <c r="H376">
        <v>367</v>
      </c>
    </row>
    <row r="377" spans="1:9" x14ac:dyDescent="0.3">
      <c r="A377" s="16" t="s">
        <v>797</v>
      </c>
      <c r="B377">
        <v>50</v>
      </c>
      <c r="C377">
        <v>0.5</v>
      </c>
      <c r="D377">
        <v>0</v>
      </c>
      <c r="E377">
        <v>0</v>
      </c>
      <c r="F377">
        <v>11</v>
      </c>
      <c r="G377">
        <v>0</v>
      </c>
      <c r="H377">
        <v>25</v>
      </c>
    </row>
    <row r="378" spans="1:9" x14ac:dyDescent="0.3">
      <c r="A378" s="16" t="s">
        <v>800</v>
      </c>
      <c r="B378">
        <v>300</v>
      </c>
      <c r="C378">
        <v>10</v>
      </c>
      <c r="D378">
        <v>5</v>
      </c>
      <c r="E378">
        <v>16</v>
      </c>
      <c r="F378">
        <v>37</v>
      </c>
      <c r="G378">
        <v>1</v>
      </c>
      <c r="H378">
        <v>700</v>
      </c>
    </row>
    <row r="379" spans="1:9" x14ac:dyDescent="0.3">
      <c r="A379" s="16" t="s">
        <v>802</v>
      </c>
      <c r="B379">
        <v>180</v>
      </c>
      <c r="C379">
        <v>5</v>
      </c>
      <c r="D379">
        <v>2.5</v>
      </c>
      <c r="E379">
        <v>8</v>
      </c>
      <c r="F379">
        <v>25</v>
      </c>
      <c r="G379">
        <v>4</v>
      </c>
      <c r="H379">
        <v>310</v>
      </c>
    </row>
    <row r="380" spans="1:9" x14ac:dyDescent="0.3">
      <c r="A380" s="16" t="s">
        <v>803</v>
      </c>
      <c r="B380">
        <v>80</v>
      </c>
      <c r="C380">
        <v>4</v>
      </c>
      <c r="D380">
        <v>0</v>
      </c>
      <c r="E380">
        <v>0</v>
      </c>
      <c r="F380">
        <v>8</v>
      </c>
      <c r="G380">
        <v>0</v>
      </c>
      <c r="H380">
        <v>0</v>
      </c>
    </row>
    <row r="381" spans="1:9" x14ac:dyDescent="0.3">
      <c r="A381" s="16" t="s">
        <v>805</v>
      </c>
      <c r="B381">
        <v>150</v>
      </c>
      <c r="C381">
        <v>9</v>
      </c>
      <c r="D381">
        <v>5</v>
      </c>
      <c r="E381">
        <v>2</v>
      </c>
      <c r="F381">
        <v>17</v>
      </c>
      <c r="G381">
        <v>1</v>
      </c>
      <c r="H381">
        <v>50</v>
      </c>
    </row>
    <row r="382" spans="1:9" x14ac:dyDescent="0.3">
      <c r="A382" s="16" t="s">
        <v>807</v>
      </c>
      <c r="B382" s="17">
        <v>110</v>
      </c>
      <c r="C382" s="17">
        <v>0</v>
      </c>
      <c r="D382" s="17">
        <v>0</v>
      </c>
      <c r="E382" s="17">
        <v>0</v>
      </c>
      <c r="F382" s="17">
        <v>28</v>
      </c>
      <c r="G382" s="17">
        <v>0</v>
      </c>
      <c r="H382" s="17">
        <v>175</v>
      </c>
    </row>
    <row r="383" spans="1:9" x14ac:dyDescent="0.3">
      <c r="A383" s="16" t="s">
        <v>808</v>
      </c>
      <c r="B383">
        <v>100</v>
      </c>
      <c r="C383">
        <v>0</v>
      </c>
      <c r="D383">
        <v>0</v>
      </c>
      <c r="E383">
        <v>25</v>
      </c>
      <c r="F383">
        <v>0</v>
      </c>
      <c r="G383">
        <v>0</v>
      </c>
      <c r="H383">
        <v>150</v>
      </c>
    </row>
    <row r="384" spans="1:9" x14ac:dyDescent="0.3">
      <c r="A384" s="16" t="s">
        <v>809</v>
      </c>
      <c r="B384">
        <v>574</v>
      </c>
      <c r="C384">
        <v>29.6</v>
      </c>
      <c r="D384">
        <v>13.1</v>
      </c>
      <c r="E384">
        <v>26.8</v>
      </c>
      <c r="F384">
        <v>50.2</v>
      </c>
      <c r="G384">
        <v>3.8</v>
      </c>
      <c r="H384">
        <v>1098</v>
      </c>
    </row>
    <row r="385" spans="1:8" x14ac:dyDescent="0.3">
      <c r="A385" s="16" t="s">
        <v>810</v>
      </c>
      <c r="B385">
        <v>20</v>
      </c>
      <c r="C385">
        <v>0</v>
      </c>
      <c r="D385">
        <v>0</v>
      </c>
      <c r="E385">
        <v>2</v>
      </c>
      <c r="F385">
        <v>4</v>
      </c>
      <c r="G385">
        <v>3</v>
      </c>
      <c r="H385">
        <v>20</v>
      </c>
    </row>
    <row r="386" spans="1:8" x14ac:dyDescent="0.3">
      <c r="A386" s="16" t="s">
        <v>814</v>
      </c>
      <c r="B386">
        <v>70</v>
      </c>
      <c r="C386">
        <v>1.5</v>
      </c>
      <c r="D386">
        <v>1</v>
      </c>
      <c r="E386">
        <v>3</v>
      </c>
      <c r="F386">
        <v>13</v>
      </c>
      <c r="G386">
        <v>0</v>
      </c>
      <c r="H386">
        <v>45</v>
      </c>
    </row>
    <row r="387" spans="1:8" x14ac:dyDescent="0.3">
      <c r="A387" s="16" t="s">
        <v>815</v>
      </c>
      <c r="B387">
        <v>310</v>
      </c>
      <c r="C387">
        <v>9</v>
      </c>
      <c r="D387">
        <v>4.5</v>
      </c>
      <c r="E387">
        <v>14</v>
      </c>
      <c r="F387">
        <v>42</v>
      </c>
      <c r="G387">
        <v>2</v>
      </c>
      <c r="H387">
        <v>680</v>
      </c>
    </row>
    <row r="388" spans="1:8" x14ac:dyDescent="0.3">
      <c r="A388" s="16" t="s">
        <v>816</v>
      </c>
      <c r="B388">
        <v>250</v>
      </c>
      <c r="C388">
        <v>5</v>
      </c>
      <c r="D388">
        <v>2.5</v>
      </c>
      <c r="E388">
        <v>10</v>
      </c>
      <c r="F388">
        <v>42</v>
      </c>
      <c r="G388">
        <v>1</v>
      </c>
      <c r="H388">
        <v>340</v>
      </c>
    </row>
    <row r="389" spans="1:8" x14ac:dyDescent="0.3">
      <c r="A389" s="16" t="s">
        <v>817</v>
      </c>
      <c r="B389">
        <v>140</v>
      </c>
      <c r="C389">
        <v>4</v>
      </c>
      <c r="D389">
        <v>1</v>
      </c>
      <c r="E389">
        <v>3</v>
      </c>
      <c r="F389">
        <v>22</v>
      </c>
      <c r="G389">
        <v>1</v>
      </c>
      <c r="H389">
        <v>240</v>
      </c>
    </row>
    <row r="390" spans="1:8" x14ac:dyDescent="0.3">
      <c r="A390" s="16" t="s">
        <v>818</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A391" s="16" t="s">
        <v>822</v>
      </c>
      <c r="B391" s="17">
        <v>70</v>
      </c>
      <c r="C391" s="17">
        <v>0</v>
      </c>
      <c r="D391" s="17">
        <v>0</v>
      </c>
      <c r="E391" s="17">
        <v>1</v>
      </c>
      <c r="F391" s="17">
        <v>17</v>
      </c>
      <c r="G391" s="17">
        <v>0</v>
      </c>
      <c r="H391" s="17">
        <v>25</v>
      </c>
    </row>
    <row r="392" spans="1:8" x14ac:dyDescent="0.3">
      <c r="A392" s="16" t="s">
        <v>829</v>
      </c>
      <c r="B392">
        <f>3*190</f>
        <v>570</v>
      </c>
      <c r="C392">
        <f>3*4.5</f>
        <v>13.5</v>
      </c>
      <c r="D392">
        <f>3*2</f>
        <v>6</v>
      </c>
      <c r="E392">
        <f>3*11</f>
        <v>33</v>
      </c>
      <c r="F392">
        <f>3*24</f>
        <v>72</v>
      </c>
      <c r="G392">
        <f>3*1</f>
        <v>3</v>
      </c>
      <c r="H392">
        <f>3*430</f>
        <v>1290</v>
      </c>
    </row>
    <row r="393" spans="1:8" x14ac:dyDescent="0.3">
      <c r="A393" s="16" t="s">
        <v>832</v>
      </c>
      <c r="B393" s="17">
        <f>B338+B6*4+B19*2+B370*2/3</f>
        <v>1226.6666666666667</v>
      </c>
      <c r="C393" s="17">
        <f t="shared" ref="C393:H393" si="93">C338+C6*4+C19*2+C370*2/3</f>
        <v>39.166666666666664</v>
      </c>
      <c r="D393" s="17">
        <f t="shared" si="93"/>
        <v>25.5</v>
      </c>
      <c r="E393" s="17">
        <f t="shared" si="93"/>
        <v>49.666666666666664</v>
      </c>
      <c r="F393" s="17">
        <f t="shared" si="93"/>
        <v>156.66666666666666</v>
      </c>
      <c r="G393" s="17">
        <f t="shared" si="93"/>
        <v>8</v>
      </c>
      <c r="H393" s="17">
        <f t="shared" si="93"/>
        <v>2260</v>
      </c>
    </row>
    <row r="394" spans="1:8" x14ac:dyDescent="0.3">
      <c r="A394" s="16" t="s">
        <v>833</v>
      </c>
      <c r="B394" s="17">
        <v>190</v>
      </c>
      <c r="C394" s="17">
        <v>10</v>
      </c>
      <c r="D394" s="17">
        <v>6</v>
      </c>
      <c r="E394" s="17">
        <v>7</v>
      </c>
      <c r="F394" s="17">
        <v>34</v>
      </c>
      <c r="G394" s="17">
        <v>0</v>
      </c>
      <c r="H394" s="17">
        <v>15</v>
      </c>
    </row>
    <row r="395" spans="1:8" x14ac:dyDescent="0.3">
      <c r="A395" s="16" t="s">
        <v>837</v>
      </c>
      <c r="B395">
        <v>350</v>
      </c>
      <c r="C395">
        <v>11</v>
      </c>
      <c r="D395">
        <v>6</v>
      </c>
      <c r="E395">
        <v>14</v>
      </c>
      <c r="F395">
        <v>51</v>
      </c>
      <c r="G395">
        <v>5</v>
      </c>
      <c r="H395">
        <v>780</v>
      </c>
    </row>
    <row r="396" spans="1:8" x14ac:dyDescent="0.3">
      <c r="A396" s="16" t="s">
        <v>839</v>
      </c>
      <c r="B396">
        <v>350</v>
      </c>
      <c r="C396">
        <v>11</v>
      </c>
      <c r="D396">
        <v>1.5</v>
      </c>
      <c r="E396">
        <v>9</v>
      </c>
      <c r="F396">
        <v>55</v>
      </c>
      <c r="G396">
        <v>3</v>
      </c>
      <c r="H396">
        <v>570</v>
      </c>
    </row>
    <row r="397" spans="1:8" x14ac:dyDescent="0.3">
      <c r="A397" s="16" t="s">
        <v>840</v>
      </c>
      <c r="B397">
        <f>190*3</f>
        <v>570</v>
      </c>
      <c r="C397">
        <f>4*3</f>
        <v>12</v>
      </c>
      <c r="D397">
        <f>2.5*3</f>
        <v>7.5</v>
      </c>
      <c r="E397">
        <f>7*3</f>
        <v>21</v>
      </c>
      <c r="F397">
        <f>32*3</f>
        <v>96</v>
      </c>
      <c r="G397">
        <f>0*3</f>
        <v>0</v>
      </c>
      <c r="H397">
        <f>100*3</f>
        <v>300</v>
      </c>
    </row>
    <row r="398" spans="1:8" x14ac:dyDescent="0.3">
      <c r="A398" s="16" t="s">
        <v>843</v>
      </c>
      <c r="B398" s="17">
        <v>100</v>
      </c>
      <c r="C398" s="17">
        <v>1</v>
      </c>
      <c r="D398" s="17">
        <v>0</v>
      </c>
      <c r="E398" s="17">
        <v>16</v>
      </c>
      <c r="F398" s="17">
        <v>6</v>
      </c>
      <c r="G398" s="17">
        <v>4</v>
      </c>
      <c r="H398" s="17">
        <v>320</v>
      </c>
    </row>
    <row r="399" spans="1:8" x14ac:dyDescent="0.3">
      <c r="A399" s="16" t="s">
        <v>847</v>
      </c>
      <c r="B399" s="17">
        <v>94</v>
      </c>
      <c r="C399" s="17">
        <v>2.2999999999999998</v>
      </c>
      <c r="D399" s="17">
        <v>0.6</v>
      </c>
      <c r="E399" s="17">
        <v>2.5</v>
      </c>
      <c r="F399" s="17">
        <v>15.4</v>
      </c>
      <c r="G399" s="17">
        <v>0.9</v>
      </c>
      <c r="H399" s="17">
        <v>191</v>
      </c>
    </row>
    <row r="400" spans="1:8" x14ac:dyDescent="0.3">
      <c r="A400" s="16" t="s">
        <v>848</v>
      </c>
      <c r="B400" s="17">
        <f>B19+B13+B228*4+B57+B335+B6</f>
        <v>991</v>
      </c>
      <c r="C400" s="17">
        <f t="shared" ref="C400:H400" si="94">C19+C13+C228*4+C57+C335+C6</f>
        <v>83.5</v>
      </c>
      <c r="D400" s="17">
        <f t="shared" si="94"/>
        <v>19</v>
      </c>
      <c r="E400" s="17">
        <f t="shared" si="94"/>
        <v>13</v>
      </c>
      <c r="F400" s="17">
        <f t="shared" si="94"/>
        <v>52.5</v>
      </c>
      <c r="G400" s="17">
        <f t="shared" si="94"/>
        <v>9.5</v>
      </c>
      <c r="H400" s="17">
        <f t="shared" si="94"/>
        <v>802</v>
      </c>
    </row>
    <row r="401" spans="1:8" x14ac:dyDescent="0.3">
      <c r="A401" s="16" t="s">
        <v>850</v>
      </c>
      <c r="B401" s="17">
        <v>410</v>
      </c>
      <c r="C401" s="17">
        <v>14</v>
      </c>
      <c r="D401" s="17">
        <v>8</v>
      </c>
      <c r="E401" s="17">
        <v>12</v>
      </c>
      <c r="F401" s="17">
        <v>60</v>
      </c>
      <c r="G401" s="17">
        <v>0</v>
      </c>
      <c r="H401" s="17">
        <v>340</v>
      </c>
    </row>
    <row r="402" spans="1:8" x14ac:dyDescent="0.3">
      <c r="A402" s="16" t="s">
        <v>855</v>
      </c>
      <c r="B402" s="17">
        <v>180</v>
      </c>
      <c r="C402" s="17">
        <v>15</v>
      </c>
      <c r="D402" s="17">
        <v>2.5</v>
      </c>
      <c r="E402" s="17">
        <v>7</v>
      </c>
      <c r="F402" s="17">
        <v>8</v>
      </c>
      <c r="G402" s="17">
        <v>2</v>
      </c>
      <c r="H402" s="17">
        <v>135</v>
      </c>
    </row>
    <row r="403" spans="1:8" x14ac:dyDescent="0.3">
      <c r="A403" s="16" t="s">
        <v>856</v>
      </c>
      <c r="B403" s="17">
        <v>50</v>
      </c>
      <c r="C403" s="17">
        <v>0</v>
      </c>
      <c r="D403" s="17">
        <v>0</v>
      </c>
      <c r="E403" s="17">
        <v>0</v>
      </c>
      <c r="F403" s="17">
        <v>13</v>
      </c>
      <c r="G403" s="17">
        <v>0</v>
      </c>
      <c r="H403" s="17">
        <v>0</v>
      </c>
    </row>
    <row r="404" spans="1:8" x14ac:dyDescent="0.3">
      <c r="A404" s="16" t="s">
        <v>857</v>
      </c>
      <c r="B404" s="17">
        <v>180</v>
      </c>
      <c r="C404" s="17">
        <v>9</v>
      </c>
      <c r="D404" s="17">
        <v>2</v>
      </c>
      <c r="E404" s="17">
        <v>2</v>
      </c>
      <c r="F404" s="17">
        <v>22</v>
      </c>
      <c r="G404" s="17">
        <v>0</v>
      </c>
      <c r="H404" s="17">
        <v>170</v>
      </c>
    </row>
    <row r="405" spans="1:8" x14ac:dyDescent="0.3">
      <c r="A405" s="16" t="s">
        <v>858</v>
      </c>
      <c r="B405" s="17">
        <f>3*190</f>
        <v>570</v>
      </c>
      <c r="C405" s="17">
        <f>3*4</f>
        <v>12</v>
      </c>
      <c r="D405" s="17">
        <f>2.5*3</f>
        <v>7.5</v>
      </c>
      <c r="E405" s="17">
        <f>7*3</f>
        <v>21</v>
      </c>
      <c r="F405" s="17">
        <f>32*3</f>
        <v>96</v>
      </c>
      <c r="G405" s="17">
        <f>0*3</f>
        <v>0</v>
      </c>
      <c r="H405" s="17">
        <f>100*3</f>
        <v>300</v>
      </c>
    </row>
    <row r="406" spans="1:8" x14ac:dyDescent="0.3">
      <c r="A406" s="16" t="s">
        <v>862</v>
      </c>
      <c r="B406" s="17">
        <v>60</v>
      </c>
      <c r="C406" s="17">
        <v>1</v>
      </c>
      <c r="D406" s="17">
        <v>0</v>
      </c>
      <c r="E406" s="17">
        <v>2</v>
      </c>
      <c r="F406" s="17">
        <v>10</v>
      </c>
      <c r="G406" s="17">
        <v>2</v>
      </c>
      <c r="H406" s="17">
        <v>500</v>
      </c>
    </row>
    <row r="407" spans="1:8" x14ac:dyDescent="0.3">
      <c r="A407" s="16" t="s">
        <v>863</v>
      </c>
      <c r="B407" s="17">
        <v>200</v>
      </c>
      <c r="C407" s="17">
        <v>7</v>
      </c>
      <c r="D407" s="17">
        <v>2.5</v>
      </c>
      <c r="E407" s="17">
        <v>4</v>
      </c>
      <c r="F407" s="17">
        <v>32</v>
      </c>
      <c r="G407" s="17">
        <v>1</v>
      </c>
      <c r="H407" s="17">
        <v>370</v>
      </c>
    </row>
    <row r="408" spans="1:8" x14ac:dyDescent="0.3">
      <c r="A408" s="16" t="s">
        <v>864</v>
      </c>
      <c r="B408" s="17">
        <v>310</v>
      </c>
      <c r="C408" s="17">
        <v>15</v>
      </c>
      <c r="D408" s="17">
        <v>8</v>
      </c>
      <c r="E408" s="17">
        <v>15</v>
      </c>
      <c r="F408" s="17">
        <v>28</v>
      </c>
      <c r="G408" s="17">
        <v>1</v>
      </c>
      <c r="H408" s="17">
        <v>630</v>
      </c>
    </row>
    <row r="409" spans="1:8" x14ac:dyDescent="0.3">
      <c r="A409" s="16" t="s">
        <v>865</v>
      </c>
      <c r="B409" s="17">
        <v>320</v>
      </c>
      <c r="C409" s="17">
        <v>17</v>
      </c>
      <c r="D409" s="17">
        <v>7</v>
      </c>
      <c r="E409" s="17">
        <v>12</v>
      </c>
      <c r="F409" s="17">
        <v>29</v>
      </c>
      <c r="G409" s="17">
        <v>2</v>
      </c>
      <c r="H409" s="17">
        <v>480</v>
      </c>
    </row>
    <row r="410" spans="1:8" x14ac:dyDescent="0.3">
      <c r="A410" s="16" t="s">
        <v>866</v>
      </c>
      <c r="B410" s="17">
        <v>260</v>
      </c>
      <c r="C410" s="17">
        <v>9</v>
      </c>
      <c r="D410" s="17">
        <v>5</v>
      </c>
      <c r="E410" s="17">
        <v>11</v>
      </c>
      <c r="F410" s="17">
        <v>33</v>
      </c>
      <c r="G410" s="17">
        <v>2</v>
      </c>
      <c r="H410" s="17">
        <v>460</v>
      </c>
    </row>
    <row r="411" spans="1:8" x14ac:dyDescent="0.3">
      <c r="A411" s="16" t="s">
        <v>867</v>
      </c>
      <c r="B411" s="17">
        <v>140</v>
      </c>
      <c r="C411" s="17">
        <v>5</v>
      </c>
      <c r="D411" s="17">
        <v>0</v>
      </c>
      <c r="E411" s="17">
        <v>2</v>
      </c>
      <c r="F411" s="17">
        <v>22</v>
      </c>
      <c r="G411" s="17">
        <v>2</v>
      </c>
      <c r="H411" s="17">
        <v>240</v>
      </c>
    </row>
    <row r="412" spans="1:8" x14ac:dyDescent="0.3">
      <c r="A412" s="16" t="s">
        <v>868</v>
      </c>
      <c r="B412" s="17">
        <v>180</v>
      </c>
      <c r="C412" s="17">
        <v>9</v>
      </c>
      <c r="D412" s="17">
        <v>6</v>
      </c>
      <c r="E412" s="17">
        <v>3</v>
      </c>
      <c r="F412" s="17">
        <v>22</v>
      </c>
      <c r="G412" s="17">
        <v>1</v>
      </c>
      <c r="H412" s="17">
        <v>55</v>
      </c>
    </row>
    <row r="413" spans="1:8" x14ac:dyDescent="0.3">
      <c r="A413" s="16" t="s">
        <v>876</v>
      </c>
      <c r="B413" s="17">
        <v>720</v>
      </c>
      <c r="C413" s="17">
        <v>50</v>
      </c>
      <c r="D413" s="17">
        <v>17</v>
      </c>
      <c r="E413" s="17">
        <v>11</v>
      </c>
      <c r="F413" s="17">
        <v>58</v>
      </c>
      <c r="G413" s="17">
        <v>3</v>
      </c>
      <c r="H413" s="17">
        <v>1940</v>
      </c>
    </row>
    <row r="414" spans="1:8" x14ac:dyDescent="0.3">
      <c r="A414" s="16" t="s">
        <v>877</v>
      </c>
      <c r="B414" s="17">
        <v>670</v>
      </c>
      <c r="C414" s="17">
        <v>22</v>
      </c>
      <c r="D414" s="17">
        <v>3.5</v>
      </c>
      <c r="E414" s="17">
        <v>32</v>
      </c>
      <c r="F414" s="17">
        <v>84</v>
      </c>
      <c r="G414" s="17">
        <v>4</v>
      </c>
      <c r="H414" s="17">
        <v>3700</v>
      </c>
    </row>
    <row r="415" spans="1:8" x14ac:dyDescent="0.3">
      <c r="A415" s="16" t="s">
        <v>878</v>
      </c>
      <c r="B415" s="17">
        <v>140</v>
      </c>
      <c r="C415" s="17">
        <v>6</v>
      </c>
      <c r="D415" s="17">
        <v>1</v>
      </c>
      <c r="E415" s="17">
        <v>7</v>
      </c>
      <c r="F415" s="17">
        <v>13</v>
      </c>
      <c r="G415" s="17">
        <v>3</v>
      </c>
      <c r="H415" s="17">
        <v>400</v>
      </c>
    </row>
    <row r="416" spans="1:8" x14ac:dyDescent="0.3">
      <c r="A416" s="16" t="s">
        <v>879</v>
      </c>
      <c r="B416" s="17">
        <v>150</v>
      </c>
      <c r="C416" s="17">
        <v>7</v>
      </c>
      <c r="D416" s="17">
        <v>0.5</v>
      </c>
      <c r="E416" s="17">
        <v>2</v>
      </c>
      <c r="F416" s="17">
        <v>21</v>
      </c>
      <c r="G416" s="17">
        <v>2</v>
      </c>
      <c r="H416" s="17">
        <v>290</v>
      </c>
    </row>
    <row r="417" spans="1:8" x14ac:dyDescent="0.3">
      <c r="A417" s="16" t="s">
        <v>880</v>
      </c>
      <c r="B417" s="17">
        <v>160</v>
      </c>
      <c r="C417" s="17">
        <v>9</v>
      </c>
      <c r="D417" s="17">
        <v>3</v>
      </c>
      <c r="E417" s="17">
        <v>3</v>
      </c>
      <c r="F417" s="17">
        <v>18</v>
      </c>
      <c r="G417" s="17">
        <v>1</v>
      </c>
      <c r="H417" s="17">
        <v>110</v>
      </c>
    </row>
    <row r="418" spans="1:8" x14ac:dyDescent="0.3">
      <c r="A418" s="16" t="s">
        <v>883</v>
      </c>
      <c r="B418" s="17">
        <f>160*5</f>
        <v>800</v>
      </c>
      <c r="C418" s="17">
        <f>9*5</f>
        <v>45</v>
      </c>
      <c r="D418" s="17">
        <f>1*5</f>
        <v>5</v>
      </c>
      <c r="E418" s="17">
        <f>3*5</f>
        <v>15</v>
      </c>
      <c r="F418" s="17">
        <f>16*5</f>
        <v>80</v>
      </c>
      <c r="G418" s="17">
        <f>3*5</f>
        <v>15</v>
      </c>
      <c r="H418" s="17">
        <f>210*5</f>
        <v>1050</v>
      </c>
    </row>
    <row r="419" spans="1:8" x14ac:dyDescent="0.3">
      <c r="A419" s="16" t="s">
        <v>884</v>
      </c>
      <c r="B419" s="17">
        <v>70</v>
      </c>
      <c r="C419" s="17">
        <v>6</v>
      </c>
      <c r="D419" s="17">
        <v>3.5</v>
      </c>
      <c r="E419" s="17">
        <v>5</v>
      </c>
      <c r="F419" s="17">
        <v>0</v>
      </c>
      <c r="G419" s="17">
        <v>0</v>
      </c>
      <c r="H419" s="17">
        <v>170</v>
      </c>
    </row>
    <row r="420" spans="1:8" x14ac:dyDescent="0.3">
      <c r="A420" s="16" t="s">
        <v>885</v>
      </c>
      <c r="B420" s="17">
        <v>290</v>
      </c>
      <c r="C420" s="17">
        <v>5</v>
      </c>
      <c r="D420" s="17">
        <v>3</v>
      </c>
      <c r="E420" s="17">
        <v>9</v>
      </c>
      <c r="F420" s="17">
        <v>52</v>
      </c>
      <c r="G420" s="17">
        <v>1</v>
      </c>
      <c r="H420" s="17">
        <v>210</v>
      </c>
    </row>
    <row r="421" spans="1:8" x14ac:dyDescent="0.3">
      <c r="A421" s="16" t="s">
        <v>886</v>
      </c>
      <c r="B421" s="17">
        <v>130</v>
      </c>
      <c r="C421" s="17">
        <v>4.5</v>
      </c>
      <c r="D421" s="17">
        <v>0.5</v>
      </c>
      <c r="E421" s="17">
        <v>2</v>
      </c>
      <c r="F421" s="17">
        <v>19</v>
      </c>
      <c r="G421" s="17">
        <v>1</v>
      </c>
      <c r="H421" s="17">
        <v>250</v>
      </c>
    </row>
    <row r="422" spans="1:8" x14ac:dyDescent="0.3">
      <c r="A422" s="16" t="s">
        <v>887</v>
      </c>
      <c r="B422" s="17">
        <v>168</v>
      </c>
      <c r="C422" s="17">
        <v>4</v>
      </c>
      <c r="D422" s="17">
        <v>1</v>
      </c>
      <c r="E422" s="17">
        <v>4</v>
      </c>
      <c r="F422" s="17">
        <v>27</v>
      </c>
      <c r="G422" s="17">
        <v>1</v>
      </c>
      <c r="H422" s="17">
        <v>301</v>
      </c>
    </row>
    <row r="423" spans="1:8" x14ac:dyDescent="0.3">
      <c r="A423" s="16" t="s">
        <v>889</v>
      </c>
      <c r="B423" s="17">
        <f>B200*4</f>
        <v>140</v>
      </c>
      <c r="C423" s="17">
        <f t="shared" ref="C423:H423" si="95">C200*4</f>
        <v>6</v>
      </c>
      <c r="D423" s="17">
        <f t="shared" si="95"/>
        <v>0</v>
      </c>
      <c r="E423" s="17">
        <f t="shared" si="95"/>
        <v>0</v>
      </c>
      <c r="F423" s="17">
        <f t="shared" si="95"/>
        <v>20</v>
      </c>
      <c r="G423" s="17">
        <f t="shared" si="95"/>
        <v>0</v>
      </c>
      <c r="H423" s="17">
        <f t="shared" si="95"/>
        <v>60</v>
      </c>
    </row>
    <row r="424" spans="1:8" x14ac:dyDescent="0.3">
      <c r="A424" s="16" t="s">
        <v>890</v>
      </c>
      <c r="B424" s="17">
        <f>370*2</f>
        <v>740</v>
      </c>
      <c r="C424" s="17">
        <f>16*2</f>
        <v>32</v>
      </c>
      <c r="D424" s="17">
        <f>16*2</f>
        <v>32</v>
      </c>
      <c r="E424" s="17">
        <f>0*2</f>
        <v>0</v>
      </c>
      <c r="F424" s="17">
        <f>64*2</f>
        <v>128</v>
      </c>
      <c r="G424" s="17">
        <f>0*2</f>
        <v>0</v>
      </c>
      <c r="H424" s="17">
        <f>5*2</f>
        <v>10</v>
      </c>
    </row>
    <row r="425" spans="1:8" x14ac:dyDescent="0.3">
      <c r="A425" s="16" t="s">
        <v>891</v>
      </c>
      <c r="B425" s="17">
        <v>810</v>
      </c>
      <c r="C425" s="17">
        <v>33</v>
      </c>
      <c r="D425" s="17">
        <v>15</v>
      </c>
      <c r="E425" s="17">
        <v>17</v>
      </c>
      <c r="F425" s="17">
        <v>106</v>
      </c>
      <c r="G425" s="17">
        <v>2</v>
      </c>
      <c r="H425" s="17">
        <v>590</v>
      </c>
    </row>
    <row r="426" spans="1:8" x14ac:dyDescent="0.3">
      <c r="A426" s="16" t="s">
        <v>897</v>
      </c>
      <c r="B426" s="17">
        <v>210</v>
      </c>
      <c r="C426" s="17">
        <v>8</v>
      </c>
      <c r="D426" s="17">
        <v>2</v>
      </c>
      <c r="E426" s="17">
        <v>5</v>
      </c>
      <c r="F426" s="17">
        <v>31</v>
      </c>
      <c r="G426" s="17">
        <v>1</v>
      </c>
      <c r="H426" s="17">
        <v>320</v>
      </c>
    </row>
    <row r="427" spans="1:8" x14ac:dyDescent="0.3">
      <c r="A427" s="16" t="s">
        <v>898</v>
      </c>
      <c r="B427" s="17">
        <v>60</v>
      </c>
      <c r="C427" s="17">
        <v>0</v>
      </c>
      <c r="D427" s="17">
        <v>0</v>
      </c>
      <c r="E427" s="17">
        <v>1</v>
      </c>
      <c r="F427" s="17">
        <v>11</v>
      </c>
      <c r="G427" s="17">
        <v>0</v>
      </c>
      <c r="H427" s="17">
        <v>25</v>
      </c>
    </row>
    <row r="428" spans="1:8" x14ac:dyDescent="0.3">
      <c r="A428" s="16" t="s">
        <v>902</v>
      </c>
      <c r="B428" s="17">
        <f>110*2</f>
        <v>220</v>
      </c>
      <c r="C428" s="17">
        <f>1.5*2</f>
        <v>3</v>
      </c>
      <c r="D428" s="17">
        <f>0*2</f>
        <v>0</v>
      </c>
      <c r="E428" s="17">
        <f>3*2</f>
        <v>6</v>
      </c>
      <c r="F428" s="17">
        <f>20*2</f>
        <v>40</v>
      </c>
      <c r="G428" s="17">
        <f>1*2</f>
        <v>2</v>
      </c>
      <c r="H428" s="17">
        <f>190*2</f>
        <v>380</v>
      </c>
    </row>
    <row r="429" spans="1:8" x14ac:dyDescent="0.3">
      <c r="A429" s="16" t="s">
        <v>905</v>
      </c>
      <c r="B429" s="17">
        <v>70</v>
      </c>
      <c r="C429" s="17">
        <v>0</v>
      </c>
      <c r="D429" s="17">
        <v>0</v>
      </c>
      <c r="E429" s="17">
        <v>0</v>
      </c>
      <c r="F429" s="17">
        <v>17</v>
      </c>
      <c r="G429" s="17">
        <v>0</v>
      </c>
      <c r="H429" s="17">
        <v>20</v>
      </c>
    </row>
    <row r="430" spans="1:8" x14ac:dyDescent="0.3">
      <c r="A430" s="16" t="s">
        <v>907</v>
      </c>
      <c r="B430" s="17">
        <v>250</v>
      </c>
      <c r="C430" s="17">
        <v>13</v>
      </c>
      <c r="D430" s="17">
        <v>3</v>
      </c>
      <c r="E430" s="17">
        <v>6</v>
      </c>
      <c r="F430" s="17">
        <v>26</v>
      </c>
      <c r="G430" s="17">
        <v>0</v>
      </c>
      <c r="H430" s="17">
        <v>350</v>
      </c>
    </row>
    <row r="431" spans="1:8" x14ac:dyDescent="0.3">
      <c r="A431" s="16" t="s">
        <v>908</v>
      </c>
      <c r="B431" s="17">
        <v>210</v>
      </c>
      <c r="C431" s="17">
        <v>11</v>
      </c>
      <c r="D431" s="17">
        <v>9</v>
      </c>
      <c r="E431" s="17">
        <v>20</v>
      </c>
      <c r="F431" s="17">
        <v>7</v>
      </c>
      <c r="G431" s="17">
        <v>1</v>
      </c>
      <c r="H431" s="17">
        <v>450</v>
      </c>
    </row>
    <row r="432" spans="1:8" x14ac:dyDescent="0.3">
      <c r="A432" s="16" t="s">
        <v>909</v>
      </c>
      <c r="B432" s="17">
        <v>463</v>
      </c>
      <c r="C432" s="17">
        <v>15.6</v>
      </c>
      <c r="D432" s="17">
        <v>4.5</v>
      </c>
      <c r="E432" s="17">
        <v>4.4000000000000004</v>
      </c>
      <c r="F432" s="17">
        <v>78.900000000000006</v>
      </c>
      <c r="G432" s="17">
        <v>2.6</v>
      </c>
      <c r="H432" s="17">
        <v>265</v>
      </c>
    </row>
    <row r="433" spans="1:9" x14ac:dyDescent="0.3">
      <c r="A433" s="16" t="s">
        <v>917</v>
      </c>
      <c r="B433" s="17">
        <v>130</v>
      </c>
      <c r="C433" s="17">
        <v>7</v>
      </c>
      <c r="D433" s="17">
        <v>1</v>
      </c>
      <c r="E433" s="17">
        <v>3</v>
      </c>
      <c r="F433" s="17">
        <v>15</v>
      </c>
      <c r="G433" s="17">
        <v>2</v>
      </c>
      <c r="H433" s="17">
        <v>310</v>
      </c>
      <c r="I433" s="17"/>
    </row>
    <row r="434" spans="1:9" x14ac:dyDescent="0.3">
      <c r="A434" s="16" t="s">
        <v>918</v>
      </c>
      <c r="B434" s="17">
        <v>440</v>
      </c>
      <c r="C434" s="17">
        <v>11</v>
      </c>
      <c r="D434" s="17">
        <v>2</v>
      </c>
      <c r="E434" s="17">
        <v>6</v>
      </c>
      <c r="F434" s="17">
        <v>78</v>
      </c>
      <c r="G434" s="17">
        <v>6</v>
      </c>
      <c r="H434" s="17">
        <v>1660</v>
      </c>
    </row>
    <row r="435" spans="1:9" x14ac:dyDescent="0.3">
      <c r="A435" s="16" t="s">
        <v>919</v>
      </c>
      <c r="B435" s="17">
        <v>180</v>
      </c>
      <c r="C435" s="17">
        <v>3.5</v>
      </c>
      <c r="D435" s="17">
        <v>2.5</v>
      </c>
      <c r="E435" s="17">
        <v>5</v>
      </c>
      <c r="F435" s="17">
        <v>32</v>
      </c>
      <c r="G435" s="17">
        <v>0</v>
      </c>
      <c r="H435" s="17">
        <v>120</v>
      </c>
    </row>
    <row r="436" spans="1:9" x14ac:dyDescent="0.3">
      <c r="A436" s="16" t="s">
        <v>923</v>
      </c>
      <c r="B436" s="17">
        <v>140</v>
      </c>
      <c r="C436" s="17">
        <v>5</v>
      </c>
      <c r="D436" s="17">
        <f t="shared" ref="D436" si="96">D429*6</f>
        <v>0</v>
      </c>
      <c r="E436" s="17">
        <v>1</v>
      </c>
      <c r="F436" s="17">
        <v>24</v>
      </c>
      <c r="G436" s="17">
        <v>3</v>
      </c>
      <c r="H436" s="17">
        <v>140</v>
      </c>
    </row>
    <row r="437" spans="1:9" x14ac:dyDescent="0.3">
      <c r="A437" s="16" t="s">
        <v>925</v>
      </c>
      <c r="B437" s="17">
        <v>134</v>
      </c>
      <c r="C437" s="17">
        <v>0.2</v>
      </c>
      <c r="D437" s="17">
        <v>0.1</v>
      </c>
      <c r="E437" s="17">
        <v>3.6</v>
      </c>
      <c r="F437" s="17">
        <v>29.6</v>
      </c>
      <c r="G437" s="17">
        <v>3.2</v>
      </c>
      <c r="H437" s="17">
        <v>11</v>
      </c>
    </row>
    <row r="438" spans="1:9" x14ac:dyDescent="0.3">
      <c r="A438" s="16" t="s">
        <v>924</v>
      </c>
      <c r="B438" s="17">
        <v>0</v>
      </c>
      <c r="C438" s="17">
        <v>0</v>
      </c>
      <c r="D438" s="17">
        <v>0</v>
      </c>
      <c r="E438" s="17">
        <v>0</v>
      </c>
      <c r="F438" s="17">
        <v>0</v>
      </c>
      <c r="G438" s="17">
        <v>0</v>
      </c>
      <c r="H438" s="17">
        <v>2325</v>
      </c>
    </row>
    <row r="439" spans="1:9" x14ac:dyDescent="0.3">
      <c r="A439" s="16" t="s">
        <v>926</v>
      </c>
      <c r="B439" s="17">
        <v>102</v>
      </c>
      <c r="C439" s="17">
        <v>11.5</v>
      </c>
      <c r="D439" s="17">
        <v>7.3</v>
      </c>
      <c r="E439" s="17">
        <v>0.1</v>
      </c>
      <c r="F439" s="17">
        <v>0.1</v>
      </c>
      <c r="G439" s="17">
        <v>0</v>
      </c>
      <c r="H439" s="17">
        <v>82</v>
      </c>
    </row>
    <row r="440" spans="1:9" x14ac:dyDescent="0.3">
      <c r="A440" s="16" t="s">
        <v>927</v>
      </c>
      <c r="B440" s="17">
        <v>192</v>
      </c>
      <c r="C440" s="17">
        <v>10.3</v>
      </c>
      <c r="D440" s="17">
        <v>2.7</v>
      </c>
      <c r="E440" s="17">
        <v>2.2999999999999998</v>
      </c>
      <c r="F440" s="17">
        <v>22.9</v>
      </c>
      <c r="G440" s="17">
        <v>0.7</v>
      </c>
      <c r="H440" s="17">
        <v>181</v>
      </c>
    </row>
    <row r="441" spans="1:9" x14ac:dyDescent="0.3">
      <c r="A441" s="16" t="s">
        <v>929</v>
      </c>
      <c r="B441" s="17">
        <v>400</v>
      </c>
      <c r="C441" s="17">
        <v>11</v>
      </c>
      <c r="D441" s="17">
        <v>1</v>
      </c>
      <c r="E441" s="17">
        <v>12</v>
      </c>
      <c r="F441" s="17">
        <v>63</v>
      </c>
      <c r="G441" s="17">
        <v>2</v>
      </c>
      <c r="H441" s="17">
        <v>890</v>
      </c>
    </row>
    <row r="442" spans="1:9" x14ac:dyDescent="0.3">
      <c r="A442" s="16" t="s">
        <v>934</v>
      </c>
      <c r="B442" s="17">
        <v>2</v>
      </c>
      <c r="C442" s="17">
        <v>0.1</v>
      </c>
      <c r="D442" s="17">
        <v>0.1</v>
      </c>
      <c r="E442" s="17">
        <v>0.2</v>
      </c>
      <c r="F442" s="17">
        <v>0.3</v>
      </c>
      <c r="G442" s="17">
        <v>0.2</v>
      </c>
      <c r="H442" s="17">
        <v>1</v>
      </c>
    </row>
    <row r="443" spans="1:9" x14ac:dyDescent="0.3">
      <c r="A443" s="16" t="s">
        <v>935</v>
      </c>
      <c r="B443" s="17">
        <f>B171+B162+B251+B163+B167+B169+B172+B173+B161</f>
        <v>610</v>
      </c>
      <c r="C443" s="17">
        <f t="shared" ref="C443:H443" si="97">C171+C162+C251+C163+C167+C169+C172+C173+C161</f>
        <v>15.2</v>
      </c>
      <c r="D443" s="17">
        <f t="shared" si="97"/>
        <v>3.2</v>
      </c>
      <c r="E443" s="17">
        <f t="shared" si="97"/>
        <v>23.6</v>
      </c>
      <c r="F443" s="17">
        <f t="shared" si="97"/>
        <v>93.9</v>
      </c>
      <c r="G443" s="17">
        <f t="shared" si="97"/>
        <v>7</v>
      </c>
      <c r="H443" s="17">
        <f t="shared" si="97"/>
        <v>1954</v>
      </c>
    </row>
    <row r="444" spans="1:9" x14ac:dyDescent="0.3">
      <c r="A444" s="16" t="s">
        <v>939</v>
      </c>
      <c r="B444" s="17">
        <f>B37*4.5+B117+B423*9+B137+B50*2</f>
        <v>2861</v>
      </c>
      <c r="C444" s="17">
        <f t="shared" ref="C444:H444" si="98">C37*4.5+C117+C423*9+C137+C50*2</f>
        <v>177.1</v>
      </c>
      <c r="D444" s="17">
        <f t="shared" si="98"/>
        <v>29.1</v>
      </c>
      <c r="E444" s="17">
        <f t="shared" si="98"/>
        <v>96.8</v>
      </c>
      <c r="F444" s="17">
        <f t="shared" si="98"/>
        <v>215.70000000000002</v>
      </c>
      <c r="G444" s="17">
        <f t="shared" si="98"/>
        <v>11.700000000000001</v>
      </c>
      <c r="H444" s="17">
        <f t="shared" si="98"/>
        <v>2124.4</v>
      </c>
    </row>
    <row r="445" spans="1:9" x14ac:dyDescent="0.3">
      <c r="A445" s="16" t="s">
        <v>940</v>
      </c>
      <c r="B445" s="17">
        <f>B444/3</f>
        <v>953.66666666666663</v>
      </c>
      <c r="C445" s="17">
        <f t="shared" ref="C445:H445" si="99">C444/3</f>
        <v>59.033333333333331</v>
      </c>
      <c r="D445" s="17">
        <f t="shared" si="99"/>
        <v>9.7000000000000011</v>
      </c>
      <c r="E445" s="17">
        <f t="shared" si="99"/>
        <v>32.266666666666666</v>
      </c>
      <c r="F445" s="17">
        <f t="shared" si="99"/>
        <v>71.900000000000006</v>
      </c>
      <c r="G445" s="17">
        <f t="shared" si="99"/>
        <v>3.9000000000000004</v>
      </c>
      <c r="H445" s="17">
        <f t="shared" si="99"/>
        <v>708.13333333333333</v>
      </c>
    </row>
    <row r="446" spans="1:9" x14ac:dyDescent="0.3">
      <c r="A446" s="16" t="s">
        <v>942</v>
      </c>
      <c r="B446" s="17">
        <v>240</v>
      </c>
      <c r="C446" s="17">
        <v>27.2</v>
      </c>
      <c r="D446" s="17">
        <v>3.9</v>
      </c>
      <c r="E446" s="17">
        <v>0</v>
      </c>
      <c r="F446" s="17">
        <v>0</v>
      </c>
      <c r="G446" s="17">
        <v>0</v>
      </c>
      <c r="H446" s="17">
        <v>0</v>
      </c>
    </row>
    <row r="447" spans="1:9" x14ac:dyDescent="0.3">
      <c r="A447" s="16" t="s">
        <v>943</v>
      </c>
      <c r="B447" s="17">
        <f>B446+B161*2+B193*4+B172*4+B167+B171+B173</f>
        <v>992</v>
      </c>
      <c r="C447" s="17">
        <f t="shared" ref="C447:H447" si="100">C446+C161*2+C193*4+C172*4+C167+C171+C173</f>
        <v>61.999999999999993</v>
      </c>
      <c r="D447" s="17">
        <f t="shared" si="100"/>
        <v>19.899999999999999</v>
      </c>
      <c r="E447" s="17">
        <f t="shared" si="100"/>
        <v>25.7</v>
      </c>
      <c r="F447" s="17">
        <f t="shared" si="100"/>
        <v>84.9</v>
      </c>
      <c r="G447" s="17">
        <f t="shared" si="100"/>
        <v>6.8</v>
      </c>
      <c r="H447" s="17">
        <f t="shared" si="100"/>
        <v>574</v>
      </c>
    </row>
    <row r="448" spans="1:9" x14ac:dyDescent="0.3">
      <c r="A448" s="16" t="s">
        <v>944</v>
      </c>
      <c r="B448" s="17">
        <v>50</v>
      </c>
      <c r="C448" s="17">
        <v>0</v>
      </c>
      <c r="D448" s="17">
        <v>0</v>
      </c>
      <c r="E448" s="17">
        <v>1</v>
      </c>
      <c r="F448" s="17">
        <v>12</v>
      </c>
      <c r="G448" s="17">
        <v>2</v>
      </c>
      <c r="H448" s="17">
        <v>140</v>
      </c>
    </row>
    <row r="449" spans="1:8" x14ac:dyDescent="0.3">
      <c r="A449" s="16" t="s">
        <v>946</v>
      </c>
      <c r="B449" s="17">
        <f>180*4.5</f>
        <v>810</v>
      </c>
      <c r="C449" s="17">
        <f>1.5*4.5</f>
        <v>6.75</v>
      </c>
      <c r="D449" s="17">
        <f>0*4.5</f>
        <v>0</v>
      </c>
      <c r="E449" s="17">
        <f>13*4.5</f>
        <v>58.5</v>
      </c>
      <c r="F449" s="17">
        <f>34*4.5</f>
        <v>153</v>
      </c>
      <c r="G449" s="17">
        <f>6*4.5</f>
        <v>27</v>
      </c>
      <c r="H449" s="17">
        <f>0*4.5</f>
        <v>0</v>
      </c>
    </row>
    <row r="450" spans="1:8" x14ac:dyDescent="0.3">
      <c r="A450" s="16" t="s">
        <v>945</v>
      </c>
      <c r="B450" s="17">
        <f>B37*4+B449+B29*3+B50*2</f>
        <v>2276</v>
      </c>
      <c r="C450" s="17">
        <f t="shared" ref="C450:H450" si="101">C37*4+C449+C29*3+C50*2</f>
        <v>107.05</v>
      </c>
      <c r="D450" s="17">
        <f t="shared" si="101"/>
        <v>24</v>
      </c>
      <c r="E450" s="17">
        <f t="shared" si="101"/>
        <v>139.4</v>
      </c>
      <c r="F450" s="17">
        <f t="shared" si="101"/>
        <v>217.7</v>
      </c>
      <c r="G450" s="17">
        <f t="shared" si="101"/>
        <v>42.5</v>
      </c>
      <c r="H450" s="17">
        <f t="shared" si="101"/>
        <v>1400</v>
      </c>
    </row>
    <row r="451" spans="1:8" x14ac:dyDescent="0.3">
      <c r="A451" s="16" t="s">
        <v>947</v>
      </c>
      <c r="B451" s="17">
        <f>B450/4</f>
        <v>569</v>
      </c>
      <c r="C451" s="17">
        <f t="shared" ref="C451:H451" si="102">C450/4</f>
        <v>26.762499999999999</v>
      </c>
      <c r="D451" s="17">
        <f t="shared" si="102"/>
        <v>6</v>
      </c>
      <c r="E451" s="17">
        <f t="shared" si="102"/>
        <v>34.85</v>
      </c>
      <c r="F451" s="17">
        <f t="shared" si="102"/>
        <v>54.424999999999997</v>
      </c>
      <c r="G451" s="17">
        <f t="shared" si="102"/>
        <v>10.625</v>
      </c>
      <c r="H451" s="17">
        <f t="shared" si="102"/>
        <v>350</v>
      </c>
    </row>
    <row r="452" spans="1:8" x14ac:dyDescent="0.3">
      <c r="A452" s="16" t="s">
        <v>954</v>
      </c>
      <c r="B452" s="17">
        <f>B37*4+B449+B50*2+B38+B137</f>
        <v>2285</v>
      </c>
      <c r="C452" s="17">
        <f t="shared" ref="C452:H452" si="103">C37*4+C449+C50*2+C38+C137</f>
        <v>120.59</v>
      </c>
      <c r="D452" s="17">
        <f t="shared" si="103"/>
        <v>26.54</v>
      </c>
      <c r="E452" s="17">
        <f t="shared" si="103"/>
        <v>146.19999999999999</v>
      </c>
      <c r="F452" s="17">
        <f t="shared" si="103"/>
        <v>187.4</v>
      </c>
      <c r="G452" s="17">
        <f t="shared" si="103"/>
        <v>37.9</v>
      </c>
      <c r="H452" s="17">
        <f t="shared" si="103"/>
        <v>1434.03</v>
      </c>
    </row>
    <row r="453" spans="1:8" x14ac:dyDescent="0.3">
      <c r="A453" s="16" t="s">
        <v>955</v>
      </c>
      <c r="B453" s="17">
        <f>B452/4</f>
        <v>571.25</v>
      </c>
      <c r="C453" s="17">
        <f t="shared" ref="C453:H453" si="104">C452/4</f>
        <v>30.147500000000001</v>
      </c>
      <c r="D453" s="17">
        <f t="shared" si="104"/>
        <v>6.6349999999999998</v>
      </c>
      <c r="E453" s="17">
        <f t="shared" si="104"/>
        <v>36.549999999999997</v>
      </c>
      <c r="F453" s="17">
        <f t="shared" si="104"/>
        <v>46.85</v>
      </c>
      <c r="G453" s="17">
        <f t="shared" si="104"/>
        <v>9.4749999999999996</v>
      </c>
      <c r="H453" s="17">
        <f t="shared" si="104"/>
        <v>358.50749999999999</v>
      </c>
    </row>
    <row r="454" spans="1:8" x14ac:dyDescent="0.3">
      <c r="A454" s="16" t="s">
        <v>958</v>
      </c>
      <c r="B454" s="17">
        <f>B38+B37*4+B137+B29*3</f>
        <v>1421</v>
      </c>
      <c r="C454" s="17">
        <f t="shared" ref="C454:H454" si="105">C38+C37*4+C137+C29*3</f>
        <v>86.14</v>
      </c>
      <c r="D454" s="17">
        <f t="shared" si="105"/>
        <v>22.54</v>
      </c>
      <c r="E454" s="17">
        <f t="shared" si="105"/>
        <v>88.600000000000009</v>
      </c>
      <c r="F454" s="17">
        <f t="shared" si="105"/>
        <v>79.099999999999994</v>
      </c>
      <c r="G454" s="17">
        <f t="shared" si="105"/>
        <v>18.399999999999999</v>
      </c>
      <c r="H454" s="17">
        <f t="shared" si="105"/>
        <v>1434.03</v>
      </c>
    </row>
    <row r="455" spans="1:8" x14ac:dyDescent="0.3">
      <c r="A455" s="16" t="s">
        <v>989</v>
      </c>
      <c r="B455" s="17">
        <v>7</v>
      </c>
      <c r="C455" s="17">
        <v>0</v>
      </c>
      <c r="D455" s="17">
        <v>0</v>
      </c>
      <c r="E455" s="17">
        <v>0.7</v>
      </c>
      <c r="F455" s="17">
        <v>1</v>
      </c>
      <c r="G455" s="17">
        <v>0.2</v>
      </c>
      <c r="H455" s="17">
        <v>17</v>
      </c>
    </row>
    <row r="456" spans="1:8" x14ac:dyDescent="0.3">
      <c r="A456" s="16" t="s">
        <v>990</v>
      </c>
      <c r="B456" s="17">
        <v>25</v>
      </c>
      <c r="C456" s="17">
        <v>0</v>
      </c>
      <c r="D456" s="17">
        <v>0</v>
      </c>
      <c r="E456" s="17">
        <v>3</v>
      </c>
      <c r="F456" s="17">
        <v>1</v>
      </c>
      <c r="G456" s="17">
        <v>0</v>
      </c>
      <c r="H456" s="17">
        <v>350</v>
      </c>
    </row>
    <row r="457" spans="1:8" x14ac:dyDescent="0.3">
      <c r="A457" s="16" t="s">
        <v>991</v>
      </c>
      <c r="B457" s="17">
        <f>B167+B169/4+B171+B172*12+B455+B446+B161*3+B456</f>
        <v>969</v>
      </c>
      <c r="C457" s="17">
        <f t="shared" ref="C457:H457" si="106">C167+C169/4+C171+C172*12+C455+C446+C161*3+C456</f>
        <v>46.224999999999994</v>
      </c>
      <c r="D457" s="17">
        <f t="shared" si="106"/>
        <v>8.8249999999999993</v>
      </c>
      <c r="E457" s="17">
        <f t="shared" si="106"/>
        <v>32.875</v>
      </c>
      <c r="F457" s="17">
        <f t="shared" si="106"/>
        <v>104.94999999999999</v>
      </c>
      <c r="G457" s="17">
        <f t="shared" si="106"/>
        <v>8.125</v>
      </c>
      <c r="H457" s="17">
        <f t="shared" si="106"/>
        <v>969.5</v>
      </c>
    </row>
    <row r="458" spans="1:8" x14ac:dyDescent="0.3">
      <c r="A458" s="16" t="s">
        <v>994</v>
      </c>
      <c r="B458" s="17">
        <v>50</v>
      </c>
      <c r="C458" s="17">
        <v>1</v>
      </c>
      <c r="D458" s="17">
        <v>0</v>
      </c>
      <c r="E458" s="17">
        <v>2</v>
      </c>
      <c r="F458" s="17">
        <v>7</v>
      </c>
      <c r="G458" s="17">
        <v>2</v>
      </c>
      <c r="H458" s="17">
        <v>260</v>
      </c>
    </row>
    <row r="459" spans="1:8" x14ac:dyDescent="0.3">
      <c r="A459" s="16" t="s">
        <v>995</v>
      </c>
      <c r="B459" s="17">
        <v>120</v>
      </c>
      <c r="C459" s="17">
        <v>0</v>
      </c>
      <c r="D459" s="17">
        <v>0</v>
      </c>
      <c r="E459" s="17">
        <v>0</v>
      </c>
      <c r="F459" s="17">
        <v>29</v>
      </c>
      <c r="G459" s="17">
        <v>0</v>
      </c>
      <c r="H459" s="17">
        <v>16</v>
      </c>
    </row>
    <row r="460" spans="1:8" x14ac:dyDescent="0.3">
      <c r="A460" s="16" t="s">
        <v>996</v>
      </c>
      <c r="B460" s="17">
        <v>104</v>
      </c>
      <c r="C460" s="17">
        <v>0</v>
      </c>
      <c r="D460" s="17">
        <v>0</v>
      </c>
      <c r="E460" s="17">
        <v>0</v>
      </c>
      <c r="F460" s="17">
        <v>26</v>
      </c>
      <c r="G460" s="17">
        <v>0</v>
      </c>
      <c r="H460" s="17">
        <v>14</v>
      </c>
    </row>
    <row r="461" spans="1:8" x14ac:dyDescent="0.3">
      <c r="A461" s="16" t="s">
        <v>997</v>
      </c>
      <c r="B461" s="17">
        <v>663</v>
      </c>
      <c r="C461" s="17">
        <v>3.9</v>
      </c>
      <c r="D461" s="17">
        <v>0.7</v>
      </c>
      <c r="E461" s="17">
        <v>24.4</v>
      </c>
      <c r="F461" s="17">
        <v>129.6</v>
      </c>
      <c r="G461" s="17">
        <v>7.6</v>
      </c>
      <c r="H461" s="17">
        <v>4</v>
      </c>
    </row>
    <row r="462" spans="1:8" x14ac:dyDescent="0.3">
      <c r="A462" s="16" t="s">
        <v>998</v>
      </c>
      <c r="B462" s="17">
        <f>B31*2+B461+4*B6+2*B19</f>
        <v>1203</v>
      </c>
      <c r="C462" s="17">
        <f t="shared" ref="C462:H462" si="107">C31*2+C461+4*C6+2*C19</f>
        <v>43.9</v>
      </c>
      <c r="D462" s="17">
        <f t="shared" si="107"/>
        <v>27.7</v>
      </c>
      <c r="E462" s="17">
        <f t="shared" si="107"/>
        <v>48.4</v>
      </c>
      <c r="F462" s="17">
        <f t="shared" si="107"/>
        <v>141.6</v>
      </c>
      <c r="G462" s="17">
        <f t="shared" si="107"/>
        <v>7.6</v>
      </c>
      <c r="H462" s="17">
        <f t="shared" si="107"/>
        <v>944</v>
      </c>
    </row>
    <row r="463" spans="1:8" x14ac:dyDescent="0.3">
      <c r="A463" s="16" t="s">
        <v>1001</v>
      </c>
      <c r="B463" s="17">
        <v>45</v>
      </c>
      <c r="C463" s="17">
        <v>0</v>
      </c>
      <c r="D463" s="17">
        <v>0</v>
      </c>
      <c r="E463" s="17">
        <v>0</v>
      </c>
      <c r="F463" s="17">
        <v>11</v>
      </c>
      <c r="G463" s="17">
        <v>1</v>
      </c>
      <c r="H463" s="17">
        <v>0</v>
      </c>
    </row>
    <row r="464" spans="1:8" x14ac:dyDescent="0.3">
      <c r="A464" s="16" t="s">
        <v>1009</v>
      </c>
      <c r="B464" s="17">
        <v>240</v>
      </c>
      <c r="C464" s="17">
        <v>14</v>
      </c>
      <c r="D464" s="17">
        <v>8</v>
      </c>
      <c r="E464" s="17">
        <v>19</v>
      </c>
      <c r="F464" s="17">
        <v>9</v>
      </c>
      <c r="G464" s="17">
        <v>3</v>
      </c>
      <c r="H464" s="17">
        <v>370</v>
      </c>
    </row>
    <row r="465" spans="1:8" x14ac:dyDescent="0.3">
      <c r="A465" s="16" t="s">
        <v>1010</v>
      </c>
      <c r="B465" s="17">
        <v>190</v>
      </c>
      <c r="C465" s="17">
        <v>2</v>
      </c>
      <c r="D465" s="17">
        <v>0.5</v>
      </c>
      <c r="E465" s="17">
        <v>6</v>
      </c>
      <c r="F465" s="17">
        <v>36</v>
      </c>
      <c r="G465" s="17">
        <v>1</v>
      </c>
      <c r="H465" s="17">
        <v>380</v>
      </c>
    </row>
    <row r="466" spans="1:8" x14ac:dyDescent="0.3">
      <c r="A466" s="16" t="s">
        <v>1011</v>
      </c>
      <c r="B466" s="17">
        <v>120</v>
      </c>
      <c r="C466" s="17">
        <v>3</v>
      </c>
      <c r="D466" s="17">
        <v>0</v>
      </c>
      <c r="E466" s="17">
        <v>2</v>
      </c>
      <c r="F466" s="17">
        <v>20</v>
      </c>
      <c r="G466" s="17">
        <v>1</v>
      </c>
      <c r="H466" s="17">
        <v>120</v>
      </c>
    </row>
    <row r="467" spans="1:8" x14ac:dyDescent="0.3">
      <c r="A467" s="16" t="s">
        <v>1015</v>
      </c>
      <c r="B467" s="17">
        <f>B457-B455-B446-B161/3</f>
        <v>677.33333333333337</v>
      </c>
      <c r="C467" s="17">
        <f t="shared" ref="C467:H467" si="108">C457-C455-C446-C161/3</f>
        <v>17.724999999999994</v>
      </c>
      <c r="D467" s="17">
        <f t="shared" si="108"/>
        <v>4.6249999999999991</v>
      </c>
      <c r="E467" s="17">
        <f t="shared" si="108"/>
        <v>29.80833333333333</v>
      </c>
      <c r="F467" s="17">
        <f t="shared" si="108"/>
        <v>98.383333333333326</v>
      </c>
      <c r="G467" s="17">
        <f t="shared" si="108"/>
        <v>7.7249999999999996</v>
      </c>
      <c r="H467" s="17">
        <f t="shared" si="108"/>
        <v>888.16666666666663</v>
      </c>
    </row>
    <row r="468" spans="1:8" x14ac:dyDescent="0.3">
      <c r="A468" s="16" t="s">
        <v>1017</v>
      </c>
      <c r="B468" s="17">
        <v>190</v>
      </c>
      <c r="C468" s="17">
        <v>16</v>
      </c>
      <c r="D468" s="17">
        <v>3.5</v>
      </c>
      <c r="E468" s="17">
        <v>7</v>
      </c>
      <c r="F468" s="17">
        <v>8</v>
      </c>
      <c r="G468" s="17">
        <v>2</v>
      </c>
      <c r="H468" s="17">
        <v>140</v>
      </c>
    </row>
    <row r="469" spans="1:8" x14ac:dyDescent="0.3">
      <c r="A469" s="16" t="s">
        <v>1016</v>
      </c>
      <c r="B469" s="17">
        <v>50</v>
      </c>
      <c r="C469" s="17">
        <v>0</v>
      </c>
      <c r="D469" s="17">
        <v>0</v>
      </c>
      <c r="E469" s="17">
        <v>0</v>
      </c>
      <c r="F469" s="17">
        <v>13</v>
      </c>
      <c r="G469" s="17">
        <v>0</v>
      </c>
      <c r="H469" s="17">
        <v>10</v>
      </c>
    </row>
    <row r="470" spans="1:8" x14ac:dyDescent="0.3">
      <c r="A470" s="16" t="s">
        <v>58</v>
      </c>
      <c r="B470" s="17">
        <v>103</v>
      </c>
      <c r="C470" s="17">
        <v>0.2</v>
      </c>
      <c r="D470" s="17">
        <v>0.1</v>
      </c>
      <c r="E470" s="17">
        <v>0.7</v>
      </c>
      <c r="F470" s="17">
        <v>27.5</v>
      </c>
      <c r="G470" s="17">
        <v>5.5</v>
      </c>
      <c r="H470" s="17">
        <v>2</v>
      </c>
    </row>
    <row r="471" spans="1:8" x14ac:dyDescent="0.3">
      <c r="A471" s="16" t="s">
        <v>1023</v>
      </c>
      <c r="B471" s="17">
        <f>B37*4+B137+B39+B40+B117+B470*3</f>
        <v>1617</v>
      </c>
      <c r="C471" s="17">
        <f t="shared" ref="C471:H471" si="109">C37*4+C137+C39+C40+C117+C470*3</f>
        <v>86.699999999999989</v>
      </c>
      <c r="D471" s="17">
        <f t="shared" si="109"/>
        <v>22.900000000000002</v>
      </c>
      <c r="E471" s="17">
        <f t="shared" si="109"/>
        <v>90.899999999999991</v>
      </c>
      <c r="F471" s="17">
        <f t="shared" si="109"/>
        <v>132.69999999999999</v>
      </c>
      <c r="G471" s="17">
        <f t="shared" si="109"/>
        <v>32.200000000000003</v>
      </c>
      <c r="H471" s="17">
        <f t="shared" si="109"/>
        <v>1420.4</v>
      </c>
    </row>
    <row r="472" spans="1:8" x14ac:dyDescent="0.3">
      <c r="A472" s="16" t="s">
        <v>1027</v>
      </c>
      <c r="B472" s="17">
        <v>110</v>
      </c>
      <c r="C472" s="17">
        <v>2</v>
      </c>
      <c r="D472" s="17">
        <v>0</v>
      </c>
      <c r="E472" s="17">
        <v>4</v>
      </c>
      <c r="F472" s="17">
        <v>19</v>
      </c>
      <c r="G472" s="17">
        <v>2</v>
      </c>
      <c r="H472" s="17">
        <v>135</v>
      </c>
    </row>
    <row r="473" spans="1:8" x14ac:dyDescent="0.3">
      <c r="A473" s="16" t="s">
        <v>1028</v>
      </c>
      <c r="B473" s="17">
        <v>180</v>
      </c>
      <c r="C473" s="17">
        <v>6</v>
      </c>
      <c r="D473" s="17">
        <v>3</v>
      </c>
      <c r="E473" s="17">
        <v>14</v>
      </c>
      <c r="F473" s="17">
        <v>19</v>
      </c>
      <c r="G473" s="17">
        <v>0</v>
      </c>
      <c r="H473" s="17">
        <v>50</v>
      </c>
    </row>
    <row r="474" spans="1:8" x14ac:dyDescent="0.3">
      <c r="A474" s="16" t="s">
        <v>1029</v>
      </c>
      <c r="B474" s="17">
        <v>100</v>
      </c>
      <c r="C474" s="17">
        <v>6</v>
      </c>
      <c r="D474" s="17">
        <v>4</v>
      </c>
      <c r="E474" s="17">
        <v>8</v>
      </c>
      <c r="F474" s="17">
        <v>2</v>
      </c>
      <c r="G474" s="17">
        <v>0</v>
      </c>
      <c r="H474" s="17">
        <v>280</v>
      </c>
    </row>
    <row r="475" spans="1:8" x14ac:dyDescent="0.3">
      <c r="A475" s="16" t="s">
        <v>1033</v>
      </c>
      <c r="B475" s="17">
        <v>450</v>
      </c>
      <c r="C475" s="17">
        <v>11</v>
      </c>
      <c r="D475" s="17">
        <v>2</v>
      </c>
      <c r="E475" s="17">
        <v>9</v>
      </c>
      <c r="F475" s="17">
        <v>80</v>
      </c>
      <c r="G475" s="17">
        <v>3</v>
      </c>
      <c r="H475" s="17">
        <v>360</v>
      </c>
    </row>
    <row r="476" spans="1:8" x14ac:dyDescent="0.3">
      <c r="A476" s="16" t="s">
        <v>1034</v>
      </c>
      <c r="B476" s="17">
        <v>110</v>
      </c>
      <c r="C476" s="17">
        <v>9</v>
      </c>
      <c r="D476" s="17">
        <v>5</v>
      </c>
      <c r="E476" s="17">
        <v>6</v>
      </c>
      <c r="F476" s="17">
        <v>1</v>
      </c>
      <c r="G476" s="17">
        <v>0</v>
      </c>
      <c r="H476" s="17">
        <v>180</v>
      </c>
    </row>
    <row r="477" spans="1:8" x14ac:dyDescent="0.3">
      <c r="A477" s="16" t="s">
        <v>1035</v>
      </c>
      <c r="B477" s="17">
        <v>80</v>
      </c>
      <c r="C477" s="17">
        <v>6</v>
      </c>
      <c r="D477" s="17">
        <v>3</v>
      </c>
      <c r="E477" s="17">
        <v>7</v>
      </c>
      <c r="F477" s="17">
        <v>2</v>
      </c>
      <c r="G477" s="17">
        <v>0</v>
      </c>
      <c r="H477" s="17">
        <v>190</v>
      </c>
    </row>
    <row r="478" spans="1:8" x14ac:dyDescent="0.3">
      <c r="A478" s="16" t="s">
        <v>1036</v>
      </c>
      <c r="B478" s="17">
        <v>110</v>
      </c>
      <c r="C478" s="17">
        <v>9</v>
      </c>
      <c r="D478" s="17">
        <v>5</v>
      </c>
      <c r="E478" s="17">
        <v>7</v>
      </c>
      <c r="F478" s="17">
        <v>0</v>
      </c>
      <c r="G478" s="17">
        <v>0</v>
      </c>
      <c r="H478" s="17">
        <v>170</v>
      </c>
    </row>
    <row r="479" spans="1:8" x14ac:dyDescent="0.3">
      <c r="A479" s="16" t="s">
        <v>1039</v>
      </c>
      <c r="B479" s="17">
        <v>35</v>
      </c>
      <c r="C479" s="17">
        <v>0</v>
      </c>
      <c r="D479" s="17">
        <v>0</v>
      </c>
      <c r="E479" s="17">
        <v>0</v>
      </c>
      <c r="F479" s="17">
        <v>7</v>
      </c>
      <c r="G479" s="17">
        <v>0</v>
      </c>
      <c r="H479" s="17">
        <v>0</v>
      </c>
    </row>
    <row r="480" spans="1:8" x14ac:dyDescent="0.3">
      <c r="A480" s="16" t="s">
        <v>1049</v>
      </c>
      <c r="B480" s="17">
        <v>220</v>
      </c>
      <c r="C480" s="17">
        <v>12</v>
      </c>
      <c r="D480" s="17">
        <v>6</v>
      </c>
      <c r="E480" s="17">
        <v>4</v>
      </c>
      <c r="F480" s="17">
        <v>25</v>
      </c>
      <c r="G480" s="17">
        <v>1</v>
      </c>
      <c r="H480" s="17">
        <v>60</v>
      </c>
    </row>
    <row r="481" spans="1:9" x14ac:dyDescent="0.3">
      <c r="A481" s="16" t="s">
        <v>1051</v>
      </c>
      <c r="B481" s="17">
        <f>B95*4+B38*0.5+B39*0.5+B40*0.5+B41*0.5</f>
        <v>1107.5</v>
      </c>
      <c r="C481" s="17">
        <f t="shared" ref="C481:H481" si="110">C95*4+C38*0.5+C39*0.5+C40*0.5+C41*0.5</f>
        <v>72.17</v>
      </c>
      <c r="D481" s="17">
        <f t="shared" si="110"/>
        <v>20.02</v>
      </c>
      <c r="E481" s="17">
        <f t="shared" si="110"/>
        <v>83</v>
      </c>
      <c r="F481" s="17">
        <f t="shared" si="110"/>
        <v>34.5</v>
      </c>
      <c r="G481" s="17">
        <f t="shared" si="110"/>
        <v>12</v>
      </c>
      <c r="H481" s="17">
        <f t="shared" si="110"/>
        <v>1418.5150000000001</v>
      </c>
      <c r="I481" s="17"/>
    </row>
    <row r="482" spans="1:9" x14ac:dyDescent="0.3">
      <c r="A482" s="16" t="s">
        <v>1052</v>
      </c>
      <c r="B482" s="17">
        <f>B481/3</f>
        <v>369.16666666666669</v>
      </c>
      <c r="C482" s="17">
        <f t="shared" ref="C482:H482" si="111">C481/3</f>
        <v>24.056666666666668</v>
      </c>
      <c r="D482" s="17">
        <f t="shared" si="111"/>
        <v>6.6733333333333329</v>
      </c>
      <c r="E482" s="17">
        <f t="shared" si="111"/>
        <v>27.666666666666668</v>
      </c>
      <c r="F482" s="17">
        <f t="shared" si="111"/>
        <v>11.5</v>
      </c>
      <c r="G482" s="17">
        <f t="shared" si="111"/>
        <v>4</v>
      </c>
      <c r="H482" s="17">
        <f t="shared" si="111"/>
        <v>472.83833333333337</v>
      </c>
    </row>
    <row r="483" spans="1:9" x14ac:dyDescent="0.3">
      <c r="A483" s="16" t="s">
        <v>1056</v>
      </c>
      <c r="B483" s="17">
        <v>226</v>
      </c>
      <c r="C483" s="17">
        <v>8.3000000000000007</v>
      </c>
      <c r="D483" s="17">
        <v>4.0999999999999996</v>
      </c>
      <c r="E483" s="17">
        <v>12.9</v>
      </c>
      <c r="F483" s="17">
        <v>30.3</v>
      </c>
      <c r="G483" s="17">
        <v>6.7</v>
      </c>
      <c r="H483" s="17">
        <v>263.8</v>
      </c>
    </row>
    <row r="484" spans="1:9" x14ac:dyDescent="0.3">
      <c r="A484" s="16" t="s">
        <v>1057</v>
      </c>
      <c r="B484" s="17">
        <v>299</v>
      </c>
      <c r="C484" s="17">
        <v>12</v>
      </c>
      <c r="D484" s="17">
        <v>6.3</v>
      </c>
      <c r="E484" s="17">
        <v>5.2</v>
      </c>
      <c r="F484" s="17">
        <v>44</v>
      </c>
      <c r="G484" s="17">
        <v>5.2</v>
      </c>
      <c r="H484" s="17">
        <v>356</v>
      </c>
    </row>
    <row r="485" spans="1:9" x14ac:dyDescent="0.3">
      <c r="A485" s="16" t="s">
        <v>1058</v>
      </c>
      <c r="B485" s="17">
        <v>199</v>
      </c>
      <c r="C485" s="17">
        <v>0</v>
      </c>
      <c r="D485" s="17">
        <v>0</v>
      </c>
      <c r="E485" s="17">
        <v>0</v>
      </c>
      <c r="F485" s="17">
        <v>55.9</v>
      </c>
      <c r="G485" s="17">
        <v>0</v>
      </c>
      <c r="H485" s="17">
        <v>50</v>
      </c>
    </row>
    <row r="486" spans="1:9" x14ac:dyDescent="0.3">
      <c r="A486" s="16" t="s">
        <v>1069</v>
      </c>
      <c r="B486" s="17">
        <v>210</v>
      </c>
      <c r="C486" s="17">
        <v>8</v>
      </c>
      <c r="D486" s="17">
        <v>4.5</v>
      </c>
      <c r="E486" s="17">
        <v>3</v>
      </c>
      <c r="F486" s="17">
        <v>32</v>
      </c>
      <c r="G486" s="17">
        <v>0</v>
      </c>
      <c r="H486" s="17">
        <v>105</v>
      </c>
    </row>
    <row r="487" spans="1:9" x14ac:dyDescent="0.3">
      <c r="A487" s="16" t="s">
        <v>1070</v>
      </c>
      <c r="B487" s="17">
        <v>390</v>
      </c>
      <c r="C487" s="17">
        <v>25</v>
      </c>
      <c r="D487" s="17">
        <v>8</v>
      </c>
      <c r="E487" s="17">
        <v>14</v>
      </c>
      <c r="F487" s="17">
        <v>28</v>
      </c>
      <c r="G487" s="17">
        <v>3</v>
      </c>
      <c r="H487" s="17">
        <v>15</v>
      </c>
    </row>
    <row r="488" spans="1:9" x14ac:dyDescent="0.3">
      <c r="A488" s="16" t="s">
        <v>1071</v>
      </c>
      <c r="B488" s="17">
        <v>267</v>
      </c>
      <c r="C488" s="17">
        <v>13.7</v>
      </c>
      <c r="D488" s="17">
        <v>1.8</v>
      </c>
      <c r="E488" s="17">
        <v>3.2</v>
      </c>
      <c r="F488" s="17">
        <v>32.700000000000003</v>
      </c>
      <c r="G488" s="17">
        <v>3</v>
      </c>
      <c r="H488" s="17">
        <v>247</v>
      </c>
    </row>
    <row r="489" spans="1:9" x14ac:dyDescent="0.3">
      <c r="A489" s="16" t="s">
        <v>1086</v>
      </c>
      <c r="B489" s="17">
        <v>231</v>
      </c>
      <c r="C489" s="17">
        <v>12</v>
      </c>
      <c r="D489" s="17">
        <v>6.6</v>
      </c>
      <c r="E489" s="17">
        <v>4.7</v>
      </c>
      <c r="F489" s="17">
        <v>26.1</v>
      </c>
      <c r="G489" s="17">
        <v>1.5</v>
      </c>
      <c r="H489" s="17">
        <v>424</v>
      </c>
    </row>
    <row r="490" spans="1:9" x14ac:dyDescent="0.3">
      <c r="A490" s="16" t="s">
        <v>1087</v>
      </c>
      <c r="B490" s="17">
        <v>880</v>
      </c>
      <c r="C490" s="17">
        <v>37</v>
      </c>
      <c r="D490" s="17">
        <v>17</v>
      </c>
      <c r="E490" s="17">
        <v>13</v>
      </c>
      <c r="F490" s="17">
        <v>127</v>
      </c>
      <c r="G490" s="17">
        <v>2</v>
      </c>
      <c r="H490" s="17">
        <v>1140</v>
      </c>
    </row>
    <row r="491" spans="1:9" x14ac:dyDescent="0.3">
      <c r="A491" s="16" t="s">
        <v>1088</v>
      </c>
      <c r="B491" s="17">
        <v>180</v>
      </c>
      <c r="C491" s="17">
        <v>3.5</v>
      </c>
      <c r="D491" s="17">
        <v>2</v>
      </c>
      <c r="E491" s="17">
        <v>3</v>
      </c>
      <c r="F491" s="17">
        <v>34</v>
      </c>
      <c r="G491" s="17">
        <v>0</v>
      </c>
      <c r="H491" s="17">
        <v>100</v>
      </c>
    </row>
    <row r="492" spans="1:9" x14ac:dyDescent="0.3">
      <c r="A492" s="16" t="s">
        <v>1089</v>
      </c>
      <c r="B492" s="17">
        <v>120</v>
      </c>
      <c r="C492" s="17">
        <v>4.5</v>
      </c>
      <c r="D492" s="17">
        <v>1</v>
      </c>
      <c r="E492" s="17">
        <v>2</v>
      </c>
      <c r="F492" s="17">
        <v>17</v>
      </c>
      <c r="G492" s="17">
        <v>1</v>
      </c>
      <c r="H492" s="17">
        <v>200</v>
      </c>
    </row>
    <row r="493" spans="1:9" x14ac:dyDescent="0.3">
      <c r="A493" s="16" t="s">
        <v>1090</v>
      </c>
      <c r="B493" s="17">
        <v>230</v>
      </c>
      <c r="C493" s="17">
        <v>13</v>
      </c>
      <c r="D493" s="17">
        <v>1.5</v>
      </c>
      <c r="E493" s="17">
        <v>3</v>
      </c>
      <c r="F493" s="17">
        <v>25</v>
      </c>
      <c r="G493" s="17">
        <v>2</v>
      </c>
      <c r="H493" s="17">
        <v>180</v>
      </c>
    </row>
    <row r="494" spans="1:9" x14ac:dyDescent="0.3">
      <c r="A494" s="16" t="s">
        <v>1091</v>
      </c>
      <c r="B494" s="17">
        <v>150</v>
      </c>
      <c r="C494" s="17">
        <v>0</v>
      </c>
      <c r="D494" s="17">
        <v>0</v>
      </c>
      <c r="E494" s="17">
        <v>0</v>
      </c>
      <c r="F494" s="17">
        <v>38</v>
      </c>
      <c r="G494" s="17">
        <v>1</v>
      </c>
      <c r="H494" s="17">
        <v>0</v>
      </c>
    </row>
    <row r="495" spans="1:9" x14ac:dyDescent="0.3">
      <c r="A495" s="16" t="s">
        <v>1092</v>
      </c>
      <c r="B495" s="17">
        <v>360</v>
      </c>
      <c r="C495" s="17">
        <v>0</v>
      </c>
      <c r="D495" s="17">
        <v>0</v>
      </c>
      <c r="E495" s="17">
        <v>0</v>
      </c>
      <c r="F495" s="17">
        <v>91</v>
      </c>
      <c r="G495" s="17">
        <v>0</v>
      </c>
      <c r="H495" s="17">
        <v>25</v>
      </c>
    </row>
    <row r="496" spans="1:9" x14ac:dyDescent="0.3">
      <c r="A496" s="16" t="s">
        <v>1093</v>
      </c>
      <c r="B496" s="17">
        <f>B494+B495+B21/4+B26/2</f>
        <v>537.5</v>
      </c>
      <c r="C496" s="17">
        <f t="shared" ref="C496:H496" si="112">C494+C495+C21/4+C26/2</f>
        <v>0.125</v>
      </c>
      <c r="D496" s="17">
        <f t="shared" si="112"/>
        <v>0</v>
      </c>
      <c r="E496" s="17">
        <f t="shared" si="112"/>
        <v>0.5</v>
      </c>
      <c r="F496" s="17">
        <f t="shared" si="112"/>
        <v>134.75</v>
      </c>
      <c r="G496" s="17">
        <f t="shared" si="112"/>
        <v>3.25</v>
      </c>
      <c r="H496" s="17">
        <f t="shared" si="112"/>
        <v>25</v>
      </c>
    </row>
    <row r="497" spans="1:8" x14ac:dyDescent="0.3">
      <c r="A497" s="16" t="s">
        <v>1096</v>
      </c>
      <c r="B497" s="17">
        <v>1039</v>
      </c>
      <c r="C497" s="17">
        <v>42.5</v>
      </c>
      <c r="D497" s="17">
        <v>9.5</v>
      </c>
      <c r="E497" s="17">
        <v>18.899999999999999</v>
      </c>
      <c r="F497" s="17">
        <v>132.30000000000001</v>
      </c>
      <c r="G497" s="17">
        <v>0</v>
      </c>
      <c r="H497" s="17">
        <v>2457</v>
      </c>
    </row>
    <row r="498" spans="1:8" x14ac:dyDescent="0.3">
      <c r="A498" s="16" t="s">
        <v>1097</v>
      </c>
      <c r="B498" s="17">
        <v>420</v>
      </c>
      <c r="C498" s="17">
        <v>26</v>
      </c>
      <c r="D498" s="17">
        <v>10</v>
      </c>
      <c r="E498" s="17">
        <v>14</v>
      </c>
      <c r="F498" s="17">
        <v>32</v>
      </c>
      <c r="G498" s="17">
        <v>1</v>
      </c>
      <c r="H498" s="17">
        <v>780</v>
      </c>
    </row>
    <row r="499" spans="1:8" x14ac:dyDescent="0.3">
      <c r="A499" s="16" t="s">
        <v>1098</v>
      </c>
      <c r="B499" s="17">
        <v>1160</v>
      </c>
      <c r="C499" s="17">
        <v>44</v>
      </c>
      <c r="D499" s="17">
        <v>24</v>
      </c>
      <c r="E499" s="17">
        <v>48</v>
      </c>
      <c r="F499" s="17">
        <v>144</v>
      </c>
      <c r="G499" s="17">
        <v>16</v>
      </c>
      <c r="H499" s="17">
        <v>2200</v>
      </c>
    </row>
    <row r="500" spans="1:8" x14ac:dyDescent="0.3">
      <c r="A500" s="16" t="s">
        <v>1099</v>
      </c>
      <c r="B500" s="17">
        <v>306</v>
      </c>
      <c r="C500" s="17">
        <v>13.1</v>
      </c>
      <c r="D500" s="17">
        <v>6.1</v>
      </c>
      <c r="E500" s="17">
        <v>12.3</v>
      </c>
      <c r="F500" s="17">
        <v>34.200000000000003</v>
      </c>
      <c r="G500" s="17">
        <v>1.8</v>
      </c>
      <c r="H500" s="17">
        <v>648</v>
      </c>
    </row>
    <row r="501" spans="1:8" x14ac:dyDescent="0.3">
      <c r="A501" s="16" t="s">
        <v>1100</v>
      </c>
      <c r="B501" s="17">
        <f>B14+B162+B161*2+B171+B172*4+B170+B195+B167</f>
        <v>1095</v>
      </c>
      <c r="C501" s="17">
        <f t="shared" ref="C501:H501" si="113">C14+C162+C161*2+C171+C172*4+C170+C195+C167</f>
        <v>57.324999999999989</v>
      </c>
      <c r="D501" s="17">
        <f t="shared" si="113"/>
        <v>9.2249999999999996</v>
      </c>
      <c r="E501" s="17">
        <f t="shared" si="113"/>
        <v>33.274999999999999</v>
      </c>
      <c r="F501" s="17">
        <f t="shared" si="113"/>
        <v>116.74999999999999</v>
      </c>
      <c r="G501" s="17">
        <f t="shared" si="113"/>
        <v>25.125</v>
      </c>
      <c r="H501" s="17">
        <f t="shared" si="113"/>
        <v>601.5</v>
      </c>
    </row>
    <row r="502" spans="1:8" x14ac:dyDescent="0.3">
      <c r="A502" s="16" t="s">
        <v>1108</v>
      </c>
      <c r="B502" s="17">
        <v>100</v>
      </c>
      <c r="C502" s="17">
        <v>9</v>
      </c>
      <c r="D502" s="17">
        <v>4.5</v>
      </c>
      <c r="E502" s="17">
        <v>2</v>
      </c>
      <c r="F502" s="17">
        <v>4</v>
      </c>
      <c r="G502" s="17">
        <v>0</v>
      </c>
      <c r="H502" s="17">
        <v>115</v>
      </c>
    </row>
    <row r="503" spans="1:8" x14ac:dyDescent="0.3">
      <c r="A503" s="16" t="s">
        <v>1109</v>
      </c>
      <c r="B503" s="17">
        <v>59</v>
      </c>
      <c r="C503" s="17">
        <v>5.6</v>
      </c>
      <c r="D503" s="17">
        <v>0.8</v>
      </c>
      <c r="E503" s="17">
        <v>0.2</v>
      </c>
      <c r="F503" s="17">
        <v>2.6</v>
      </c>
      <c r="G503" s="17">
        <v>0.1</v>
      </c>
      <c r="H503" s="17">
        <v>138</v>
      </c>
    </row>
    <row r="504" spans="1:8" x14ac:dyDescent="0.3">
      <c r="A504" s="16" t="s">
        <v>1110</v>
      </c>
      <c r="B504" s="17">
        <v>4</v>
      </c>
      <c r="C504" s="17">
        <v>0.1</v>
      </c>
      <c r="D504" s="17">
        <v>0.1</v>
      </c>
      <c r="E504" s="17">
        <v>0.2</v>
      </c>
      <c r="F504" s="17">
        <v>0.8</v>
      </c>
      <c r="G504" s="17">
        <v>0.2</v>
      </c>
      <c r="H504" s="17">
        <v>1</v>
      </c>
    </row>
    <row r="505" spans="1:8" x14ac:dyDescent="0.3">
      <c r="A505" s="16" t="s">
        <v>1111</v>
      </c>
      <c r="B505" s="17">
        <v>17</v>
      </c>
      <c r="C505" s="17">
        <v>0.1</v>
      </c>
      <c r="D505" s="17">
        <v>0.1</v>
      </c>
      <c r="E505" s="17">
        <v>1.3</v>
      </c>
      <c r="F505" s="17">
        <v>3.3</v>
      </c>
      <c r="G505" s="17">
        <v>0</v>
      </c>
      <c r="H505" s="17">
        <v>27</v>
      </c>
    </row>
    <row r="506" spans="1:8" x14ac:dyDescent="0.3">
      <c r="A506" s="16" t="s">
        <v>1114</v>
      </c>
      <c r="B506" s="17">
        <v>190</v>
      </c>
      <c r="C506" s="17">
        <v>9</v>
      </c>
      <c r="D506" s="17">
        <v>6</v>
      </c>
      <c r="E506" s="17">
        <v>3</v>
      </c>
      <c r="F506" s="17">
        <v>25</v>
      </c>
      <c r="G506" s="17">
        <v>0</v>
      </c>
      <c r="H506" s="17">
        <v>80</v>
      </c>
    </row>
    <row r="507" spans="1:8" x14ac:dyDescent="0.3">
      <c r="A507" s="16" t="s">
        <v>1116</v>
      </c>
      <c r="B507" s="17">
        <f>B200*6</f>
        <v>210</v>
      </c>
      <c r="C507" s="17">
        <f t="shared" ref="C507" si="114">C200*6</f>
        <v>9</v>
      </c>
      <c r="D507" s="17">
        <v>9</v>
      </c>
      <c r="E507" s="17">
        <v>2</v>
      </c>
      <c r="F507" s="17">
        <v>31</v>
      </c>
      <c r="G507" s="17">
        <v>0</v>
      </c>
      <c r="H507" s="17">
        <v>50</v>
      </c>
    </row>
    <row r="508" spans="1:8" x14ac:dyDescent="0.3">
      <c r="A508" s="16" t="s">
        <v>1117</v>
      </c>
      <c r="B508" s="17">
        <v>140</v>
      </c>
      <c r="C508" s="17">
        <v>0</v>
      </c>
      <c r="D508" s="17">
        <v>0</v>
      </c>
      <c r="E508" s="17">
        <v>0</v>
      </c>
      <c r="F508" s="17">
        <v>34</v>
      </c>
      <c r="G508" s="17">
        <v>10</v>
      </c>
      <c r="H508" s="17">
        <v>21</v>
      </c>
    </row>
    <row r="509" spans="1:8" x14ac:dyDescent="0.3">
      <c r="A509" s="16" t="s">
        <v>1121</v>
      </c>
      <c r="B509" s="17">
        <f>B505+B504+B465+B30+B464</f>
        <v>481</v>
      </c>
      <c r="C509" s="17">
        <f t="shared" ref="C509:H509" si="115">C505+C504+C465+C30+C464</f>
        <v>16.2</v>
      </c>
      <c r="D509" s="17">
        <f t="shared" si="115"/>
        <v>8.6999999999999993</v>
      </c>
      <c r="E509" s="17">
        <f t="shared" si="115"/>
        <v>26.5</v>
      </c>
      <c r="F509" s="17">
        <f t="shared" si="115"/>
        <v>57.1</v>
      </c>
      <c r="G509" s="17">
        <f t="shared" si="115"/>
        <v>5.2</v>
      </c>
      <c r="H509" s="17">
        <f t="shared" si="115"/>
        <v>928</v>
      </c>
    </row>
    <row r="510" spans="1:8" x14ac:dyDescent="0.3">
      <c r="A510" s="16" t="s">
        <v>1122</v>
      </c>
      <c r="B510">
        <f>B168+B169+B172*10+B171*4+B456</f>
        <v>589</v>
      </c>
      <c r="C510">
        <f t="shared" ref="C510:H510" si="116">C168+C169+C172*10+C171*4+C456</f>
        <v>21</v>
      </c>
      <c r="D510">
        <f t="shared" si="116"/>
        <v>4.0999999999999996</v>
      </c>
      <c r="E510">
        <f t="shared" si="116"/>
        <v>18.2</v>
      </c>
      <c r="F510">
        <f t="shared" si="116"/>
        <v>85.199999999999989</v>
      </c>
      <c r="G510">
        <f t="shared" si="116"/>
        <v>11.95</v>
      </c>
      <c r="H510">
        <f t="shared" si="116"/>
        <v>381</v>
      </c>
    </row>
    <row r="511" spans="1:8" x14ac:dyDescent="0.3">
      <c r="A511" s="16" t="s">
        <v>1123</v>
      </c>
      <c r="B511">
        <v>0</v>
      </c>
      <c r="C511">
        <v>0</v>
      </c>
      <c r="D511" s="17">
        <v>0</v>
      </c>
      <c r="E511" s="17">
        <v>0</v>
      </c>
      <c r="F511" s="17">
        <v>0</v>
      </c>
      <c r="G511" s="17">
        <v>0</v>
      </c>
      <c r="H511" s="17">
        <v>440</v>
      </c>
    </row>
    <row r="512" spans="1:8" x14ac:dyDescent="0.3">
      <c r="A512" s="16" t="s">
        <v>1125</v>
      </c>
      <c r="B512">
        <v>250</v>
      </c>
      <c r="C512">
        <v>7</v>
      </c>
      <c r="D512" s="17">
        <v>4.5</v>
      </c>
      <c r="E512" s="17">
        <v>10</v>
      </c>
      <c r="F512" s="17">
        <v>35</v>
      </c>
      <c r="G512" s="17">
        <v>0</v>
      </c>
      <c r="H512" s="17">
        <v>150</v>
      </c>
    </row>
    <row r="513" spans="1:8" x14ac:dyDescent="0.3">
      <c r="A513" s="16" t="s">
        <v>1126</v>
      </c>
      <c r="B513" s="17">
        <v>102</v>
      </c>
      <c r="C513" s="17">
        <v>0.3</v>
      </c>
      <c r="D513" s="17">
        <v>0</v>
      </c>
      <c r="E513" s="17">
        <v>0.8</v>
      </c>
      <c r="F513" s="17">
        <v>24</v>
      </c>
      <c r="G513" s="17">
        <v>5</v>
      </c>
      <c r="H513" s="17">
        <v>2</v>
      </c>
    </row>
    <row r="514" spans="1:8" x14ac:dyDescent="0.3">
      <c r="A514" s="16" t="s">
        <v>1130</v>
      </c>
      <c r="B514">
        <f>B37*4+B385*3+((B39+B40+B41/3)*1.5)</f>
        <v>1229</v>
      </c>
      <c r="C514">
        <f t="shared" ref="C514:H514" si="117">C37*4+C385*3+((C39+C40+C41/3)*1.5)</f>
        <v>72</v>
      </c>
      <c r="D514">
        <f t="shared" si="117"/>
        <v>20</v>
      </c>
      <c r="E514">
        <f t="shared" si="117"/>
        <v>89.5</v>
      </c>
      <c r="F514">
        <f t="shared" si="117"/>
        <v>60.5</v>
      </c>
      <c r="G514">
        <f t="shared" si="117"/>
        <v>25</v>
      </c>
      <c r="H514">
        <f t="shared" si="117"/>
        <v>1468.5</v>
      </c>
    </row>
    <row r="515" spans="1:8" x14ac:dyDescent="0.3">
      <c r="A515" s="16" t="s">
        <v>1131</v>
      </c>
      <c r="B515">
        <v>200</v>
      </c>
      <c r="C515">
        <v>11</v>
      </c>
      <c r="D515">
        <v>7</v>
      </c>
      <c r="E515">
        <v>1</v>
      </c>
      <c r="F515">
        <v>27</v>
      </c>
      <c r="G515">
        <v>0</v>
      </c>
      <c r="H515">
        <v>340</v>
      </c>
    </row>
    <row r="516" spans="1:8" x14ac:dyDescent="0.3">
      <c r="A516" s="16" t="s">
        <v>1132</v>
      </c>
      <c r="B516">
        <v>10</v>
      </c>
      <c r="C516">
        <v>0</v>
      </c>
      <c r="D516" s="17">
        <v>0</v>
      </c>
      <c r="E516" s="17">
        <v>0</v>
      </c>
      <c r="F516" s="17">
        <v>30</v>
      </c>
      <c r="G516" s="17">
        <v>0</v>
      </c>
      <c r="H516" s="17">
        <v>30</v>
      </c>
    </row>
    <row r="517" spans="1:8" x14ac:dyDescent="0.3">
      <c r="A517" s="16" t="s">
        <v>1143</v>
      </c>
      <c r="B517">
        <v>170</v>
      </c>
      <c r="C517">
        <v>8</v>
      </c>
      <c r="D517" s="17">
        <v>5</v>
      </c>
      <c r="E517" s="17">
        <v>3</v>
      </c>
      <c r="F517" s="17">
        <v>22</v>
      </c>
      <c r="G517" s="17">
        <v>0</v>
      </c>
      <c r="H517" s="17">
        <v>65</v>
      </c>
    </row>
    <row r="518" spans="1:8" x14ac:dyDescent="0.3">
      <c r="A518" s="16" t="s">
        <v>1135</v>
      </c>
      <c r="B518">
        <v>15</v>
      </c>
      <c r="C518">
        <v>0</v>
      </c>
      <c r="D518" s="17">
        <v>0</v>
      </c>
      <c r="E518" s="17">
        <v>0</v>
      </c>
      <c r="F518" s="17">
        <v>4</v>
      </c>
      <c r="G518" s="17">
        <v>0</v>
      </c>
      <c r="H518" s="17">
        <v>0</v>
      </c>
    </row>
    <row r="519" spans="1:8" x14ac:dyDescent="0.3">
      <c r="A519" s="16" t="s">
        <v>1136</v>
      </c>
      <c r="B519">
        <v>200</v>
      </c>
      <c r="C519">
        <v>9</v>
      </c>
      <c r="D519" s="17">
        <v>4</v>
      </c>
      <c r="E519" s="17">
        <v>21</v>
      </c>
      <c r="F519" s="17">
        <v>6</v>
      </c>
      <c r="G519" s="17">
        <v>1</v>
      </c>
      <c r="H519" s="17">
        <v>450</v>
      </c>
    </row>
    <row r="520" spans="1:8" x14ac:dyDescent="0.3">
      <c r="A520" s="16" t="s">
        <v>1137</v>
      </c>
      <c r="B520">
        <f>B519*3+B39+B40+B52</f>
        <v>784</v>
      </c>
      <c r="C520">
        <f t="shared" ref="C520:H520" si="118">C519*3+C39+C40+C52</f>
        <v>27</v>
      </c>
      <c r="D520">
        <f t="shared" si="118"/>
        <v>12</v>
      </c>
      <c r="E520">
        <f t="shared" si="118"/>
        <v>66</v>
      </c>
      <c r="F520">
        <f t="shared" si="118"/>
        <v>63</v>
      </c>
      <c r="G520">
        <f t="shared" si="118"/>
        <v>11</v>
      </c>
      <c r="H520">
        <f t="shared" si="118"/>
        <v>1358</v>
      </c>
    </row>
    <row r="521" spans="1:8" x14ac:dyDescent="0.3">
      <c r="A521" s="16" t="s">
        <v>1138</v>
      </c>
      <c r="B521" s="17">
        <f>B520/3</f>
        <v>261.33333333333331</v>
      </c>
      <c r="C521" s="17">
        <f t="shared" ref="C521:H521" si="119">C520/3</f>
        <v>9</v>
      </c>
      <c r="D521" s="17">
        <f t="shared" si="119"/>
        <v>4</v>
      </c>
      <c r="E521" s="17">
        <f t="shared" si="119"/>
        <v>22</v>
      </c>
      <c r="F521" s="17">
        <f t="shared" si="119"/>
        <v>21</v>
      </c>
      <c r="G521" s="17">
        <f t="shared" si="119"/>
        <v>3.6666666666666665</v>
      </c>
      <c r="H521" s="17">
        <f t="shared" si="119"/>
        <v>452.66666666666669</v>
      </c>
    </row>
    <row r="522" spans="1:8" x14ac:dyDescent="0.3">
      <c r="A522" s="16" t="s">
        <v>1139</v>
      </c>
      <c r="B522">
        <v>110</v>
      </c>
      <c r="C522">
        <v>6</v>
      </c>
      <c r="D522">
        <v>3.5</v>
      </c>
      <c r="E522">
        <v>1</v>
      </c>
      <c r="F522">
        <v>14</v>
      </c>
      <c r="G522">
        <v>0</v>
      </c>
      <c r="H522">
        <v>25</v>
      </c>
    </row>
    <row r="523" spans="1:8" x14ac:dyDescent="0.3">
      <c r="A523" s="16" t="s">
        <v>1147</v>
      </c>
      <c r="B523">
        <f>250*3</f>
        <v>750</v>
      </c>
      <c r="C523">
        <f>2*3</f>
        <v>6</v>
      </c>
      <c r="D523">
        <f>1*3</f>
        <v>3</v>
      </c>
      <c r="E523">
        <f>9*3</f>
        <v>27</v>
      </c>
      <c r="F523">
        <f>49*3</f>
        <v>147</v>
      </c>
      <c r="G523">
        <f>2*3</f>
        <v>6</v>
      </c>
      <c r="H523">
        <f>560*3</f>
        <v>1680</v>
      </c>
    </row>
    <row r="524" spans="1:8" x14ac:dyDescent="0.3">
      <c r="A524" s="16" t="s">
        <v>1148</v>
      </c>
      <c r="B524" s="17">
        <f>B523+B220/3+B77*2</f>
        <v>880</v>
      </c>
      <c r="C524" s="17">
        <f t="shared" ref="C524:H524" si="120">C523+C220/3+C77*2</f>
        <v>14.833333333333332</v>
      </c>
      <c r="D524" s="17">
        <f t="shared" si="120"/>
        <v>8</v>
      </c>
      <c r="E524" s="17">
        <f t="shared" si="120"/>
        <v>37.333333333333329</v>
      </c>
      <c r="F524" s="17">
        <f t="shared" si="120"/>
        <v>149.33333333333334</v>
      </c>
      <c r="G524" s="17">
        <f t="shared" si="120"/>
        <v>6.333333333333333</v>
      </c>
      <c r="H524" s="17">
        <f t="shared" si="120"/>
        <v>2016.6666666666667</v>
      </c>
    </row>
    <row r="525" spans="1:8" x14ac:dyDescent="0.3">
      <c r="A525" s="16" t="s">
        <v>1149</v>
      </c>
      <c r="B525" s="17">
        <f>B524/3</f>
        <v>293.33333333333331</v>
      </c>
      <c r="C525" s="17">
        <f t="shared" ref="C525:H525" si="121">C524/3</f>
        <v>4.9444444444444438</v>
      </c>
      <c r="D525" s="17">
        <f t="shared" si="121"/>
        <v>2.6666666666666665</v>
      </c>
      <c r="E525" s="17">
        <f t="shared" si="121"/>
        <v>12.444444444444443</v>
      </c>
      <c r="F525" s="17">
        <f t="shared" si="121"/>
        <v>49.777777777777779</v>
      </c>
      <c r="G525" s="17">
        <f t="shared" si="121"/>
        <v>2.1111111111111112</v>
      </c>
      <c r="H525" s="17">
        <f t="shared" si="121"/>
        <v>672.22222222222229</v>
      </c>
    </row>
    <row r="526" spans="1:8" x14ac:dyDescent="0.3">
      <c r="A526" s="16" t="s">
        <v>1150</v>
      </c>
      <c r="B526">
        <v>240</v>
      </c>
      <c r="C526">
        <v>14</v>
      </c>
      <c r="D526">
        <v>8</v>
      </c>
      <c r="E526">
        <v>19</v>
      </c>
      <c r="F526">
        <v>9</v>
      </c>
      <c r="G526">
        <v>3</v>
      </c>
      <c r="H526">
        <v>370</v>
      </c>
    </row>
    <row r="527" spans="1:8" x14ac:dyDescent="0.3">
      <c r="A527" s="16" t="s">
        <v>1155</v>
      </c>
      <c r="B527">
        <v>165</v>
      </c>
      <c r="C527">
        <v>0.7</v>
      </c>
      <c r="D527">
        <v>0.1</v>
      </c>
      <c r="E527">
        <v>5.5</v>
      </c>
      <c r="F527">
        <v>33.4</v>
      </c>
      <c r="G527">
        <v>1.3</v>
      </c>
      <c r="H527">
        <v>322</v>
      </c>
    </row>
    <row r="528" spans="1:8" x14ac:dyDescent="0.3">
      <c r="A528" s="16" t="s">
        <v>1156</v>
      </c>
      <c r="B528">
        <v>200</v>
      </c>
      <c r="C528">
        <v>4.5</v>
      </c>
      <c r="D528">
        <v>2</v>
      </c>
      <c r="E528">
        <v>7</v>
      </c>
      <c r="F528">
        <v>40</v>
      </c>
      <c r="G528">
        <v>8</v>
      </c>
      <c r="H528">
        <v>680</v>
      </c>
    </row>
    <row r="529" spans="1:8" x14ac:dyDescent="0.3">
      <c r="A529" s="16" t="s">
        <v>1158</v>
      </c>
      <c r="B529">
        <v>470</v>
      </c>
      <c r="C529">
        <v>11</v>
      </c>
      <c r="D529">
        <v>9</v>
      </c>
      <c r="E529">
        <v>9</v>
      </c>
      <c r="F529">
        <v>84</v>
      </c>
      <c r="G529">
        <v>9</v>
      </c>
      <c r="H529">
        <v>760</v>
      </c>
    </row>
    <row r="530" spans="1:8" x14ac:dyDescent="0.3">
      <c r="A530" s="16" t="s">
        <v>1160</v>
      </c>
      <c r="B530">
        <v>390</v>
      </c>
      <c r="C530">
        <v>17</v>
      </c>
      <c r="D530">
        <v>4.5</v>
      </c>
      <c r="E530">
        <v>12</v>
      </c>
      <c r="F530">
        <v>49</v>
      </c>
      <c r="G530">
        <v>2</v>
      </c>
      <c r="H530">
        <v>800</v>
      </c>
    </row>
    <row r="531" spans="1:8" x14ac:dyDescent="0.3">
      <c r="A531" s="16" t="s">
        <v>1161</v>
      </c>
      <c r="B531">
        <v>140</v>
      </c>
      <c r="C531">
        <v>6</v>
      </c>
      <c r="D531">
        <v>1</v>
      </c>
      <c r="E531">
        <v>2</v>
      </c>
      <c r="F531">
        <v>18</v>
      </c>
      <c r="G531">
        <v>1</v>
      </c>
      <c r="H531">
        <v>170</v>
      </c>
    </row>
    <row r="532" spans="1:8" x14ac:dyDescent="0.3">
      <c r="A532" s="16" t="s">
        <v>1162</v>
      </c>
      <c r="B532">
        <v>58</v>
      </c>
      <c r="C532">
        <v>0.4</v>
      </c>
      <c r="D532">
        <v>0.1</v>
      </c>
      <c r="E532">
        <v>1.4</v>
      </c>
      <c r="F532">
        <v>14.8</v>
      </c>
      <c r="G532">
        <v>2.2999999999999998</v>
      </c>
      <c r="H532">
        <v>0</v>
      </c>
    </row>
    <row r="533" spans="1:8" x14ac:dyDescent="0.3">
      <c r="A533" s="16" t="s">
        <v>1166</v>
      </c>
      <c r="B533">
        <v>140</v>
      </c>
      <c r="C533">
        <v>0</v>
      </c>
      <c r="D533">
        <v>0</v>
      </c>
      <c r="E533">
        <v>0</v>
      </c>
      <c r="F533">
        <v>33</v>
      </c>
      <c r="G533">
        <v>1</v>
      </c>
      <c r="H533">
        <v>190</v>
      </c>
    </row>
    <row r="534" spans="1:8" x14ac:dyDescent="0.3">
      <c r="A534" s="16" t="s">
        <v>1167</v>
      </c>
      <c r="B534">
        <v>160</v>
      </c>
      <c r="C534">
        <v>14</v>
      </c>
      <c r="D534">
        <v>2.5</v>
      </c>
      <c r="E534">
        <v>5</v>
      </c>
      <c r="F534">
        <v>8</v>
      </c>
      <c r="G534">
        <v>1</v>
      </c>
      <c r="H534">
        <v>0</v>
      </c>
    </row>
    <row r="535" spans="1:8" x14ac:dyDescent="0.3">
      <c r="A535" s="16" t="s">
        <v>1168</v>
      </c>
      <c r="B535">
        <v>250</v>
      </c>
      <c r="C535">
        <v>3.5</v>
      </c>
      <c r="D535">
        <v>1.5</v>
      </c>
      <c r="E535">
        <v>7</v>
      </c>
      <c r="F535">
        <v>47</v>
      </c>
      <c r="G535">
        <v>3</v>
      </c>
      <c r="H535">
        <v>310</v>
      </c>
    </row>
    <row r="536" spans="1:8" x14ac:dyDescent="0.3">
      <c r="A536" s="16" t="s">
        <v>1169</v>
      </c>
      <c r="B536">
        <v>220</v>
      </c>
      <c r="C536">
        <v>5</v>
      </c>
      <c r="D536">
        <v>2</v>
      </c>
      <c r="E536">
        <v>11</v>
      </c>
      <c r="F536">
        <v>35</v>
      </c>
      <c r="G536">
        <v>5</v>
      </c>
      <c r="H536">
        <v>380</v>
      </c>
    </row>
    <row r="537" spans="1:8" x14ac:dyDescent="0.3">
      <c r="A537" s="16" t="s">
        <v>1170</v>
      </c>
      <c r="B537">
        <v>310</v>
      </c>
      <c r="C537">
        <v>3</v>
      </c>
      <c r="D537">
        <v>0.5</v>
      </c>
      <c r="E537">
        <v>12</v>
      </c>
      <c r="F537">
        <v>61</v>
      </c>
      <c r="G537">
        <v>4</v>
      </c>
      <c r="H537">
        <v>600</v>
      </c>
    </row>
    <row r="538" spans="1:8" x14ac:dyDescent="0.3">
      <c r="A538" s="16" t="s">
        <v>1171</v>
      </c>
      <c r="B538">
        <v>132</v>
      </c>
      <c r="C538">
        <v>4.9000000000000004</v>
      </c>
      <c r="D538">
        <v>1</v>
      </c>
      <c r="E538">
        <v>20.7</v>
      </c>
      <c r="F538">
        <v>0</v>
      </c>
      <c r="G538">
        <v>0</v>
      </c>
      <c r="H538">
        <v>2260</v>
      </c>
    </row>
    <row r="539" spans="1:8" x14ac:dyDescent="0.3">
      <c r="A539" s="16" t="s">
        <v>1172</v>
      </c>
      <c r="B539">
        <v>4</v>
      </c>
      <c r="C539">
        <v>0.1</v>
      </c>
      <c r="D539">
        <v>0.1</v>
      </c>
      <c r="E539">
        <v>0.4</v>
      </c>
      <c r="F539">
        <v>0.8</v>
      </c>
      <c r="G539">
        <v>0.6</v>
      </c>
      <c r="H539">
        <v>510</v>
      </c>
    </row>
    <row r="540" spans="1:8" x14ac:dyDescent="0.3">
      <c r="A540" s="16" t="s">
        <v>1173</v>
      </c>
      <c r="B540">
        <f>B193*5+B69+B539+B538+B537</f>
        <v>723.1</v>
      </c>
      <c r="C540">
        <f t="shared" ref="C540:H540" si="122">C193*5+C69+C539+C538+C537</f>
        <v>33.700000000000003</v>
      </c>
      <c r="D540">
        <f t="shared" si="122"/>
        <v>17.600000000000001</v>
      </c>
      <c r="E540">
        <f t="shared" si="122"/>
        <v>39.700000000000003</v>
      </c>
      <c r="F540">
        <f t="shared" si="122"/>
        <v>68.599999999999994</v>
      </c>
      <c r="G540">
        <f t="shared" si="122"/>
        <v>6.1</v>
      </c>
      <c r="H540">
        <f t="shared" si="122"/>
        <v>3591.2</v>
      </c>
    </row>
    <row r="541" spans="1:8" x14ac:dyDescent="0.3">
      <c r="A541" s="16" t="s">
        <v>1177</v>
      </c>
      <c r="B541">
        <v>140</v>
      </c>
      <c r="C541">
        <v>6</v>
      </c>
      <c r="D541">
        <v>4</v>
      </c>
      <c r="E541">
        <v>1</v>
      </c>
      <c r="F541">
        <v>23</v>
      </c>
      <c r="G541">
        <v>1</v>
      </c>
      <c r="H541">
        <v>50</v>
      </c>
    </row>
    <row r="542" spans="1:8" x14ac:dyDescent="0.3">
      <c r="A542" s="16" t="s">
        <v>1178</v>
      </c>
      <c r="B542" s="17">
        <v>100</v>
      </c>
      <c r="C542" s="17">
        <v>0</v>
      </c>
      <c r="D542" s="17">
        <v>0</v>
      </c>
      <c r="E542" s="17">
        <v>0</v>
      </c>
      <c r="F542" s="17">
        <v>23</v>
      </c>
      <c r="G542" s="17">
        <v>0</v>
      </c>
      <c r="H542" s="17">
        <v>5</v>
      </c>
    </row>
    <row r="543" spans="1:8" x14ac:dyDescent="0.3">
      <c r="A543" s="16" t="s">
        <v>1181</v>
      </c>
      <c r="B543" s="17">
        <v>140</v>
      </c>
      <c r="C543" s="17">
        <v>5</v>
      </c>
      <c r="D543" s="17">
        <v>1</v>
      </c>
      <c r="E543" s="17">
        <v>2</v>
      </c>
      <c r="F543" s="17">
        <v>20</v>
      </c>
      <c r="G543" s="17">
        <v>1</v>
      </c>
      <c r="H543" s="17">
        <v>240</v>
      </c>
    </row>
    <row r="544" spans="1:8" x14ac:dyDescent="0.3">
      <c r="A544" s="16" t="s">
        <v>1184</v>
      </c>
      <c r="B544">
        <v>120</v>
      </c>
      <c r="C544">
        <v>3.5</v>
      </c>
      <c r="D544">
        <v>0.5</v>
      </c>
      <c r="E544">
        <v>2</v>
      </c>
      <c r="F544">
        <v>22</v>
      </c>
      <c r="G544">
        <v>1</v>
      </c>
      <c r="H544">
        <v>250</v>
      </c>
    </row>
    <row r="545" spans="1:8" x14ac:dyDescent="0.3">
      <c r="A545" s="16" t="s">
        <v>1191</v>
      </c>
      <c r="B545" s="17">
        <f>B474</f>
        <v>100</v>
      </c>
      <c r="C545" s="17">
        <f t="shared" ref="C545:H545" si="123">C474</f>
        <v>6</v>
      </c>
      <c r="D545" s="17">
        <f t="shared" si="123"/>
        <v>4</v>
      </c>
      <c r="E545" s="17">
        <f t="shared" si="123"/>
        <v>8</v>
      </c>
      <c r="F545" s="17">
        <f t="shared" si="123"/>
        <v>2</v>
      </c>
      <c r="G545" s="17">
        <f t="shared" si="123"/>
        <v>0</v>
      </c>
      <c r="H545" s="17">
        <f t="shared" si="123"/>
        <v>280</v>
      </c>
    </row>
    <row r="546" spans="1:8" x14ac:dyDescent="0.3">
      <c r="A546" s="16" t="s">
        <v>1192</v>
      </c>
      <c r="B546">
        <v>410</v>
      </c>
      <c r="C546">
        <v>15</v>
      </c>
      <c r="D546">
        <v>9</v>
      </c>
      <c r="E546">
        <v>10</v>
      </c>
      <c r="F546">
        <v>55</v>
      </c>
      <c r="G546">
        <v>0</v>
      </c>
      <c r="H546">
        <v>650</v>
      </c>
    </row>
    <row r="547" spans="1:8" x14ac:dyDescent="0.3">
      <c r="A547" s="16" t="s">
        <v>1193</v>
      </c>
      <c r="B547">
        <v>100</v>
      </c>
      <c r="C547">
        <v>9</v>
      </c>
      <c r="D547">
        <v>6</v>
      </c>
      <c r="E547">
        <v>2</v>
      </c>
      <c r="F547">
        <v>2</v>
      </c>
      <c r="G547">
        <v>0</v>
      </c>
      <c r="H547">
        <v>150</v>
      </c>
    </row>
    <row r="548" spans="1:8" x14ac:dyDescent="0.3">
      <c r="A548" s="16" t="s">
        <v>1194</v>
      </c>
      <c r="B548">
        <v>70</v>
      </c>
      <c r="C548">
        <v>3.5</v>
      </c>
      <c r="D548">
        <v>0</v>
      </c>
      <c r="E548">
        <v>1</v>
      </c>
      <c r="F548">
        <v>9</v>
      </c>
      <c r="G548">
        <v>1</v>
      </c>
      <c r="H548">
        <v>110</v>
      </c>
    </row>
    <row r="549" spans="1:8" x14ac:dyDescent="0.3">
      <c r="B549">
        <f>B547*3</f>
        <v>300</v>
      </c>
      <c r="C549">
        <f t="shared" ref="C549:H549" si="124">C547*3</f>
        <v>27</v>
      </c>
      <c r="D549">
        <f t="shared" si="124"/>
        <v>18</v>
      </c>
      <c r="E549">
        <f t="shared" si="124"/>
        <v>6</v>
      </c>
      <c r="F549">
        <f t="shared" si="124"/>
        <v>6</v>
      </c>
      <c r="G549">
        <f t="shared" si="124"/>
        <v>0</v>
      </c>
      <c r="H549">
        <f t="shared" si="124"/>
        <v>450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25"/>
  <sheetViews>
    <sheetView tabSelected="1" topLeftCell="T1" zoomScale="85" zoomScaleNormal="85" workbookViewId="0">
      <pane ySplit="1" topLeftCell="A215" activePane="bottomLeft" state="frozen"/>
      <selection activeCell="O1" sqref="O1"/>
      <selection pane="bottomLeft" activeCell="Z224" sqref="Z224"/>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6" width="17.21875" style="3" customWidth="1"/>
    <col min="27"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2" width="9.109375" style="3" customWidth="1"/>
    <col min="53"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63" width="19.5546875" style="11" bestFit="1" customWidth="1"/>
    <col min="64" max="64" width="11.21875" style="3" bestFit="1" customWidth="1"/>
    <col min="65" max="16384" width="9.109375" style="3"/>
  </cols>
  <sheetData>
    <row r="1" spans="1:65"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c r="BK1" s="11" t="s">
        <v>963</v>
      </c>
      <c r="BL1" s="3" t="s">
        <v>964</v>
      </c>
      <c r="BM1" s="3" t="s">
        <v>1106</v>
      </c>
    </row>
    <row r="2" spans="1:65"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c r="BK2" s="3">
        <v>0</v>
      </c>
      <c r="BL2" s="3">
        <v>0</v>
      </c>
      <c r="BM2" s="3">
        <v>0</v>
      </c>
    </row>
    <row r="3" spans="1:65"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c r="BK3" s="3">
        <v>0</v>
      </c>
      <c r="BL3" s="3">
        <v>0</v>
      </c>
      <c r="BM3" s="3">
        <v>0</v>
      </c>
    </row>
    <row r="4" spans="1:65"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c r="BK4" s="3">
        <v>0</v>
      </c>
      <c r="BL4" s="3">
        <v>0</v>
      </c>
      <c r="BM4" s="3">
        <v>0</v>
      </c>
    </row>
    <row r="5" spans="1:65"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c r="BK5" s="3">
        <v>0</v>
      </c>
      <c r="BL5" s="3">
        <v>0</v>
      </c>
      <c r="BM5" s="3">
        <v>0</v>
      </c>
    </row>
    <row r="6" spans="1:65"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c r="BK6" s="11">
        <v>5</v>
      </c>
      <c r="BL6" s="3" t="s">
        <v>972</v>
      </c>
      <c r="BM6" s="3">
        <v>0</v>
      </c>
    </row>
    <row r="7" spans="1:65"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c r="BK7" s="3">
        <v>0</v>
      </c>
      <c r="BL7" s="3">
        <v>0</v>
      </c>
      <c r="BM7" s="3">
        <v>0</v>
      </c>
    </row>
    <row r="8" spans="1:65"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c r="BK8" s="3">
        <v>0</v>
      </c>
      <c r="BL8" s="3">
        <v>0</v>
      </c>
      <c r="BM8" s="3">
        <v>0</v>
      </c>
    </row>
    <row r="9" spans="1:65"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c r="BK9" s="3">
        <v>0</v>
      </c>
      <c r="BL9" s="3">
        <v>0</v>
      </c>
      <c r="BM9" s="3">
        <v>0</v>
      </c>
    </row>
    <row r="10" spans="1:65"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c r="BK10" s="3">
        <v>0</v>
      </c>
      <c r="BL10" s="3">
        <v>0</v>
      </c>
      <c r="BM10" s="3">
        <v>0</v>
      </c>
    </row>
    <row r="11" spans="1:65"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c r="BK11" s="3">
        <v>0</v>
      </c>
      <c r="BL11" s="3">
        <v>0</v>
      </c>
      <c r="BM11" s="3">
        <v>0</v>
      </c>
    </row>
    <row r="12" spans="1:65"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c r="BK12" s="3">
        <v>0</v>
      </c>
      <c r="BL12" s="3">
        <v>0</v>
      </c>
      <c r="BM12" s="3">
        <v>0</v>
      </c>
    </row>
    <row r="13" spans="1:65"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c r="BK13" s="3">
        <v>0</v>
      </c>
      <c r="BL13" s="3">
        <v>0</v>
      </c>
      <c r="BM13" s="3">
        <v>0</v>
      </c>
    </row>
    <row r="14" spans="1:65"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c r="BK14" s="3">
        <v>0</v>
      </c>
      <c r="BL14" s="3">
        <v>0</v>
      </c>
      <c r="BM14" s="3">
        <v>0</v>
      </c>
    </row>
    <row r="15" spans="1:65"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c r="BK15" s="3">
        <v>0</v>
      </c>
      <c r="BL15" s="3">
        <v>0</v>
      </c>
      <c r="BM15" s="3">
        <v>0</v>
      </c>
    </row>
    <row r="16" spans="1:65"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c r="BK16" s="3">
        <v>0</v>
      </c>
      <c r="BL16" s="3">
        <v>0</v>
      </c>
      <c r="BM16" s="3">
        <v>0</v>
      </c>
    </row>
    <row r="17" spans="1:65"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c r="BK17" s="3">
        <v>0</v>
      </c>
      <c r="BL17" s="3">
        <v>0</v>
      </c>
      <c r="BM17" s="3">
        <v>0</v>
      </c>
    </row>
    <row r="18" spans="1:65"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c r="BK18" s="3">
        <v>0</v>
      </c>
      <c r="BL18" s="3">
        <v>0</v>
      </c>
      <c r="BM18" s="3">
        <v>0</v>
      </c>
    </row>
    <row r="19" spans="1:65"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c r="BK19" s="3">
        <v>0</v>
      </c>
      <c r="BL19" s="3">
        <v>0</v>
      </c>
      <c r="BM19" s="3">
        <v>0</v>
      </c>
    </row>
    <row r="20" spans="1:65"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c r="BK20" s="3">
        <v>0</v>
      </c>
      <c r="BL20" s="3">
        <v>0</v>
      </c>
      <c r="BM20" s="3">
        <v>0</v>
      </c>
    </row>
    <row r="21" spans="1:65"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c r="BK21" s="3">
        <v>0</v>
      </c>
      <c r="BL21" s="3">
        <v>0</v>
      </c>
      <c r="BM21" s="3">
        <v>0</v>
      </c>
    </row>
    <row r="22" spans="1:65"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c r="BK22" s="3">
        <v>0</v>
      </c>
      <c r="BL22" s="3">
        <v>0</v>
      </c>
      <c r="BM22" s="3">
        <v>0</v>
      </c>
    </row>
    <row r="23" spans="1:65"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c r="BK23" s="3">
        <v>0</v>
      </c>
      <c r="BL23" s="3">
        <v>0</v>
      </c>
      <c r="BM23" s="3">
        <v>0</v>
      </c>
    </row>
    <row r="24" spans="1:65"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c r="BK24" s="3">
        <v>0</v>
      </c>
      <c r="BL24" s="3">
        <v>0</v>
      </c>
      <c r="BM24" s="3">
        <v>0</v>
      </c>
    </row>
    <row r="25" spans="1:65"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c r="BK25" s="3">
        <v>0</v>
      </c>
      <c r="BL25" s="3">
        <v>0</v>
      </c>
      <c r="BM25" s="3">
        <v>0</v>
      </c>
    </row>
    <row r="26" spans="1:65"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c r="BK26" s="3">
        <v>0</v>
      </c>
      <c r="BL26" s="3">
        <v>0</v>
      </c>
      <c r="BM26" s="3">
        <v>0</v>
      </c>
    </row>
    <row r="27" spans="1:65"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c r="BK27" s="3">
        <v>0</v>
      </c>
      <c r="BL27" s="3">
        <v>0</v>
      </c>
      <c r="BM27" s="3">
        <v>0</v>
      </c>
    </row>
    <row r="28" spans="1:65"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c r="BK28" s="3">
        <v>0</v>
      </c>
      <c r="BL28" s="3">
        <v>0</v>
      </c>
      <c r="BM28" s="3">
        <v>0</v>
      </c>
    </row>
    <row r="29" spans="1:65"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c r="BK29" s="11">
        <v>5</v>
      </c>
      <c r="BL29" s="3" t="s">
        <v>972</v>
      </c>
      <c r="BM29" s="3">
        <v>0</v>
      </c>
    </row>
    <row r="30" spans="1:65"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c r="BK30" s="3">
        <v>0</v>
      </c>
      <c r="BL30" s="3">
        <v>0</v>
      </c>
      <c r="BM30" s="3">
        <v>0</v>
      </c>
    </row>
    <row r="31" spans="1:65"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c r="BK31" s="3">
        <v>0</v>
      </c>
      <c r="BL31" s="3">
        <v>0</v>
      </c>
      <c r="BM31" s="3">
        <v>0</v>
      </c>
    </row>
    <row r="32" spans="1:65"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c r="BK32" s="3">
        <v>0</v>
      </c>
      <c r="BL32" s="3">
        <v>0</v>
      </c>
      <c r="BM32" s="3">
        <v>0</v>
      </c>
    </row>
    <row r="33" spans="1:65"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c r="BK33" s="3">
        <v>0</v>
      </c>
      <c r="BL33" s="3">
        <v>0</v>
      </c>
      <c r="BM33" s="3">
        <v>0</v>
      </c>
    </row>
    <row r="34" spans="1:65"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c r="BK34" s="11">
        <v>5</v>
      </c>
      <c r="BL34" s="3" t="s">
        <v>971</v>
      </c>
      <c r="BM34" s="3">
        <v>0</v>
      </c>
    </row>
    <row r="35" spans="1:65"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c r="BK35" s="3">
        <v>0</v>
      </c>
      <c r="BL35" s="3">
        <v>0</v>
      </c>
      <c r="BM35" s="3">
        <v>0</v>
      </c>
    </row>
    <row r="36" spans="1:65"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c r="BK36" s="3">
        <v>0</v>
      </c>
      <c r="BL36" s="3">
        <v>0</v>
      </c>
      <c r="BM36" s="3">
        <v>0</v>
      </c>
    </row>
    <row r="37" spans="1:65"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c r="BK37" s="3">
        <v>0</v>
      </c>
      <c r="BL37" s="3">
        <v>0</v>
      </c>
      <c r="BM37" s="3">
        <v>0</v>
      </c>
    </row>
    <row r="38" spans="1:65"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c r="BK38" s="3">
        <v>0</v>
      </c>
      <c r="BL38" s="3">
        <v>0</v>
      </c>
      <c r="BM38" s="3">
        <v>0</v>
      </c>
    </row>
    <row r="39" spans="1:65"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c r="BK39" s="3">
        <v>0</v>
      </c>
      <c r="BL39" s="3">
        <v>0</v>
      </c>
      <c r="BM39" s="3">
        <v>0</v>
      </c>
    </row>
    <row r="40" spans="1:65"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c r="BK40" s="3">
        <v>0</v>
      </c>
      <c r="BL40" s="3">
        <v>0</v>
      </c>
      <c r="BM40" s="3">
        <v>0</v>
      </c>
    </row>
    <row r="41" spans="1:65"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c r="BK41" s="3">
        <v>0</v>
      </c>
      <c r="BL41" s="3">
        <v>0</v>
      </c>
      <c r="BM41" s="3">
        <v>0</v>
      </c>
    </row>
    <row r="42" spans="1:65"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c r="BK42" s="3">
        <v>0</v>
      </c>
      <c r="BL42" s="3">
        <v>0</v>
      </c>
      <c r="BM42" s="3">
        <v>0</v>
      </c>
    </row>
    <row r="43" spans="1:65"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c r="BK43" s="3">
        <v>0</v>
      </c>
      <c r="BL43" s="3">
        <v>0</v>
      </c>
      <c r="BM43" s="3">
        <v>0</v>
      </c>
    </row>
    <row r="44" spans="1:65"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c r="BK44" s="3">
        <v>0</v>
      </c>
      <c r="BL44" s="3">
        <v>0</v>
      </c>
      <c r="BM44" s="3">
        <v>0</v>
      </c>
    </row>
    <row r="45" spans="1:65"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c r="BK45" s="3">
        <v>0</v>
      </c>
      <c r="BL45" s="3">
        <v>0</v>
      </c>
      <c r="BM45" s="3">
        <v>0</v>
      </c>
    </row>
    <row r="46" spans="1:65"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c r="BK46" s="3">
        <v>0</v>
      </c>
      <c r="BL46" s="3">
        <v>0</v>
      </c>
      <c r="BM46" s="3">
        <v>0</v>
      </c>
    </row>
    <row r="47" spans="1:65"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c r="BK47" s="3">
        <v>0</v>
      </c>
      <c r="BL47" s="3">
        <v>0</v>
      </c>
      <c r="BM47" s="3">
        <v>0</v>
      </c>
    </row>
    <row r="48" spans="1:65"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c r="BK48" s="3">
        <v>0</v>
      </c>
      <c r="BL48" s="3">
        <v>0</v>
      </c>
      <c r="BM48" s="3">
        <v>0</v>
      </c>
    </row>
    <row r="49" spans="1:65"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c r="BK49" s="3">
        <v>0</v>
      </c>
      <c r="BL49" s="3">
        <v>0</v>
      </c>
      <c r="BM49" s="3">
        <v>0</v>
      </c>
    </row>
    <row r="50" spans="1:65"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c r="BK50" s="3">
        <v>0</v>
      </c>
      <c r="BL50" s="3">
        <v>0</v>
      </c>
      <c r="BM50" s="3">
        <v>0</v>
      </c>
    </row>
    <row r="51" spans="1:65"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c r="BK51" s="3">
        <v>0</v>
      </c>
      <c r="BL51" s="3">
        <v>0</v>
      </c>
      <c r="BM51" s="3">
        <v>0</v>
      </c>
    </row>
    <row r="52" spans="1:65"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c r="BK52" s="11">
        <v>3</v>
      </c>
      <c r="BL52" s="3" t="s">
        <v>966</v>
      </c>
      <c r="BM52" s="3">
        <v>0</v>
      </c>
    </row>
    <row r="53" spans="1:65"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c r="BK53" s="3">
        <v>0</v>
      </c>
      <c r="BL53" s="3">
        <v>0</v>
      </c>
      <c r="BM53" s="3">
        <v>0</v>
      </c>
    </row>
    <row r="54" spans="1:65"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c r="BK54" s="3">
        <v>0</v>
      </c>
      <c r="BL54" s="3">
        <v>0</v>
      </c>
      <c r="BM54" s="3">
        <v>0</v>
      </c>
    </row>
    <row r="55" spans="1:65"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c r="BK55" s="3">
        <v>0</v>
      </c>
      <c r="BL55" s="3">
        <v>0</v>
      </c>
      <c r="BM55" s="3">
        <v>0</v>
      </c>
    </row>
    <row r="56" spans="1:65"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c r="BK56" s="3">
        <v>0</v>
      </c>
      <c r="BL56" s="3">
        <v>0</v>
      </c>
      <c r="BM56" s="3">
        <v>0</v>
      </c>
    </row>
    <row r="57" spans="1:65"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c r="BK57" s="3">
        <v>0</v>
      </c>
      <c r="BL57" s="3">
        <v>0</v>
      </c>
      <c r="BM57" s="3">
        <v>0</v>
      </c>
    </row>
    <row r="58" spans="1:65"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c r="BK58" s="3">
        <v>0</v>
      </c>
      <c r="BL58" s="3">
        <v>0</v>
      </c>
      <c r="BM58" s="3">
        <v>0</v>
      </c>
    </row>
    <row r="59" spans="1:65"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c r="BK59" s="6">
        <v>1.5</v>
      </c>
      <c r="BL59" s="3" t="s">
        <v>967</v>
      </c>
      <c r="BM59" s="3">
        <v>0</v>
      </c>
    </row>
    <row r="60" spans="1:65"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c r="BK60" s="7">
        <v>0</v>
      </c>
      <c r="BL60" s="7">
        <v>0</v>
      </c>
      <c r="BM60" s="3">
        <v>0</v>
      </c>
    </row>
    <row r="61" spans="1:65"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c r="BK61" s="7">
        <v>0</v>
      </c>
      <c r="BL61" s="7">
        <v>0</v>
      </c>
      <c r="BM61" s="3">
        <v>0</v>
      </c>
    </row>
    <row r="62" spans="1:65"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c r="BK62" s="7">
        <v>0</v>
      </c>
      <c r="BL62" s="7">
        <v>0</v>
      </c>
      <c r="BM62" s="3">
        <v>0</v>
      </c>
    </row>
    <row r="63" spans="1:65"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c r="BK63" s="7">
        <v>0</v>
      </c>
      <c r="BL63" s="7">
        <v>0</v>
      </c>
      <c r="BM63" s="3">
        <v>0</v>
      </c>
    </row>
    <row r="64" spans="1:65"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c r="BK64" s="7">
        <v>0</v>
      </c>
      <c r="BL64" s="7">
        <v>0</v>
      </c>
      <c r="BM64" s="3">
        <v>0</v>
      </c>
    </row>
    <row r="65" spans="1:65"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c r="BK65" s="7">
        <v>0</v>
      </c>
      <c r="BL65" s="7">
        <v>0</v>
      </c>
      <c r="BM65" s="3">
        <v>0</v>
      </c>
    </row>
    <row r="66" spans="1:65"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c r="BK66" s="7">
        <v>0</v>
      </c>
      <c r="BL66" s="7">
        <v>0</v>
      </c>
      <c r="BM66" s="3">
        <v>0</v>
      </c>
    </row>
    <row r="67" spans="1:65"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c r="BK67" s="6">
        <v>5</v>
      </c>
      <c r="BL67" s="3" t="s">
        <v>970</v>
      </c>
      <c r="BM67" s="3">
        <v>0</v>
      </c>
    </row>
    <row r="68" spans="1:65"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c r="BK68" s="7">
        <v>0</v>
      </c>
      <c r="BL68" s="7">
        <v>0</v>
      </c>
      <c r="BM68" s="3">
        <v>0</v>
      </c>
    </row>
    <row r="69" spans="1:65"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c r="BK69" s="6">
        <v>1</v>
      </c>
      <c r="BL69" s="3" t="s">
        <v>968</v>
      </c>
      <c r="BM69" s="3">
        <v>0</v>
      </c>
    </row>
    <row r="70" spans="1:65"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c r="BK70" s="6">
        <v>2</v>
      </c>
      <c r="BL70" s="3" t="s">
        <v>968</v>
      </c>
      <c r="BM70" s="3">
        <v>0</v>
      </c>
    </row>
    <row r="71" spans="1:65"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c r="BK71" s="6">
        <v>0</v>
      </c>
      <c r="BL71" s="7">
        <v>0</v>
      </c>
      <c r="BM71" s="3">
        <v>0</v>
      </c>
    </row>
    <row r="72" spans="1:65"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c r="BK72" s="6">
        <v>0</v>
      </c>
      <c r="BL72" s="7">
        <v>0</v>
      </c>
      <c r="BM72" s="3">
        <v>0</v>
      </c>
    </row>
    <row r="73" spans="1:65"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c r="BK73" s="6">
        <v>0</v>
      </c>
      <c r="BL73" s="7">
        <v>0</v>
      </c>
      <c r="BM73" s="3">
        <v>0</v>
      </c>
    </row>
    <row r="74" spans="1:65"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c r="BK74" s="6">
        <v>3</v>
      </c>
      <c r="BL74" s="3" t="s">
        <v>965</v>
      </c>
      <c r="BM74" s="3">
        <v>0</v>
      </c>
    </row>
    <row r="75" spans="1:65"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c r="BK75" s="6">
        <v>0</v>
      </c>
      <c r="BL75" s="7">
        <v>0</v>
      </c>
      <c r="BM75" s="3">
        <v>0</v>
      </c>
    </row>
    <row r="76" spans="1:65"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c r="BK76" s="6">
        <v>1</v>
      </c>
      <c r="BL76" s="3" t="s">
        <v>969</v>
      </c>
      <c r="BM76" s="3">
        <v>0</v>
      </c>
    </row>
    <row r="77" spans="1:65"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c r="BK77" s="6">
        <v>0</v>
      </c>
      <c r="BL77" s="7">
        <v>0</v>
      </c>
      <c r="BM77" s="3">
        <v>0</v>
      </c>
    </row>
    <row r="78" spans="1:65"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c r="BK78" s="6">
        <v>0</v>
      </c>
      <c r="BL78" s="7">
        <v>0</v>
      </c>
      <c r="BM78" s="3">
        <v>0</v>
      </c>
    </row>
    <row r="79" spans="1:65"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c r="BK79" s="6">
        <v>2</v>
      </c>
      <c r="BL79" s="3" t="s">
        <v>969</v>
      </c>
      <c r="BM79" s="3">
        <v>0</v>
      </c>
    </row>
    <row r="80" spans="1:65"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c r="BK80" s="6">
        <v>0</v>
      </c>
      <c r="BL80" s="7">
        <v>0</v>
      </c>
      <c r="BM80" s="3">
        <v>0</v>
      </c>
    </row>
    <row r="81" spans="1:65"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c r="BK81" s="6">
        <v>0</v>
      </c>
      <c r="BL81" s="7">
        <v>0</v>
      </c>
      <c r="BM81" s="3">
        <v>0</v>
      </c>
    </row>
    <row r="82" spans="1:65"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c r="BK82" s="6">
        <v>0</v>
      </c>
      <c r="BL82" s="7">
        <v>0</v>
      </c>
      <c r="BM82" s="3">
        <v>0</v>
      </c>
    </row>
    <row r="83" spans="1:65"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c r="BK83" s="6">
        <v>0</v>
      </c>
      <c r="BL83" s="7">
        <v>0</v>
      </c>
      <c r="BM83" s="3">
        <v>0</v>
      </c>
    </row>
    <row r="84" spans="1:65"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c r="BK84" s="6">
        <v>0</v>
      </c>
      <c r="BL84" s="7">
        <v>0</v>
      </c>
      <c r="BM84" s="3">
        <v>0</v>
      </c>
    </row>
    <row r="85" spans="1:65"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c r="BK85" s="6">
        <v>0</v>
      </c>
      <c r="BL85" s="7">
        <v>0</v>
      </c>
      <c r="BM85" s="3">
        <v>0</v>
      </c>
    </row>
    <row r="86" spans="1:65"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c r="BK86" s="6">
        <v>0</v>
      </c>
      <c r="BL86" s="7">
        <v>0</v>
      </c>
      <c r="BM86" s="3">
        <v>0</v>
      </c>
    </row>
    <row r="87" spans="1:65"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c r="BK87" s="6">
        <v>0</v>
      </c>
      <c r="BL87" s="7">
        <v>0</v>
      </c>
      <c r="BM87" s="3">
        <v>0</v>
      </c>
    </row>
    <row r="88" spans="1:65"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c r="BK88" s="6">
        <v>3</v>
      </c>
      <c r="BL88" s="3" t="s">
        <v>973</v>
      </c>
      <c r="BM88" s="3">
        <v>0</v>
      </c>
    </row>
    <row r="89" spans="1:65"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c r="BK89" s="6">
        <v>0</v>
      </c>
      <c r="BL89" s="7">
        <v>0</v>
      </c>
      <c r="BM89" s="3">
        <v>0</v>
      </c>
    </row>
    <row r="90" spans="1:65"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c r="BK90" s="6">
        <v>1</v>
      </c>
      <c r="BL90" s="3" t="s">
        <v>967</v>
      </c>
      <c r="BM90" s="3">
        <v>0</v>
      </c>
    </row>
    <row r="91" spans="1:65"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c r="BK91" s="6">
        <v>0</v>
      </c>
      <c r="BL91" s="7">
        <v>0</v>
      </c>
      <c r="BM91" s="3">
        <v>0</v>
      </c>
    </row>
    <row r="92" spans="1:65"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c r="BK92" s="6">
        <v>0</v>
      </c>
      <c r="BL92" s="7">
        <v>0</v>
      </c>
      <c r="BM92" s="3">
        <v>0</v>
      </c>
    </row>
    <row r="93" spans="1:65"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c r="BK93" s="6">
        <v>0</v>
      </c>
      <c r="BL93" s="7">
        <v>0</v>
      </c>
      <c r="BM93" s="3">
        <v>0</v>
      </c>
    </row>
    <row r="94" spans="1:65"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c r="BK94" s="6">
        <v>1.5</v>
      </c>
      <c r="BL94" s="3" t="s">
        <v>967</v>
      </c>
      <c r="BM94" s="3">
        <v>0</v>
      </c>
    </row>
    <row r="95" spans="1:65"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c r="BK95" s="11">
        <v>5</v>
      </c>
      <c r="BL95" s="3" t="s">
        <v>974</v>
      </c>
      <c r="BM95" s="3">
        <v>0</v>
      </c>
    </row>
    <row r="96" spans="1:65"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c r="BK96" s="6">
        <v>0</v>
      </c>
      <c r="BL96" s="7">
        <v>0</v>
      </c>
      <c r="BM96" s="3">
        <v>0</v>
      </c>
    </row>
    <row r="97" spans="1:65"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c r="BK97" s="6">
        <v>0</v>
      </c>
      <c r="BL97" s="7">
        <v>0</v>
      </c>
      <c r="BM97" s="3">
        <v>0</v>
      </c>
    </row>
    <row r="98" spans="1:65"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c r="BK98" s="6">
        <v>0</v>
      </c>
      <c r="BL98" s="7">
        <v>0</v>
      </c>
      <c r="BM98" s="3">
        <v>0</v>
      </c>
    </row>
    <row r="99" spans="1:65"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c r="BK99" s="6">
        <v>0</v>
      </c>
      <c r="BL99" s="7">
        <v>0</v>
      </c>
      <c r="BM99" s="3">
        <v>0</v>
      </c>
    </row>
    <row r="100" spans="1:65"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c r="BK100" s="6">
        <v>0</v>
      </c>
      <c r="BL100" s="7">
        <v>0</v>
      </c>
      <c r="BM100" s="3">
        <v>0</v>
      </c>
    </row>
    <row r="101" spans="1:65"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c r="BK101" s="11">
        <v>2</v>
      </c>
      <c r="BL101" s="3" t="s">
        <v>975</v>
      </c>
      <c r="BM101" s="3">
        <v>0</v>
      </c>
    </row>
    <row r="102" spans="1:65"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c r="BK102" s="11">
        <v>2</v>
      </c>
      <c r="BL102" s="3" t="s">
        <v>975</v>
      </c>
      <c r="BM102" s="3">
        <v>0</v>
      </c>
    </row>
    <row r="103" spans="1:65"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c r="BK103" s="6">
        <v>0</v>
      </c>
      <c r="BL103" s="7">
        <v>0</v>
      </c>
      <c r="BM103" s="3">
        <v>0</v>
      </c>
    </row>
    <row r="104" spans="1:65"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c r="BK104" s="6">
        <v>0</v>
      </c>
      <c r="BL104" s="7">
        <v>0</v>
      </c>
      <c r="BM104" s="3">
        <v>0</v>
      </c>
    </row>
    <row r="105" spans="1:65"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c r="BK105" s="6">
        <v>0</v>
      </c>
      <c r="BL105" s="7">
        <v>0</v>
      </c>
      <c r="BM105" s="3">
        <v>0</v>
      </c>
    </row>
    <row r="106" spans="1:65"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c r="BK106" s="6">
        <v>0</v>
      </c>
      <c r="BL106" s="7">
        <v>0</v>
      </c>
      <c r="BM106" s="3">
        <v>0</v>
      </c>
    </row>
    <row r="107" spans="1:65"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c r="BK107" s="11">
        <v>1</v>
      </c>
      <c r="BL107" s="3" t="s">
        <v>967</v>
      </c>
      <c r="BM107" s="3">
        <v>0</v>
      </c>
    </row>
    <row r="108" spans="1:65"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c r="BK108" s="11">
        <v>1</v>
      </c>
      <c r="BL108" s="3" t="s">
        <v>976</v>
      </c>
      <c r="BM108" s="3">
        <v>0</v>
      </c>
    </row>
    <row r="109" spans="1:65"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c r="BK109" s="11">
        <v>1</v>
      </c>
      <c r="BL109" s="3" t="s">
        <v>976</v>
      </c>
      <c r="BM109" s="3">
        <v>0</v>
      </c>
    </row>
    <row r="110" spans="1:65"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c r="BK110" s="11">
        <v>2</v>
      </c>
      <c r="BL110" s="3" t="s">
        <v>976</v>
      </c>
      <c r="BM110" s="3">
        <v>0</v>
      </c>
    </row>
    <row r="111" spans="1:65"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c r="BK111" s="11">
        <v>1</v>
      </c>
      <c r="BL111" s="3" t="s">
        <v>977</v>
      </c>
      <c r="BM111" s="3">
        <v>0</v>
      </c>
    </row>
    <row r="112" spans="1:65"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c r="BK112" s="11">
        <v>2</v>
      </c>
      <c r="BL112" s="3" t="s">
        <v>977</v>
      </c>
      <c r="BM112" s="3">
        <v>0</v>
      </c>
    </row>
    <row r="113" spans="1:65"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c r="BK113" s="11">
        <v>1</v>
      </c>
      <c r="BL113" s="3" t="s">
        <v>977</v>
      </c>
      <c r="BM113" s="3">
        <v>0</v>
      </c>
    </row>
    <row r="114" spans="1:65"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c r="BK114" s="11">
        <v>1</v>
      </c>
      <c r="BL114" s="3" t="s">
        <v>976</v>
      </c>
      <c r="BM114" s="3">
        <v>0</v>
      </c>
    </row>
    <row r="115" spans="1:65"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c r="BK115" s="11">
        <v>3</v>
      </c>
      <c r="BL115" s="3" t="s">
        <v>976</v>
      </c>
      <c r="BM115" s="3">
        <v>0</v>
      </c>
    </row>
    <row r="116" spans="1:65"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c r="BK116" s="11">
        <v>0</v>
      </c>
      <c r="BL116" s="7">
        <v>0</v>
      </c>
      <c r="BM116" s="3">
        <v>0</v>
      </c>
    </row>
    <row r="117" spans="1:65"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c r="BK117" s="11">
        <v>1</v>
      </c>
      <c r="BL117" s="3" t="s">
        <v>976</v>
      </c>
      <c r="BM117" s="3">
        <v>0</v>
      </c>
    </row>
    <row r="118" spans="1:65"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c r="BK118" s="11">
        <v>2</v>
      </c>
      <c r="BL118" s="3" t="s">
        <v>976</v>
      </c>
      <c r="BM118" s="3">
        <v>0</v>
      </c>
    </row>
    <row r="119" spans="1:65"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c r="BK119" s="11">
        <v>0.5</v>
      </c>
      <c r="BL119" s="3" t="s">
        <v>976</v>
      </c>
      <c r="BM119" s="3">
        <v>0</v>
      </c>
    </row>
    <row r="120" spans="1:65"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c r="BK120" s="11">
        <v>1</v>
      </c>
      <c r="BL120" s="3" t="s">
        <v>978</v>
      </c>
      <c r="BM120" s="3">
        <v>0</v>
      </c>
    </row>
    <row r="121" spans="1:65"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c r="BK121" s="11">
        <v>1</v>
      </c>
      <c r="BL121" s="3" t="s">
        <v>978</v>
      </c>
      <c r="BM121" s="3">
        <v>0</v>
      </c>
    </row>
    <row r="122" spans="1:65"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c r="BK122" s="11">
        <v>1</v>
      </c>
      <c r="BL122" s="3" t="s">
        <v>978</v>
      </c>
      <c r="BM122" s="3">
        <v>0</v>
      </c>
    </row>
    <row r="123" spans="1:65"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c r="BK123" s="11">
        <v>2</v>
      </c>
      <c r="BL123" s="3" t="s">
        <v>978</v>
      </c>
      <c r="BM123" s="3">
        <v>0</v>
      </c>
    </row>
    <row r="124" spans="1:65"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c r="BK124" s="11">
        <v>1</v>
      </c>
      <c r="BL124" s="3" t="s">
        <v>978</v>
      </c>
      <c r="BM124" s="3">
        <v>0</v>
      </c>
    </row>
    <row r="125" spans="1:65"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c r="BK125" s="11">
        <v>1</v>
      </c>
      <c r="BL125" s="3" t="s">
        <v>978</v>
      </c>
      <c r="BM125" s="3">
        <v>0</v>
      </c>
    </row>
    <row r="126" spans="1:65"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c r="BK126" s="11">
        <v>4</v>
      </c>
      <c r="BL126" s="3" t="s">
        <v>978</v>
      </c>
      <c r="BM126" s="3">
        <v>0</v>
      </c>
    </row>
    <row r="127" spans="1:65"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c r="BK127" s="11">
        <v>0</v>
      </c>
      <c r="BL127" s="7">
        <v>0</v>
      </c>
      <c r="BM127" s="3">
        <v>0</v>
      </c>
    </row>
    <row r="128" spans="1:65"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c r="BK128" s="11">
        <v>1</v>
      </c>
      <c r="BL128" s="3" t="s">
        <v>976</v>
      </c>
      <c r="BM128" s="3">
        <v>0</v>
      </c>
    </row>
    <row r="129" spans="1:65"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214" si="218">$AC129/$AB129</f>
        <v>5.1953375176123993E-2</v>
      </c>
      <c r="AJ129" s="6">
        <f t="shared" ref="AJ129:AJ214" si="219">$AD129/$AB129</f>
        <v>3.0600742923017805E-2</v>
      </c>
      <c r="AK129" s="6">
        <f t="shared" ref="AK129:AK214" si="220">$AE129/$AB129</f>
        <v>2.2769309593954144E-2</v>
      </c>
      <c r="AL129" s="6">
        <f t="shared" ref="AL129:AL214" si="221">$AF129/$AB129</f>
        <v>0.10213398232355576</v>
      </c>
      <c r="AM129" s="6">
        <f t="shared" ref="AM129:AM214" si="222">$AG129/$AB129</f>
        <v>3.607019341616498E-3</v>
      </c>
      <c r="AN129" s="6">
        <f t="shared" ref="AN129:AN214"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c r="BK129" s="11">
        <v>2</v>
      </c>
      <c r="BL129" s="3" t="s">
        <v>976</v>
      </c>
      <c r="BM129" s="3">
        <v>0</v>
      </c>
    </row>
    <row r="130" spans="1:65"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c r="BK130" s="11">
        <v>1</v>
      </c>
      <c r="BL130" s="3" t="s">
        <v>976</v>
      </c>
      <c r="BM130" s="3">
        <v>0</v>
      </c>
    </row>
    <row r="131" spans="1:65"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c r="BK131" s="11">
        <v>2</v>
      </c>
      <c r="BL131" s="3" t="s">
        <v>976</v>
      </c>
      <c r="BM131" s="3">
        <v>0</v>
      </c>
    </row>
    <row r="132" spans="1:65"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c r="BK132" s="11">
        <v>3</v>
      </c>
      <c r="BL132" s="3" t="s">
        <v>976</v>
      </c>
      <c r="BM132" s="3">
        <v>0</v>
      </c>
    </row>
    <row r="133" spans="1:65"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763</v>
      </c>
      <c r="AA133" s="10" t="s">
        <v>762</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c r="BK133" s="11">
        <v>2</v>
      </c>
      <c r="BL133" s="3" t="s">
        <v>976</v>
      </c>
      <c r="BM133" s="3">
        <v>0</v>
      </c>
    </row>
    <row r="134" spans="1:65"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766</v>
      </c>
      <c r="AA134" s="10" t="s">
        <v>765</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c r="BK134" s="11">
        <v>2</v>
      </c>
      <c r="BL134" s="3" t="s">
        <v>976</v>
      </c>
      <c r="BM134" s="3">
        <v>0</v>
      </c>
    </row>
    <row r="135" spans="1:65"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767</v>
      </c>
      <c r="AA135" s="10" t="s">
        <v>773</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c r="BK135" s="11">
        <v>2</v>
      </c>
      <c r="BL135" s="3" t="s">
        <v>976</v>
      </c>
      <c r="BM135" s="3">
        <v>0</v>
      </c>
    </row>
    <row r="136" spans="1:65"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777</v>
      </c>
      <c r="AA136" s="10" t="s">
        <v>776</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c r="BK136" s="11">
        <v>2</v>
      </c>
      <c r="BL136" s="3" t="s">
        <v>979</v>
      </c>
      <c r="BM136" s="3">
        <v>0</v>
      </c>
    </row>
    <row r="137" spans="1:65"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783</v>
      </c>
      <c r="AA137" s="10" t="s">
        <v>782</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c r="BK137" s="11">
        <v>4</v>
      </c>
      <c r="BL137" s="3" t="s">
        <v>979</v>
      </c>
      <c r="BM137" s="3">
        <v>0</v>
      </c>
    </row>
    <row r="138" spans="1:65"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789</v>
      </c>
      <c r="AA138" s="10" t="s">
        <v>785</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c r="BK138" s="11">
        <v>2</v>
      </c>
      <c r="BL138" s="3" t="s">
        <v>979</v>
      </c>
      <c r="BM138" s="3">
        <v>0</v>
      </c>
    </row>
    <row r="139" spans="1:65"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790</v>
      </c>
      <c r="AA139" s="10" t="s">
        <v>788</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c r="BK139" s="11">
        <v>2</v>
      </c>
      <c r="BL139" s="3" t="s">
        <v>979</v>
      </c>
      <c r="BM139" s="3">
        <v>0</v>
      </c>
    </row>
    <row r="140" spans="1:65"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791</v>
      </c>
      <c r="AA140" s="10" t="s">
        <v>795</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c r="BK140" s="11">
        <v>4</v>
      </c>
      <c r="BL140" s="3" t="s">
        <v>979</v>
      </c>
      <c r="BM140" s="3">
        <v>0</v>
      </c>
    </row>
    <row r="141" spans="1:65"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799</v>
      </c>
      <c r="AA141" s="10" t="s">
        <v>798</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c r="BK141" s="11">
        <v>0</v>
      </c>
      <c r="BL141" s="7">
        <v>0</v>
      </c>
      <c r="BM141" s="3">
        <v>0</v>
      </c>
    </row>
    <row r="142" spans="1:65"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804</v>
      </c>
      <c r="AA142" s="10" t="s">
        <v>806</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c r="BK142" s="11">
        <v>1</v>
      </c>
      <c r="BL142" s="3" t="s">
        <v>980</v>
      </c>
      <c r="BM142" s="3">
        <v>0</v>
      </c>
    </row>
    <row r="143" spans="1:65"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812</v>
      </c>
      <c r="AA143" s="10" t="s">
        <v>811</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c r="BK143" s="11">
        <v>2</v>
      </c>
      <c r="BL143" s="3" t="s">
        <v>981</v>
      </c>
      <c r="BM143" s="3">
        <v>0</v>
      </c>
    </row>
    <row r="144" spans="1:65"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813</v>
      </c>
      <c r="AA144" s="10" t="s">
        <v>819</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c r="BK144" s="11">
        <v>1</v>
      </c>
      <c r="BL144" s="3" t="s">
        <v>982</v>
      </c>
      <c r="BM144" s="3">
        <v>0</v>
      </c>
    </row>
    <row r="145" spans="1:65"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821</v>
      </c>
      <c r="AA145" s="10" t="s">
        <v>820</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7.5</v>
      </c>
      <c r="AZ145" s="7">
        <v>0</v>
      </c>
      <c r="BA145" s="7">
        <v>0</v>
      </c>
      <c r="BB145" s="7">
        <v>0</v>
      </c>
      <c r="BC145" s="7">
        <v>1</v>
      </c>
      <c r="BD145" s="7">
        <v>1</v>
      </c>
      <c r="BE145" s="7">
        <v>0</v>
      </c>
      <c r="BF145" s="7">
        <v>2</v>
      </c>
      <c r="BG145" s="7">
        <v>35</v>
      </c>
      <c r="BH145" s="7">
        <v>0</v>
      </c>
      <c r="BI145" s="7">
        <v>0</v>
      </c>
      <c r="BJ145" s="7">
        <v>1</v>
      </c>
      <c r="BK145" s="11">
        <v>1</v>
      </c>
      <c r="BL145" s="3" t="s">
        <v>982</v>
      </c>
      <c r="BM145" s="3">
        <v>0</v>
      </c>
    </row>
    <row r="146" spans="1:65" ht="20.100000000000001" customHeight="1" x14ac:dyDescent="0.3">
      <c r="A146" s="3" t="s">
        <v>16</v>
      </c>
      <c r="B146" s="3">
        <v>14</v>
      </c>
      <c r="C146" s="8">
        <v>44355</v>
      </c>
      <c r="D146" s="9">
        <v>0.40208333333333335</v>
      </c>
      <c r="E146" s="4">
        <v>63</v>
      </c>
      <c r="F146" s="3">
        <v>0</v>
      </c>
      <c r="G146" s="3">
        <v>0</v>
      </c>
      <c r="H146" s="3">
        <v>0</v>
      </c>
      <c r="I146" s="3">
        <v>0</v>
      </c>
      <c r="J146" s="9">
        <v>0.39999999999999997</v>
      </c>
      <c r="K146" s="3">
        <v>142.4</v>
      </c>
      <c r="L146" s="11">
        <f t="shared" ref="L146" si="254">K146-K145</f>
        <v>-1.4000000000000057</v>
      </c>
      <c r="M146" s="5">
        <f t="shared" ref="M146" si="255">AB145</f>
        <v>2879.55</v>
      </c>
      <c r="N146" s="11">
        <v>30.75</v>
      </c>
      <c r="O146" s="11">
        <v>31.75</v>
      </c>
      <c r="P146" s="11">
        <v>10.5</v>
      </c>
      <c r="Q146" s="11">
        <v>10.5</v>
      </c>
      <c r="R146" s="11">
        <v>19.875</v>
      </c>
      <c r="S146" s="11">
        <v>19.75</v>
      </c>
      <c r="T146" s="11">
        <v>15</v>
      </c>
      <c r="U146" s="11">
        <v>13</v>
      </c>
      <c r="V146" s="11">
        <v>16</v>
      </c>
      <c r="W146" s="11">
        <v>15</v>
      </c>
      <c r="X146" s="11">
        <v>7</v>
      </c>
      <c r="Y146" s="11">
        <v>7</v>
      </c>
      <c r="Z146" s="3" t="s">
        <v>823</v>
      </c>
      <c r="AA146" s="10" t="s">
        <v>825</v>
      </c>
      <c r="AB146" s="6">
        <f>700+140+260+120+80+20+250+90+700+110</f>
        <v>2470</v>
      </c>
      <c r="AC146" s="6">
        <f>20+10+28+10+5+1.5+5+3.5+0+6.5</f>
        <v>89.5</v>
      </c>
      <c r="AD146" s="6">
        <f>5+3+4+7+3.5+1+2.5+1+0+4</f>
        <v>31</v>
      </c>
      <c r="AE146" s="6">
        <f>15+12+0+2+6+2+10+3+10+1.5</f>
        <v>61.5</v>
      </c>
      <c r="AF146" s="6">
        <f>110+0+0+4+1+0+42+12+170+13</f>
        <v>352</v>
      </c>
      <c r="AG146" s="6">
        <f>5+0+0+0+0+0+1+3+0+0.5</f>
        <v>9.5</v>
      </c>
      <c r="AH146" s="6">
        <f>1200+140+0+30+190+100+340+460+250+17.5</f>
        <v>2727.5</v>
      </c>
      <c r="AI146" s="6">
        <f t="shared" si="218"/>
        <v>3.6234817813765183E-2</v>
      </c>
      <c r="AJ146" s="6">
        <f t="shared" si="219"/>
        <v>1.2550607287449392E-2</v>
      </c>
      <c r="AK146" s="6">
        <f t="shared" si="220"/>
        <v>2.4898785425101214E-2</v>
      </c>
      <c r="AL146" s="6">
        <f t="shared" si="221"/>
        <v>0.14251012145748987</v>
      </c>
      <c r="AM146" s="6">
        <f t="shared" si="222"/>
        <v>3.8461538461538464E-3</v>
      </c>
      <c r="AN146" s="6">
        <f t="shared" si="223"/>
        <v>1.1042510121457489</v>
      </c>
      <c r="AO146" s="7">
        <v>4</v>
      </c>
      <c r="AP146" s="7">
        <v>1</v>
      </c>
      <c r="AQ146" s="7">
        <v>0</v>
      </c>
      <c r="AR146" s="10">
        <v>0</v>
      </c>
      <c r="AS146" s="7">
        <v>0</v>
      </c>
      <c r="AT146" s="7">
        <v>0</v>
      </c>
      <c r="AU146" s="7">
        <v>0</v>
      </c>
      <c r="AV146" s="7">
        <v>0</v>
      </c>
      <c r="AW146" s="7">
        <v>0</v>
      </c>
      <c r="AX146" s="7">
        <v>0</v>
      </c>
      <c r="AY146" s="5">
        <v>7</v>
      </c>
      <c r="AZ146" s="7">
        <v>0</v>
      </c>
      <c r="BA146" s="7">
        <v>0</v>
      </c>
      <c r="BB146" s="7">
        <v>0</v>
      </c>
      <c r="BC146" s="7">
        <v>1</v>
      </c>
      <c r="BD146" s="7">
        <v>1</v>
      </c>
      <c r="BE146" s="7">
        <v>0</v>
      </c>
      <c r="BF146" s="7">
        <v>0</v>
      </c>
      <c r="BG146" s="7">
        <v>0</v>
      </c>
      <c r="BH146" s="7">
        <v>0</v>
      </c>
      <c r="BI146" s="7">
        <v>0</v>
      </c>
      <c r="BJ146" s="7">
        <v>1</v>
      </c>
      <c r="BK146" s="11">
        <v>2</v>
      </c>
      <c r="BL146" s="3" t="s">
        <v>982</v>
      </c>
      <c r="BM146" s="3">
        <v>0</v>
      </c>
    </row>
    <row r="147" spans="1:65" ht="20.100000000000001" customHeight="1" x14ac:dyDescent="0.3">
      <c r="A147" s="3" t="s">
        <v>17</v>
      </c>
      <c r="B147" s="3">
        <v>15</v>
      </c>
      <c r="C147" s="8">
        <v>44356</v>
      </c>
      <c r="D147" s="9">
        <v>0.31805555555555554</v>
      </c>
      <c r="E147" s="4">
        <v>61</v>
      </c>
      <c r="F147" s="3">
        <v>0</v>
      </c>
      <c r="G147" s="3">
        <v>0</v>
      </c>
      <c r="H147" s="3">
        <v>0</v>
      </c>
      <c r="I147" s="3">
        <v>0</v>
      </c>
      <c r="J147" s="9">
        <v>0.31875000000000003</v>
      </c>
      <c r="K147" s="3">
        <v>140.6</v>
      </c>
      <c r="L147" s="11">
        <f t="shared" ref="L147" si="256">K147-K146</f>
        <v>-1.8000000000000114</v>
      </c>
      <c r="M147" s="5">
        <f t="shared" ref="M147" si="257">AB146</f>
        <v>2470</v>
      </c>
      <c r="N147" s="11">
        <v>30.75</v>
      </c>
      <c r="O147" s="11">
        <v>31.75</v>
      </c>
      <c r="P147" s="11">
        <v>10.5</v>
      </c>
      <c r="Q147" s="11">
        <v>10.5</v>
      </c>
      <c r="R147" s="11">
        <v>19.75</v>
      </c>
      <c r="S147" s="11">
        <v>19.75</v>
      </c>
      <c r="T147" s="11">
        <v>15</v>
      </c>
      <c r="U147" s="11">
        <v>12</v>
      </c>
      <c r="V147" s="11">
        <v>16</v>
      </c>
      <c r="W147" s="11">
        <v>17</v>
      </c>
      <c r="X147" s="11">
        <v>7</v>
      </c>
      <c r="Y147" s="11">
        <v>7</v>
      </c>
      <c r="Z147" s="3" t="s">
        <v>826</v>
      </c>
      <c r="AA147" s="10" t="s">
        <v>824</v>
      </c>
      <c r="AB147" s="5">
        <f>840+1125+270+160+40+600+110+180</f>
        <v>3325</v>
      </c>
      <c r="AC147" s="6">
        <f>0+22.5+10.5+10+3+36+6.5+0</f>
        <v>88.5</v>
      </c>
      <c r="AD147" s="6">
        <f>0+11.25+3+7+2+21+4+0</f>
        <v>48.25</v>
      </c>
      <c r="AE147" s="6">
        <f>12+45+9+12+4+9+1.5+0</f>
        <v>92.5</v>
      </c>
      <c r="AF147" s="6">
        <f>204+189+36+2+0+60+13+50</f>
        <v>554</v>
      </c>
      <c r="AG147" s="6">
        <f>0+4.5+9+0+0+0+0.5+0</f>
        <v>14</v>
      </c>
      <c r="AH147" s="6">
        <f>300+1530+1380+380+200+150+17.5+60</f>
        <v>4017.5</v>
      </c>
      <c r="AI147" s="6">
        <f t="shared" si="218"/>
        <v>2.6616541353383458E-2</v>
      </c>
      <c r="AJ147" s="6">
        <f t="shared" si="219"/>
        <v>1.4511278195488721E-2</v>
      </c>
      <c r="AK147" s="6">
        <f t="shared" si="220"/>
        <v>2.7819548872180452E-2</v>
      </c>
      <c r="AL147" s="6">
        <f t="shared" si="221"/>
        <v>0.16661654135338347</v>
      </c>
      <c r="AM147" s="6">
        <f t="shared" si="222"/>
        <v>4.2105263157894736E-3</v>
      </c>
      <c r="AN147" s="6">
        <f t="shared" si="223"/>
        <v>1.2082706766917293</v>
      </c>
      <c r="AO147" s="7">
        <v>3</v>
      </c>
      <c r="AP147" s="7">
        <v>1</v>
      </c>
      <c r="AQ147" s="7">
        <v>0</v>
      </c>
      <c r="AR147" s="10">
        <v>0</v>
      </c>
      <c r="AS147" s="7">
        <v>0</v>
      </c>
      <c r="AT147" s="7">
        <v>0</v>
      </c>
      <c r="AU147" s="7">
        <v>0</v>
      </c>
      <c r="AV147" s="7">
        <v>0</v>
      </c>
      <c r="AW147" s="7">
        <v>0</v>
      </c>
      <c r="AX147" s="7">
        <v>0</v>
      </c>
      <c r="AY147" s="5">
        <v>6</v>
      </c>
      <c r="AZ147" s="7">
        <v>0</v>
      </c>
      <c r="BA147" s="7">
        <v>0</v>
      </c>
      <c r="BB147" s="7">
        <v>0</v>
      </c>
      <c r="BC147" s="7">
        <v>1</v>
      </c>
      <c r="BD147" s="7">
        <v>1</v>
      </c>
      <c r="BE147" s="7">
        <v>0</v>
      </c>
      <c r="BF147" s="7">
        <v>2</v>
      </c>
      <c r="BG147" s="7">
        <v>15</v>
      </c>
      <c r="BH147" s="7">
        <v>0</v>
      </c>
      <c r="BI147" s="7">
        <v>0</v>
      </c>
      <c r="BJ147" s="7">
        <v>1</v>
      </c>
      <c r="BK147" s="11">
        <v>2</v>
      </c>
      <c r="BL147" s="3" t="s">
        <v>982</v>
      </c>
      <c r="BM147" s="3">
        <v>0</v>
      </c>
    </row>
    <row r="148" spans="1:65" ht="20.100000000000001" customHeight="1" x14ac:dyDescent="0.3">
      <c r="A148" s="3" t="s">
        <v>18</v>
      </c>
      <c r="B148" s="3">
        <v>16</v>
      </c>
      <c r="C148" s="8">
        <v>44357</v>
      </c>
      <c r="D148" s="9">
        <v>0.61944444444444446</v>
      </c>
      <c r="E148" s="4">
        <v>82</v>
      </c>
      <c r="F148" s="3">
        <v>0</v>
      </c>
      <c r="G148" s="3">
        <v>0</v>
      </c>
      <c r="H148" s="3">
        <v>0</v>
      </c>
      <c r="I148" s="3">
        <v>0</v>
      </c>
      <c r="J148" s="9">
        <v>0.91527777777777775</v>
      </c>
      <c r="K148" s="3">
        <v>144.19999999999999</v>
      </c>
      <c r="L148" s="11">
        <f t="shared" ref="L148" si="258">K148-K147</f>
        <v>3.5999999999999943</v>
      </c>
      <c r="M148" s="5">
        <f t="shared" ref="M148" si="259">AB147</f>
        <v>3325</v>
      </c>
      <c r="N148" s="11">
        <v>31.25</v>
      </c>
      <c r="O148" s="11">
        <v>32.25</v>
      </c>
      <c r="P148" s="11">
        <v>10.5</v>
      </c>
      <c r="Q148" s="11">
        <v>10.625</v>
      </c>
      <c r="R148" s="11">
        <v>19.875</v>
      </c>
      <c r="S148" s="11">
        <v>19.625</v>
      </c>
      <c r="T148" s="11">
        <v>14</v>
      </c>
      <c r="U148" s="11">
        <v>11</v>
      </c>
      <c r="V148" s="11">
        <v>17</v>
      </c>
      <c r="W148" s="11">
        <v>16</v>
      </c>
      <c r="X148" s="11">
        <v>7</v>
      </c>
      <c r="Y148" s="11">
        <v>7</v>
      </c>
      <c r="Z148" s="3" t="s">
        <v>827</v>
      </c>
      <c r="AA148" s="10" t="s">
        <v>828</v>
      </c>
      <c r="AB148" s="5">
        <f>480+780+70+360+160+15+400+110+910+180</f>
        <v>3465</v>
      </c>
      <c r="AC148" s="6">
        <f>12+7.5+2.5+30+10+1.25+24+6.5+0+0</f>
        <v>93.75</v>
      </c>
      <c r="AD148" s="6">
        <f>8+4.5+0+21+7+0+14+4+0+0</f>
        <v>58.5</v>
      </c>
      <c r="AE148" s="6">
        <f>8+27+10+6+12+0.5+6+1.5+13+0</f>
        <v>84</v>
      </c>
      <c r="AF148" s="6">
        <f>80+144+4+12+2+0.5+40+13+221+48</f>
        <v>564.5</v>
      </c>
      <c r="AG148" s="6">
        <f>4+6+3+0+0+0.5+0+0.5+0+6</f>
        <v>20</v>
      </c>
      <c r="AH148" s="6">
        <f>1640+1680+210+90+380+85+100+17.5+325+900</f>
        <v>5427.5</v>
      </c>
      <c r="AI148" s="6">
        <f t="shared" si="218"/>
        <v>2.7056277056277056E-2</v>
      </c>
      <c r="AJ148" s="6">
        <f t="shared" si="219"/>
        <v>1.6883116883116882E-2</v>
      </c>
      <c r="AK148" s="6">
        <f t="shared" si="220"/>
        <v>2.4242424242424242E-2</v>
      </c>
      <c r="AL148" s="6">
        <f t="shared" si="221"/>
        <v>0.1629148629148629</v>
      </c>
      <c r="AM148" s="6">
        <f t="shared" si="222"/>
        <v>5.772005772005772E-3</v>
      </c>
      <c r="AN148" s="6">
        <f t="shared" si="223"/>
        <v>1.5663780663780664</v>
      </c>
      <c r="AO148" s="7">
        <v>4</v>
      </c>
      <c r="AP148" s="7">
        <v>1</v>
      </c>
      <c r="AQ148" s="7">
        <v>0</v>
      </c>
      <c r="AR148" s="10">
        <v>0</v>
      </c>
      <c r="AS148" s="7">
        <v>0</v>
      </c>
      <c r="AT148" s="7">
        <v>0</v>
      </c>
      <c r="AU148" s="7">
        <v>0</v>
      </c>
      <c r="AV148" s="7">
        <v>0</v>
      </c>
      <c r="AW148" s="7">
        <v>1</v>
      </c>
      <c r="AX148" s="7">
        <v>1</v>
      </c>
      <c r="AY148" s="5">
        <v>8.25</v>
      </c>
      <c r="AZ148" s="7">
        <v>0</v>
      </c>
      <c r="BA148" s="7">
        <v>0</v>
      </c>
      <c r="BB148" s="7">
        <v>0</v>
      </c>
      <c r="BC148" s="7">
        <v>1</v>
      </c>
      <c r="BD148" s="7">
        <v>1</v>
      </c>
      <c r="BE148" s="7">
        <v>0</v>
      </c>
      <c r="BF148" s="7">
        <v>1</v>
      </c>
      <c r="BG148" s="7">
        <v>15</v>
      </c>
      <c r="BH148" s="7">
        <v>0</v>
      </c>
      <c r="BI148" s="7">
        <v>0</v>
      </c>
      <c r="BJ148" s="7">
        <v>1</v>
      </c>
      <c r="BK148" s="11">
        <v>3</v>
      </c>
      <c r="BL148" s="3" t="s">
        <v>982</v>
      </c>
      <c r="BM148" s="3">
        <v>0</v>
      </c>
    </row>
    <row r="149" spans="1:65" ht="20.100000000000001" customHeight="1" x14ac:dyDescent="0.3">
      <c r="A149" s="3" t="s">
        <v>137</v>
      </c>
      <c r="B149" s="3">
        <v>17</v>
      </c>
      <c r="C149" s="8">
        <v>44358</v>
      </c>
      <c r="D149" s="9">
        <v>0.25555555555555559</v>
      </c>
      <c r="E149" s="4">
        <v>59</v>
      </c>
      <c r="F149" s="3">
        <v>0</v>
      </c>
      <c r="G149" s="3">
        <v>0</v>
      </c>
      <c r="H149" s="3">
        <v>0</v>
      </c>
      <c r="I149" s="3">
        <v>0</v>
      </c>
      <c r="J149" s="9">
        <v>0.2902777777777778</v>
      </c>
      <c r="K149" s="3">
        <v>142.19999999999999</v>
      </c>
      <c r="L149" s="11">
        <f t="shared" ref="L149" si="260">K149-K148</f>
        <v>-2</v>
      </c>
      <c r="M149" s="5">
        <f t="shared" ref="M149" si="261">AB148</f>
        <v>3465</v>
      </c>
      <c r="N149" s="11">
        <v>30.75</v>
      </c>
      <c r="O149" s="11">
        <v>31.75</v>
      </c>
      <c r="P149" s="11">
        <v>10.625</v>
      </c>
      <c r="Q149" s="11">
        <v>10.75</v>
      </c>
      <c r="R149" s="11">
        <v>20.125</v>
      </c>
      <c r="S149" s="11">
        <v>19.875</v>
      </c>
      <c r="T149" s="11">
        <v>13</v>
      </c>
      <c r="U149" s="11">
        <v>13</v>
      </c>
      <c r="V149" s="11">
        <v>17</v>
      </c>
      <c r="W149" s="11">
        <v>17</v>
      </c>
      <c r="X149" s="11">
        <v>7</v>
      </c>
      <c r="Y149" s="11">
        <v>7</v>
      </c>
      <c r="Z149" s="3" t="s">
        <v>830</v>
      </c>
      <c r="AA149" s="10" t="s">
        <v>831</v>
      </c>
      <c r="AB149" s="5">
        <f>570+225+70+120+260+180+80+20+35+210+220</f>
        <v>1990</v>
      </c>
      <c r="AC149" s="6">
        <f>13.5+8.75+5+3+2.5+5+1.5+1.25+0+0</f>
        <v>40.5</v>
      </c>
      <c r="AD149" s="6">
        <f>6+2.5+3.5+2+1.5+10.5+3.5+1+0+0+0</f>
        <v>30.5</v>
      </c>
      <c r="AE149" s="6">
        <f>33+7.5+1+2+9+3+6+2+5+3+0</f>
        <v>71.5</v>
      </c>
      <c r="AF149" s="6">
        <f>72+30+4+20+48+6+1+0+2+51+56</f>
        <v>290</v>
      </c>
      <c r="AG149" s="6">
        <f>3+7.5+0+1+2+0+0+0+1.5+0+0</f>
        <v>15</v>
      </c>
      <c r="AH149" s="6">
        <f>1290+1150+20+410+560+45+190+100+105+75+350</f>
        <v>4295</v>
      </c>
      <c r="AI149" s="6">
        <f t="shared" si="218"/>
        <v>2.0351758793969849E-2</v>
      </c>
      <c r="AJ149" s="6">
        <f t="shared" si="219"/>
        <v>1.5326633165829147E-2</v>
      </c>
      <c r="AK149" s="6">
        <f t="shared" si="220"/>
        <v>3.5929648241206029E-2</v>
      </c>
      <c r="AL149" s="6">
        <f t="shared" si="221"/>
        <v>0.14572864321608039</v>
      </c>
      <c r="AM149" s="6">
        <f t="shared" si="222"/>
        <v>7.537688442211055E-3</v>
      </c>
      <c r="AN149" s="6">
        <f t="shared" si="223"/>
        <v>2.158291457286432</v>
      </c>
      <c r="AO149" s="7">
        <v>4</v>
      </c>
      <c r="AP149" s="7">
        <v>1</v>
      </c>
      <c r="AQ149" s="7">
        <v>0</v>
      </c>
      <c r="AR149" s="10">
        <v>0</v>
      </c>
      <c r="AS149" s="7">
        <v>0</v>
      </c>
      <c r="AT149" s="7">
        <v>0</v>
      </c>
      <c r="AU149" s="7">
        <v>0</v>
      </c>
      <c r="AV149" s="7">
        <v>0</v>
      </c>
      <c r="AW149" s="7">
        <v>1</v>
      </c>
      <c r="AX149" s="7">
        <v>1</v>
      </c>
      <c r="AY149" s="5">
        <v>7.5</v>
      </c>
      <c r="AZ149" s="7">
        <v>0</v>
      </c>
      <c r="BA149" s="7">
        <v>0</v>
      </c>
      <c r="BB149" s="7">
        <v>0</v>
      </c>
      <c r="BC149" s="7">
        <v>1</v>
      </c>
      <c r="BD149" s="7">
        <v>1</v>
      </c>
      <c r="BE149" s="7">
        <v>0</v>
      </c>
      <c r="BF149" s="7">
        <v>0</v>
      </c>
      <c r="BG149" s="7">
        <v>0</v>
      </c>
      <c r="BH149" s="7">
        <v>0</v>
      </c>
      <c r="BI149" s="7">
        <v>0</v>
      </c>
      <c r="BJ149" s="7">
        <v>1</v>
      </c>
      <c r="BK149" s="11">
        <v>2</v>
      </c>
      <c r="BL149" s="3" t="s">
        <v>981</v>
      </c>
      <c r="BM149" s="3">
        <v>0</v>
      </c>
    </row>
    <row r="150" spans="1:65" ht="20.100000000000001" customHeight="1" x14ac:dyDescent="0.3">
      <c r="A150" s="3" t="s">
        <v>19</v>
      </c>
      <c r="B150" s="3">
        <v>18</v>
      </c>
      <c r="C150" s="8">
        <v>44359</v>
      </c>
      <c r="D150" s="9">
        <v>0.12083333333333333</v>
      </c>
      <c r="E150" s="4">
        <v>94</v>
      </c>
      <c r="F150" s="3">
        <v>0</v>
      </c>
      <c r="G150" s="3">
        <v>0</v>
      </c>
      <c r="H150" s="3">
        <v>0</v>
      </c>
      <c r="I150" s="3">
        <v>0</v>
      </c>
      <c r="J150" s="9">
        <v>0.29375000000000001</v>
      </c>
      <c r="K150" s="3">
        <v>141</v>
      </c>
      <c r="L150" s="11">
        <f t="shared" ref="L150" si="262">K150-K149</f>
        <v>-1.1999999999999886</v>
      </c>
      <c r="M150" s="5">
        <f t="shared" ref="M150" si="263">AB149</f>
        <v>1990</v>
      </c>
      <c r="N150" s="11">
        <v>30.25</v>
      </c>
      <c r="O150" s="11">
        <v>31.75</v>
      </c>
      <c r="P150" s="11">
        <v>10.625</v>
      </c>
      <c r="Q150" s="11">
        <v>10.625</v>
      </c>
      <c r="R150" s="11">
        <v>20</v>
      </c>
      <c r="S150" s="11">
        <v>20.25</v>
      </c>
      <c r="T150" s="11">
        <v>17</v>
      </c>
      <c r="U150" s="11">
        <v>13</v>
      </c>
      <c r="V150" s="11">
        <v>17</v>
      </c>
      <c r="W150" s="11">
        <v>17</v>
      </c>
      <c r="X150" s="11">
        <v>7</v>
      </c>
      <c r="Y150" s="11">
        <v>7</v>
      </c>
      <c r="Z150" s="3" t="s">
        <v>835</v>
      </c>
      <c r="AA150" s="10" t="s">
        <v>834</v>
      </c>
      <c r="AB150" s="5">
        <f>613.3+560+320+190+140+613+140</f>
        <v>2576.3000000000002</v>
      </c>
      <c r="AC150" s="6">
        <f>19.58+0+17+10+6+19.58+0</f>
        <v>72.16</v>
      </c>
      <c r="AD150" s="6">
        <f>12.75+0+10+6+0+12.75+0</f>
        <v>41.5</v>
      </c>
      <c r="AE150" s="6">
        <f>24.83+8+6+7+0+24.83+2</f>
        <v>72.66</v>
      </c>
      <c r="AF150" s="6">
        <f>78.33+136+35+34+20+78.33+34</f>
        <v>415.65999999999997</v>
      </c>
      <c r="AG150" s="6">
        <f>4+0+0+0+0+4+0</f>
        <v>8</v>
      </c>
      <c r="AH150" s="6">
        <f>1130+200+430+15+60+1130+50</f>
        <v>3015</v>
      </c>
      <c r="AI150" s="6">
        <f t="shared" si="218"/>
        <v>2.8009160423863678E-2</v>
      </c>
      <c r="AJ150" s="6">
        <f t="shared" si="219"/>
        <v>1.6108372472149982E-2</v>
      </c>
      <c r="AK150" s="6">
        <f t="shared" si="220"/>
        <v>2.8203237200636569E-2</v>
      </c>
      <c r="AL150" s="6">
        <f t="shared" si="221"/>
        <v>0.16133990606684001</v>
      </c>
      <c r="AM150" s="6">
        <f t="shared" si="222"/>
        <v>3.1052284283662615E-3</v>
      </c>
      <c r="AN150" s="6">
        <f t="shared" si="223"/>
        <v>1.1702829639405348</v>
      </c>
      <c r="AO150" s="7">
        <v>5</v>
      </c>
      <c r="AP150" s="7">
        <v>1</v>
      </c>
      <c r="AQ150" s="7">
        <v>0</v>
      </c>
      <c r="AR150" s="10">
        <v>0</v>
      </c>
      <c r="AS150" s="7">
        <v>0</v>
      </c>
      <c r="AT150" s="7">
        <v>0</v>
      </c>
      <c r="AU150" s="7">
        <v>0</v>
      </c>
      <c r="AV150" s="7">
        <v>0</v>
      </c>
      <c r="AW150" s="7">
        <v>31</v>
      </c>
      <c r="AX150" s="7">
        <v>1</v>
      </c>
      <c r="AY150" s="5">
        <v>5.5</v>
      </c>
      <c r="AZ150" s="7">
        <v>0</v>
      </c>
      <c r="BA150" s="7">
        <v>0</v>
      </c>
      <c r="BB150" s="7">
        <v>0</v>
      </c>
      <c r="BC150" s="7">
        <v>1</v>
      </c>
      <c r="BD150" s="7">
        <v>1</v>
      </c>
      <c r="BE150" s="7">
        <v>0</v>
      </c>
      <c r="BF150" s="7">
        <v>2</v>
      </c>
      <c r="BG150" s="7">
        <v>35</v>
      </c>
      <c r="BH150" s="7">
        <v>0</v>
      </c>
      <c r="BI150" s="7">
        <v>0</v>
      </c>
      <c r="BJ150" s="7">
        <v>0</v>
      </c>
      <c r="BK150" s="11">
        <v>1</v>
      </c>
      <c r="BL150" s="3" t="s">
        <v>981</v>
      </c>
      <c r="BM150" s="3">
        <v>0</v>
      </c>
    </row>
    <row r="151" spans="1:65" ht="20.100000000000001" customHeight="1" x14ac:dyDescent="0.3">
      <c r="A151" s="3" t="s">
        <v>23</v>
      </c>
      <c r="B151" s="3">
        <v>19</v>
      </c>
      <c r="C151" s="8">
        <v>44360</v>
      </c>
      <c r="D151" s="9">
        <v>0.25694444444444448</v>
      </c>
      <c r="E151" s="4">
        <v>64</v>
      </c>
      <c r="F151" s="3">
        <v>0</v>
      </c>
      <c r="G151" s="3">
        <v>0</v>
      </c>
      <c r="H151" s="3">
        <v>0</v>
      </c>
      <c r="I151" s="3">
        <v>0</v>
      </c>
      <c r="J151" s="9">
        <v>0.30624999999999997</v>
      </c>
      <c r="K151" s="3">
        <v>143.4</v>
      </c>
      <c r="L151" s="11">
        <f t="shared" ref="L151" si="264">K151-K150</f>
        <v>2.4000000000000057</v>
      </c>
      <c r="M151" s="5">
        <f t="shared" ref="M151" si="265">AB150</f>
        <v>2576.3000000000002</v>
      </c>
      <c r="N151" s="11">
        <v>31</v>
      </c>
      <c r="O151" s="11">
        <v>32</v>
      </c>
      <c r="P151" s="11">
        <v>10.5</v>
      </c>
      <c r="Q151" s="11">
        <v>10.625</v>
      </c>
      <c r="R151" s="11">
        <v>19.75</v>
      </c>
      <c r="S151" s="11">
        <v>19.75</v>
      </c>
      <c r="T151" s="11">
        <v>19</v>
      </c>
      <c r="U151" s="11">
        <v>20</v>
      </c>
      <c r="V151" s="11">
        <v>17</v>
      </c>
      <c r="W151" s="11">
        <v>15</v>
      </c>
      <c r="X151" s="11">
        <v>7</v>
      </c>
      <c r="Y151" s="11">
        <v>8</v>
      </c>
      <c r="Z151" s="3" t="s">
        <v>836</v>
      </c>
      <c r="AA151" s="10" t="s">
        <v>838</v>
      </c>
      <c r="AB151" s="5">
        <f>560+140+988.4+106+153+700+218+110</f>
        <v>2975.4</v>
      </c>
      <c r="AC151" s="6">
        <f>0+6+18.3+0.4+15.3+22+23.1+0</f>
        <v>85.1</v>
      </c>
      <c r="AD151" s="19">
        <f>0+0+3.3+0.1+9.6+12+3.6+0</f>
        <v>28.6</v>
      </c>
      <c r="AE151" s="6">
        <f>8+0+8+3.3+28+0.5+0</f>
        <v>47.8</v>
      </c>
      <c r="AF151" s="6">
        <f>136+20+132.45+16.7+1.2+102+3+28</f>
        <v>439.34999999999997</v>
      </c>
      <c r="AG151" s="6">
        <f>0+0+16.9+0.6+0+10+0.3+0</f>
        <v>27.8</v>
      </c>
      <c r="AH151" s="6">
        <f>200+60+2007+186+129+1560+367+175</f>
        <v>4684</v>
      </c>
      <c r="AI151" s="6">
        <f t="shared" si="218"/>
        <v>2.8601196477784498E-2</v>
      </c>
      <c r="AJ151" s="6">
        <f t="shared" si="219"/>
        <v>9.612152987833569E-3</v>
      </c>
      <c r="AK151" s="6">
        <f t="shared" si="220"/>
        <v>1.6065066881763793E-2</v>
      </c>
      <c r="AL151" s="6">
        <f t="shared" si="221"/>
        <v>0.14766081871345027</v>
      </c>
      <c r="AM151" s="6">
        <f t="shared" si="222"/>
        <v>9.3432815755864762E-3</v>
      </c>
      <c r="AN151" s="6">
        <f t="shared" si="223"/>
        <v>1.5742421187067284</v>
      </c>
      <c r="AO151" s="7">
        <v>4</v>
      </c>
      <c r="AP151" s="7">
        <v>1</v>
      </c>
      <c r="AQ151" s="7">
        <v>0</v>
      </c>
      <c r="AR151" s="10">
        <v>0</v>
      </c>
      <c r="AS151" s="7">
        <v>0</v>
      </c>
      <c r="AT151" s="7">
        <v>0</v>
      </c>
      <c r="AU151" s="7">
        <v>0</v>
      </c>
      <c r="AV151" s="7">
        <v>0</v>
      </c>
      <c r="AW151" s="7">
        <v>31</v>
      </c>
      <c r="AX151" s="7">
        <v>1</v>
      </c>
      <c r="AY151" s="5">
        <v>7.166666666666667</v>
      </c>
      <c r="AZ151" s="7">
        <v>0</v>
      </c>
      <c r="BA151" s="7">
        <v>0</v>
      </c>
      <c r="BB151" s="7">
        <v>0</v>
      </c>
      <c r="BC151" s="7">
        <v>1</v>
      </c>
      <c r="BD151" s="7">
        <v>1</v>
      </c>
      <c r="BE151" s="7">
        <v>0</v>
      </c>
      <c r="BF151" s="7">
        <v>0</v>
      </c>
      <c r="BG151" s="7">
        <v>0</v>
      </c>
      <c r="BH151" s="7">
        <v>0</v>
      </c>
      <c r="BI151" s="7">
        <v>0</v>
      </c>
      <c r="BJ151" s="7">
        <v>0</v>
      </c>
      <c r="BK151" s="11">
        <v>2</v>
      </c>
      <c r="BL151" s="3" t="s">
        <v>981</v>
      </c>
      <c r="BM151" s="3">
        <v>0</v>
      </c>
    </row>
    <row r="152" spans="1:65" ht="20.100000000000001" customHeight="1" x14ac:dyDescent="0.3">
      <c r="A152" s="3" t="s">
        <v>15</v>
      </c>
      <c r="B152" s="3">
        <v>20</v>
      </c>
      <c r="C152" s="8">
        <v>44361</v>
      </c>
      <c r="D152" s="9">
        <v>0.30972222222222223</v>
      </c>
      <c r="E152" s="4">
        <v>71</v>
      </c>
      <c r="F152" s="3">
        <v>0</v>
      </c>
      <c r="G152" s="3">
        <v>0</v>
      </c>
      <c r="H152" s="3">
        <v>0</v>
      </c>
      <c r="I152" s="3">
        <v>0</v>
      </c>
      <c r="J152" s="9">
        <v>0.31111111111111112</v>
      </c>
      <c r="K152" s="3">
        <v>144.4</v>
      </c>
      <c r="L152" s="11">
        <f t="shared" ref="L152" si="266">K152-K151</f>
        <v>1</v>
      </c>
      <c r="M152" s="5">
        <f t="shared" ref="M152" si="267">AB151</f>
        <v>2975.4</v>
      </c>
      <c r="N152" s="11">
        <v>31</v>
      </c>
      <c r="O152" s="11">
        <v>32.25</v>
      </c>
      <c r="P152" s="11">
        <v>10.5</v>
      </c>
      <c r="Q152" s="11">
        <v>10.625</v>
      </c>
      <c r="R152" s="11">
        <v>19.75</v>
      </c>
      <c r="S152" s="11">
        <v>19.75</v>
      </c>
      <c r="T152" s="11">
        <v>15</v>
      </c>
      <c r="U152" s="11">
        <v>15</v>
      </c>
      <c r="V152" s="11">
        <v>17</v>
      </c>
      <c r="W152" s="11">
        <v>16</v>
      </c>
      <c r="X152" s="11">
        <v>7</v>
      </c>
      <c r="Y152" s="11">
        <v>7</v>
      </c>
      <c r="Z152" s="3" t="s">
        <v>841</v>
      </c>
      <c r="AA152" s="10" t="s">
        <v>842</v>
      </c>
      <c r="AB152" s="5">
        <f>1050+436+175+142+80+110</f>
        <v>1993</v>
      </c>
      <c r="AC152" s="6">
        <f>33+46.2+5.5+3+6+0</f>
        <v>93.7</v>
      </c>
      <c r="AD152" s="6">
        <f>18+7.2+0.75+1.88+4+0</f>
        <v>31.83</v>
      </c>
      <c r="AE152" s="6">
        <f>42+1+4.5+5.25+8+0</f>
        <v>60.75</v>
      </c>
      <c r="AF152" s="6">
        <f>153+6+27.5+24+0+28</f>
        <v>238.5</v>
      </c>
      <c r="AG152" s="6">
        <f>15+0.6+1.5+0+0+0</f>
        <v>17.100000000000001</v>
      </c>
      <c r="AH152" s="6">
        <f>2340+734+285+75+400+175</f>
        <v>4009</v>
      </c>
      <c r="AI152" s="6">
        <f t="shared" si="218"/>
        <v>4.7014550928248876E-2</v>
      </c>
      <c r="AJ152" s="6">
        <f t="shared" si="219"/>
        <v>1.5970898143502256E-2</v>
      </c>
      <c r="AK152" s="6">
        <f t="shared" si="220"/>
        <v>3.0481685900652283E-2</v>
      </c>
      <c r="AL152" s="6">
        <f t="shared" si="221"/>
        <v>0.11966884094330156</v>
      </c>
      <c r="AM152" s="6">
        <f t="shared" si="222"/>
        <v>8.5800301053687907E-3</v>
      </c>
      <c r="AN152" s="6">
        <f t="shared" si="223"/>
        <v>2.0115403913697945</v>
      </c>
      <c r="AO152" s="7">
        <v>5</v>
      </c>
      <c r="AP152" s="7">
        <v>2</v>
      </c>
      <c r="AQ152" s="7">
        <v>0</v>
      </c>
      <c r="AR152" s="10">
        <v>0</v>
      </c>
      <c r="AS152" s="7">
        <v>0</v>
      </c>
      <c r="AT152" s="7">
        <v>0</v>
      </c>
      <c r="AU152" s="7">
        <v>0</v>
      </c>
      <c r="AV152" s="7">
        <v>0</v>
      </c>
      <c r="AW152" s="7">
        <v>31</v>
      </c>
      <c r="AX152" s="7">
        <v>1</v>
      </c>
      <c r="AY152" s="5">
        <v>8</v>
      </c>
      <c r="AZ152" s="7">
        <v>0</v>
      </c>
      <c r="BA152" s="7">
        <v>0</v>
      </c>
      <c r="BB152" s="7">
        <v>0</v>
      </c>
      <c r="BC152" s="7">
        <v>1</v>
      </c>
      <c r="BD152" s="7">
        <v>1</v>
      </c>
      <c r="BE152" s="7">
        <v>0</v>
      </c>
      <c r="BF152" s="7">
        <v>0</v>
      </c>
      <c r="BG152" s="7">
        <v>0</v>
      </c>
      <c r="BH152" s="7">
        <v>0</v>
      </c>
      <c r="BI152" s="7">
        <v>0</v>
      </c>
      <c r="BJ152" s="7">
        <v>0</v>
      </c>
      <c r="BK152" s="11">
        <v>2</v>
      </c>
      <c r="BL152" s="3" t="s">
        <v>981</v>
      </c>
      <c r="BM152" s="3">
        <v>0</v>
      </c>
    </row>
    <row r="153" spans="1:65" ht="20.100000000000001" customHeight="1" x14ac:dyDescent="0.3">
      <c r="A153" s="3" t="s">
        <v>16</v>
      </c>
      <c r="B153" s="3">
        <v>21</v>
      </c>
      <c r="C153" s="8">
        <v>44362</v>
      </c>
      <c r="D153" s="9">
        <v>0.28888888888888892</v>
      </c>
      <c r="E153" s="4">
        <v>70</v>
      </c>
      <c r="F153" s="3">
        <v>0</v>
      </c>
      <c r="G153" s="3">
        <v>0</v>
      </c>
      <c r="H153" s="3">
        <v>0</v>
      </c>
      <c r="I153" s="3">
        <v>0</v>
      </c>
      <c r="J153" s="9">
        <v>0.32569444444444445</v>
      </c>
      <c r="K153" s="3">
        <v>145.19999999999999</v>
      </c>
      <c r="L153" s="11">
        <f t="shared" ref="L153" si="268">K153-K152</f>
        <v>0.79999999999998295</v>
      </c>
      <c r="M153" s="5">
        <f t="shared" ref="M153" si="269">AB152</f>
        <v>1993</v>
      </c>
      <c r="N153" s="11">
        <v>31.5</v>
      </c>
      <c r="O153" s="11">
        <v>32.75</v>
      </c>
      <c r="P153" s="11">
        <v>10.5</v>
      </c>
      <c r="Q153" s="11">
        <v>10.625</v>
      </c>
      <c r="R153" s="11">
        <v>20.125</v>
      </c>
      <c r="S153" s="11">
        <v>20.125</v>
      </c>
      <c r="T153" s="11">
        <v>15</v>
      </c>
      <c r="U153" s="11">
        <v>15</v>
      </c>
      <c r="V153" s="11">
        <v>17</v>
      </c>
      <c r="W153" s="11">
        <v>15</v>
      </c>
      <c r="X153" s="11">
        <v>7</v>
      </c>
      <c r="Y153" s="11">
        <v>7</v>
      </c>
      <c r="Z153" s="3" t="s">
        <v>845</v>
      </c>
      <c r="AA153" s="10" t="s">
        <v>844</v>
      </c>
      <c r="AB153" s="5">
        <f>1050+436+40+80+60+350+140+110+190</f>
        <v>2456</v>
      </c>
      <c r="AC153" s="6">
        <f>33+46.2+3+5+0+11+2+0+4</f>
        <v>104.2</v>
      </c>
      <c r="AD153" s="6">
        <f>18+7.2+2+3.5+0+1.5+0+0+2.5</f>
        <v>34.700000000000003</v>
      </c>
      <c r="AE153" s="6">
        <f>42+1+4+6+0+0+6+0+7</f>
        <v>66</v>
      </c>
      <c r="AF153" s="6">
        <f>153+6+0+1+16+55+26+28+32</f>
        <v>317</v>
      </c>
      <c r="AG153" s="6">
        <f>15+0.6+0+0+2+3+4+0+0</f>
        <v>24.6</v>
      </c>
      <c r="AH153" s="6">
        <f>2340+734+200+190+300+570+210+175+100</f>
        <v>4819</v>
      </c>
      <c r="AI153" s="6">
        <f t="shared" si="218"/>
        <v>4.2426710097719873E-2</v>
      </c>
      <c r="AJ153" s="6">
        <f t="shared" si="219"/>
        <v>1.4128664495114008E-2</v>
      </c>
      <c r="AK153" s="6">
        <f t="shared" si="220"/>
        <v>2.6872964169381109E-2</v>
      </c>
      <c r="AL153" s="6">
        <f t="shared" si="221"/>
        <v>0.12907166123778502</v>
      </c>
      <c r="AM153" s="6">
        <f t="shared" si="222"/>
        <v>1.001628664495114E-2</v>
      </c>
      <c r="AN153" s="6">
        <f t="shared" si="223"/>
        <v>1.9621335504885993</v>
      </c>
      <c r="AO153" s="7">
        <v>4</v>
      </c>
      <c r="AP153" s="7">
        <v>1</v>
      </c>
      <c r="AQ153" s="7">
        <v>0</v>
      </c>
      <c r="AR153" s="10">
        <v>0</v>
      </c>
      <c r="AS153" s="7">
        <v>0</v>
      </c>
      <c r="AT153" s="7">
        <v>0</v>
      </c>
      <c r="AU153" s="7">
        <v>0</v>
      </c>
      <c r="AV153" s="7">
        <v>0</v>
      </c>
      <c r="AW153" s="7">
        <v>31</v>
      </c>
      <c r="AX153" s="7">
        <v>1</v>
      </c>
      <c r="AY153" s="5">
        <v>6</v>
      </c>
      <c r="AZ153" s="7">
        <v>0</v>
      </c>
      <c r="BA153" s="7">
        <v>0</v>
      </c>
      <c r="BB153" s="7">
        <v>0</v>
      </c>
      <c r="BC153" s="7">
        <v>1</v>
      </c>
      <c r="BD153" s="7">
        <v>1</v>
      </c>
      <c r="BE153" s="7">
        <v>0</v>
      </c>
      <c r="BF153" s="7">
        <v>0</v>
      </c>
      <c r="BG153" s="7">
        <v>0</v>
      </c>
      <c r="BH153" s="7">
        <v>0</v>
      </c>
      <c r="BI153" s="7">
        <v>0</v>
      </c>
      <c r="BJ153" s="7">
        <v>0</v>
      </c>
      <c r="BK153" s="11">
        <v>3</v>
      </c>
      <c r="BL153" s="3" t="s">
        <v>983</v>
      </c>
      <c r="BM153" s="3">
        <v>0</v>
      </c>
    </row>
    <row r="154" spans="1:65" ht="20.100000000000001" customHeight="1" x14ac:dyDescent="0.3">
      <c r="A154" s="3" t="s">
        <v>17</v>
      </c>
      <c r="B154" s="3">
        <v>22</v>
      </c>
      <c r="C154" s="8">
        <v>44363</v>
      </c>
      <c r="D154" s="9">
        <v>0.26874999999999999</v>
      </c>
      <c r="E154" s="4">
        <v>75</v>
      </c>
      <c r="F154" s="3">
        <v>0</v>
      </c>
      <c r="G154" s="3">
        <v>0</v>
      </c>
      <c r="H154" s="3">
        <v>0</v>
      </c>
      <c r="I154" s="3">
        <v>0</v>
      </c>
      <c r="J154" s="9">
        <v>0.29444444444444445</v>
      </c>
      <c r="K154" s="3">
        <v>146.4</v>
      </c>
      <c r="L154" s="11">
        <f t="shared" ref="L154" si="270">K154-K153</f>
        <v>1.2000000000000171</v>
      </c>
      <c r="M154" s="5">
        <f t="shared" ref="M154" si="271">AB153</f>
        <v>2456</v>
      </c>
      <c r="N154" s="11">
        <v>31.75</v>
      </c>
      <c r="O154" s="11">
        <v>32.75</v>
      </c>
      <c r="P154" s="11">
        <v>10.625</v>
      </c>
      <c r="Q154" s="11">
        <v>11</v>
      </c>
      <c r="R154" s="11">
        <v>20</v>
      </c>
      <c r="S154" s="11">
        <v>19.75</v>
      </c>
      <c r="T154" s="11">
        <v>15</v>
      </c>
      <c r="U154" s="11">
        <v>15</v>
      </c>
      <c r="V154" s="11">
        <v>16</v>
      </c>
      <c r="W154" s="11">
        <v>15</v>
      </c>
      <c r="X154" s="11">
        <v>7</v>
      </c>
      <c r="Y154" s="11">
        <v>7</v>
      </c>
      <c r="Z154" s="3" t="s">
        <v>846</v>
      </c>
      <c r="AA154" s="10" t="s">
        <v>849</v>
      </c>
      <c r="AB154" s="5">
        <f>200+160+90+280+991+180+142.5</f>
        <v>2043.5</v>
      </c>
      <c r="AC154" s="6">
        <f>2+10+0+4+83.5+0+3</f>
        <v>102.5</v>
      </c>
      <c r="AD154" s="6">
        <f>0+7+0+0+19+0+1.88</f>
        <v>27.88</v>
      </c>
      <c r="AE154" s="6">
        <f>32+12+0+12+13+0+5.25</f>
        <v>74.25</v>
      </c>
      <c r="AF154" s="6">
        <f>12+2+24+52+52.5+50+24</f>
        <v>216.5</v>
      </c>
      <c r="AG154" s="6">
        <f>8+0+3+0+9.5+0+0</f>
        <v>20.5</v>
      </c>
      <c r="AH154" s="6">
        <f>640+380+450+420+802+60+75</f>
        <v>2827</v>
      </c>
      <c r="AI154" s="6">
        <f t="shared" si="218"/>
        <v>5.0159040861267434E-2</v>
      </c>
      <c r="AJ154" s="6">
        <f t="shared" si="219"/>
        <v>1.3643259114264741E-2</v>
      </c>
      <c r="AK154" s="6">
        <f t="shared" si="220"/>
        <v>3.6334719843405923E-2</v>
      </c>
      <c r="AL154" s="6">
        <f t="shared" si="221"/>
        <v>0.10594568142892097</v>
      </c>
      <c r="AM154" s="6">
        <f t="shared" si="222"/>
        <v>1.0031808172253487E-2</v>
      </c>
      <c r="AN154" s="6">
        <f t="shared" si="223"/>
        <v>1.3834108147785662</v>
      </c>
      <c r="AO154" s="7">
        <v>5</v>
      </c>
      <c r="AP154" s="7">
        <v>1</v>
      </c>
      <c r="AQ154" s="7">
        <v>0</v>
      </c>
      <c r="AR154" s="10">
        <v>0</v>
      </c>
      <c r="AS154" s="7">
        <v>0</v>
      </c>
      <c r="AT154" s="7">
        <v>0</v>
      </c>
      <c r="AU154" s="7">
        <v>0</v>
      </c>
      <c r="AV154" s="7">
        <v>0</v>
      </c>
      <c r="AW154" s="7">
        <v>31</v>
      </c>
      <c r="AX154" s="7">
        <v>1</v>
      </c>
      <c r="AY154" s="5">
        <v>6.5</v>
      </c>
      <c r="AZ154" s="7">
        <v>0</v>
      </c>
      <c r="BA154" s="7">
        <v>0</v>
      </c>
      <c r="BB154" s="7">
        <v>0</v>
      </c>
      <c r="BC154" s="7">
        <v>1</v>
      </c>
      <c r="BD154" s="7">
        <v>1</v>
      </c>
      <c r="BE154" s="7">
        <v>0</v>
      </c>
      <c r="BF154" s="7">
        <v>0</v>
      </c>
      <c r="BG154" s="7">
        <v>0</v>
      </c>
      <c r="BH154" s="7">
        <v>0</v>
      </c>
      <c r="BI154" s="7">
        <v>0</v>
      </c>
      <c r="BJ154" s="7">
        <v>1</v>
      </c>
      <c r="BK154" s="11">
        <v>1</v>
      </c>
      <c r="BL154" s="3" t="s">
        <v>976</v>
      </c>
      <c r="BM154" s="3">
        <v>0</v>
      </c>
    </row>
    <row r="155" spans="1:65" ht="20.100000000000001" customHeight="1" x14ac:dyDescent="0.3">
      <c r="A155" s="3" t="s">
        <v>18</v>
      </c>
      <c r="B155" s="3">
        <v>0</v>
      </c>
      <c r="C155" s="8">
        <v>44364</v>
      </c>
      <c r="D155" s="9">
        <v>0.29583333333333334</v>
      </c>
      <c r="E155" s="4">
        <v>71</v>
      </c>
      <c r="F155" s="3">
        <v>0</v>
      </c>
      <c r="G155" s="3">
        <v>0</v>
      </c>
      <c r="H155" s="3">
        <v>0</v>
      </c>
      <c r="I155" s="3">
        <v>0</v>
      </c>
      <c r="J155" s="9">
        <v>0.48819444444444443</v>
      </c>
      <c r="K155" s="3">
        <v>143.4</v>
      </c>
      <c r="L155" s="11">
        <f t="shared" ref="L155" si="272">K155-K154</f>
        <v>-3</v>
      </c>
      <c r="M155" s="5">
        <f t="shared" ref="M155" si="273">AB154</f>
        <v>2043.5</v>
      </c>
      <c r="N155" s="11">
        <v>30.625</v>
      </c>
      <c r="O155" s="11">
        <v>31.625</v>
      </c>
      <c r="P155" s="11">
        <v>10.625</v>
      </c>
      <c r="Q155" s="11">
        <v>10.625</v>
      </c>
      <c r="R155" s="11">
        <v>19.75</v>
      </c>
      <c r="S155" s="11">
        <v>19.75</v>
      </c>
      <c r="T155" s="11">
        <v>15</v>
      </c>
      <c r="U155" s="11">
        <v>13</v>
      </c>
      <c r="V155" s="11">
        <v>15</v>
      </c>
      <c r="W155" s="11">
        <v>15</v>
      </c>
      <c r="X155" s="11">
        <v>7</v>
      </c>
      <c r="Y155" s="11">
        <v>7</v>
      </c>
      <c r="Z155" s="3" t="s">
        <v>851</v>
      </c>
      <c r="AA155" s="10" t="s">
        <v>852</v>
      </c>
      <c r="AB155" s="5">
        <f>100+40+60+140+625+90+410+120+80</f>
        <v>1665</v>
      </c>
      <c r="AC155" s="6">
        <f>1+2.5+0+2+12.5+3.5+14+0+5</f>
        <v>40.5</v>
      </c>
      <c r="AD155" s="6">
        <f>0+1.75+0+0+6.25+1+8+0+3.5</f>
        <v>20.5</v>
      </c>
      <c r="AE155" s="6">
        <f>16+3+0+6+25+3+12+0+6</f>
        <v>71</v>
      </c>
      <c r="AF155" s="6">
        <f>6+0.5+16+26+105+12+60+32+1</f>
        <v>258.5</v>
      </c>
      <c r="AG155" s="6">
        <f>4+0+2+4+2.5+3+0+4+0</f>
        <v>19.5</v>
      </c>
      <c r="AH155" s="6">
        <f>320+95+300+210+850+460+340+600+190</f>
        <v>3365</v>
      </c>
      <c r="AI155" s="6">
        <f t="shared" si="218"/>
        <v>2.4324324324324326E-2</v>
      </c>
      <c r="AJ155" s="6">
        <f t="shared" si="219"/>
        <v>1.2312312312312312E-2</v>
      </c>
      <c r="AK155" s="6">
        <f t="shared" si="220"/>
        <v>4.2642642642642642E-2</v>
      </c>
      <c r="AL155" s="6">
        <f t="shared" si="221"/>
        <v>0.15525525525525524</v>
      </c>
      <c r="AM155" s="6">
        <f t="shared" si="222"/>
        <v>1.1711711711711712E-2</v>
      </c>
      <c r="AN155" s="6">
        <f t="shared" si="223"/>
        <v>2.0210210210210211</v>
      </c>
      <c r="AO155" s="7">
        <v>5</v>
      </c>
      <c r="AP155" s="7">
        <v>2</v>
      </c>
      <c r="AQ155" s="7">
        <v>1</v>
      </c>
      <c r="AR155" s="10">
        <v>0</v>
      </c>
      <c r="AS155" s="7">
        <v>0</v>
      </c>
      <c r="AT155" s="7">
        <v>0</v>
      </c>
      <c r="AU155" s="7">
        <v>0</v>
      </c>
      <c r="AV155" s="7">
        <v>0</v>
      </c>
      <c r="AW155" s="7">
        <v>31</v>
      </c>
      <c r="AX155" s="7">
        <v>1</v>
      </c>
      <c r="AY155" s="5">
        <v>8.25</v>
      </c>
      <c r="AZ155" s="7">
        <v>0</v>
      </c>
      <c r="BA155" s="7">
        <v>0</v>
      </c>
      <c r="BB155" s="7">
        <v>0</v>
      </c>
      <c r="BC155" s="7">
        <v>1</v>
      </c>
      <c r="BD155" s="7">
        <v>1</v>
      </c>
      <c r="BE155" s="7">
        <v>0</v>
      </c>
      <c r="BF155" s="7">
        <v>1</v>
      </c>
      <c r="BG155" s="7">
        <v>15</v>
      </c>
      <c r="BH155" s="7">
        <v>0</v>
      </c>
      <c r="BI155" s="7">
        <v>0</v>
      </c>
      <c r="BJ155" s="7">
        <v>1</v>
      </c>
      <c r="BK155" s="11">
        <v>2</v>
      </c>
      <c r="BL155" s="3" t="s">
        <v>976</v>
      </c>
      <c r="BM155" s="3">
        <v>0</v>
      </c>
    </row>
    <row r="156" spans="1:65" ht="20.100000000000001" customHeight="1" x14ac:dyDescent="0.3">
      <c r="A156" s="3" t="s">
        <v>137</v>
      </c>
      <c r="B156" s="3">
        <v>1</v>
      </c>
      <c r="C156" s="8">
        <v>44365</v>
      </c>
      <c r="D156" s="9">
        <v>0.26111111111111113</v>
      </c>
      <c r="E156" s="4">
        <v>70</v>
      </c>
      <c r="F156" s="3">
        <v>0</v>
      </c>
      <c r="G156" s="3">
        <v>0</v>
      </c>
      <c r="H156" s="3">
        <v>0</v>
      </c>
      <c r="I156" s="3">
        <v>0</v>
      </c>
      <c r="J156" s="9">
        <v>0.30138888888888887</v>
      </c>
      <c r="K156" s="3">
        <v>143.4</v>
      </c>
      <c r="L156" s="11">
        <f t="shared" ref="L156" si="274">K156-K155</f>
        <v>0</v>
      </c>
      <c r="M156" s="5">
        <f t="shared" ref="M156" si="275">AB155</f>
        <v>1665</v>
      </c>
      <c r="N156" s="11">
        <v>31.875</v>
      </c>
      <c r="O156" s="11">
        <v>32.25</v>
      </c>
      <c r="P156" s="11">
        <v>10.625</v>
      </c>
      <c r="Q156" s="11">
        <v>10.875</v>
      </c>
      <c r="R156" s="11">
        <v>20</v>
      </c>
      <c r="S156" s="11">
        <v>20.25</v>
      </c>
      <c r="T156" s="11">
        <v>16</v>
      </c>
      <c r="U156" s="11">
        <v>15</v>
      </c>
      <c r="V156" s="11">
        <v>16</v>
      </c>
      <c r="W156" s="11">
        <v>16</v>
      </c>
      <c r="X156" s="11">
        <v>7</v>
      </c>
      <c r="Y156" s="11">
        <v>7</v>
      </c>
      <c r="Z156" s="3" t="s">
        <v>854</v>
      </c>
      <c r="AA156" s="10" t="s">
        <v>853</v>
      </c>
      <c r="AB156" s="5">
        <f>250+45+80+30+70+277+140</f>
        <v>892</v>
      </c>
      <c r="AC156" s="6">
        <f>5+1.75+5+2.25+5+5.59+7</f>
        <v>31.59</v>
      </c>
      <c r="AD156" s="6">
        <f>2.5+1+4+2+4+1+5</f>
        <v>19.5</v>
      </c>
      <c r="AE156" s="6">
        <f>10+2+6+3+1+9+2</f>
        <v>33</v>
      </c>
      <c r="AF156" s="6">
        <f>42+6+1+0+4+48+18</f>
        <v>119</v>
      </c>
      <c r="AG156" s="6">
        <f>1+2+0+0+0+4+2</f>
        <v>9</v>
      </c>
      <c r="AH156" s="6">
        <f>340+230+190+150+20+451+90</f>
        <v>1471</v>
      </c>
      <c r="AI156" s="6">
        <f t="shared" si="218"/>
        <v>3.5414798206278027E-2</v>
      </c>
      <c r="AJ156" s="6">
        <f t="shared" si="219"/>
        <v>2.1860986547085202E-2</v>
      </c>
      <c r="AK156" s="6">
        <f t="shared" si="220"/>
        <v>3.6995515695067267E-2</v>
      </c>
      <c r="AL156" s="6">
        <f t="shared" si="221"/>
        <v>0.13340807174887892</v>
      </c>
      <c r="AM156" s="6">
        <f t="shared" si="222"/>
        <v>1.0089686098654708E-2</v>
      </c>
      <c r="AN156" s="6">
        <f t="shared" si="223"/>
        <v>1.649103139013453</v>
      </c>
      <c r="AO156" s="7">
        <v>4</v>
      </c>
      <c r="AP156" s="7">
        <v>1</v>
      </c>
      <c r="AQ156" s="7">
        <v>1</v>
      </c>
      <c r="AR156" s="10">
        <v>0</v>
      </c>
      <c r="AS156" s="7">
        <v>0</v>
      </c>
      <c r="AT156" s="7">
        <v>0</v>
      </c>
      <c r="AU156" s="7">
        <v>0</v>
      </c>
      <c r="AV156" s="7">
        <v>0</v>
      </c>
      <c r="AW156" s="7">
        <v>31</v>
      </c>
      <c r="AX156" s="7">
        <v>1</v>
      </c>
      <c r="AY156" s="5">
        <v>6</v>
      </c>
      <c r="AZ156" s="7">
        <v>0</v>
      </c>
      <c r="BA156" s="7">
        <v>1</v>
      </c>
      <c r="BB156" s="7">
        <v>0</v>
      </c>
      <c r="BC156" s="7">
        <v>1</v>
      </c>
      <c r="BD156" s="7">
        <v>1</v>
      </c>
      <c r="BE156" s="7">
        <v>0</v>
      </c>
      <c r="BF156" s="7">
        <v>0</v>
      </c>
      <c r="BG156" s="7">
        <v>0</v>
      </c>
      <c r="BH156" s="7">
        <v>0</v>
      </c>
      <c r="BI156" s="7">
        <v>0</v>
      </c>
      <c r="BJ156" s="7">
        <v>1</v>
      </c>
      <c r="BK156" s="11">
        <v>0</v>
      </c>
      <c r="BL156" s="7">
        <v>0</v>
      </c>
      <c r="BM156" s="3">
        <v>0</v>
      </c>
    </row>
    <row r="157" spans="1:65" ht="20.100000000000001" customHeight="1" x14ac:dyDescent="0.3">
      <c r="A157" s="3" t="s">
        <v>19</v>
      </c>
      <c r="B157" s="3">
        <v>2</v>
      </c>
      <c r="C157" s="8">
        <v>44366</v>
      </c>
      <c r="D157" s="9">
        <v>0.2638888888888889</v>
      </c>
      <c r="E157" s="4">
        <v>66</v>
      </c>
      <c r="F157" s="3">
        <v>0</v>
      </c>
      <c r="G157" s="3">
        <v>0</v>
      </c>
      <c r="H157" s="3">
        <v>0</v>
      </c>
      <c r="I157" s="3">
        <v>0</v>
      </c>
      <c r="J157" s="9">
        <v>0.27916666666666667</v>
      </c>
      <c r="K157" s="3">
        <v>140</v>
      </c>
      <c r="L157" s="11">
        <f t="shared" ref="L157" si="276">K157-K156</f>
        <v>-3.4000000000000057</v>
      </c>
      <c r="M157" s="5">
        <f t="shared" ref="M157" si="277">AB156</f>
        <v>892</v>
      </c>
      <c r="N157" s="11">
        <v>30.5</v>
      </c>
      <c r="O157" s="11">
        <v>32.25</v>
      </c>
      <c r="P157" s="11">
        <v>10.75</v>
      </c>
      <c r="Q157" s="11">
        <v>10.75</v>
      </c>
      <c r="R157" s="11">
        <v>19.75</v>
      </c>
      <c r="S157" s="11">
        <v>19.75</v>
      </c>
      <c r="T157" s="11">
        <v>15</v>
      </c>
      <c r="U157" s="11">
        <v>13</v>
      </c>
      <c r="V157" s="11">
        <v>16</v>
      </c>
      <c r="W157" s="11">
        <v>16</v>
      </c>
      <c r="X157" s="11">
        <v>7</v>
      </c>
      <c r="Y157" s="11">
        <v>7</v>
      </c>
      <c r="Z157" s="3" t="s">
        <v>859</v>
      </c>
      <c r="AA157" s="10" t="s">
        <v>860</v>
      </c>
      <c r="AB157" s="5">
        <f>140+180+100+900+285+250+80+8.5+6.25+40</f>
        <v>1989.75</v>
      </c>
      <c r="AC157" s="6">
        <f>2+15+0+45+6+5+5+0+0+0.2</f>
        <v>78.2</v>
      </c>
      <c r="AD157" s="6">
        <f>0+2.5+0+10+3.75+2.5+3.5+0+0+0.1</f>
        <v>22.35</v>
      </c>
      <c r="AE157" s="6">
        <f>6+7+0+10+10.5+10+6+0+0+0.6</f>
        <v>50.1</v>
      </c>
      <c r="AF157" s="6">
        <f>26+8+26+110+48+42+1+36+1.5+10.1</f>
        <v>308.60000000000002</v>
      </c>
      <c r="AG157" s="6">
        <f>4+2+0+0+0+1+0+0+0.25+1.4</f>
        <v>8.65</v>
      </c>
      <c r="AH157" s="6">
        <f>210+135+0+850+150+340+190+1+0+2</f>
        <v>1878</v>
      </c>
      <c r="AI157" s="6">
        <f t="shared" si="218"/>
        <v>3.9301419776353812E-2</v>
      </c>
      <c r="AJ157" s="6">
        <f t="shared" si="219"/>
        <v>1.1232566905390125E-2</v>
      </c>
      <c r="AK157" s="6">
        <f t="shared" si="220"/>
        <v>2.5179042593290617E-2</v>
      </c>
      <c r="AL157" s="6">
        <f t="shared" si="221"/>
        <v>0.15509486116346277</v>
      </c>
      <c r="AM157" s="6">
        <f t="shared" si="222"/>
        <v>4.3472798090212336E-3</v>
      </c>
      <c r="AN157" s="6">
        <f t="shared" si="223"/>
        <v>0.94383716547304941</v>
      </c>
      <c r="AO157" s="7">
        <v>5</v>
      </c>
      <c r="AP157" s="7">
        <v>2</v>
      </c>
      <c r="AQ157" s="7">
        <v>1</v>
      </c>
      <c r="AR157" s="10">
        <v>0</v>
      </c>
      <c r="AS157" s="7">
        <v>0</v>
      </c>
      <c r="AT157" s="7">
        <v>0</v>
      </c>
      <c r="AU157" s="7">
        <v>0</v>
      </c>
      <c r="AV157" s="7">
        <v>0</v>
      </c>
      <c r="AW157" s="7">
        <v>31</v>
      </c>
      <c r="AX157" s="7">
        <v>1</v>
      </c>
      <c r="AY157" s="5">
        <v>6.5</v>
      </c>
      <c r="AZ157" s="7">
        <v>0</v>
      </c>
      <c r="BA157" s="7">
        <v>0</v>
      </c>
      <c r="BB157" s="7">
        <v>0</v>
      </c>
      <c r="BC157" s="7">
        <v>1</v>
      </c>
      <c r="BD157" s="7">
        <v>1</v>
      </c>
      <c r="BE157" s="7">
        <v>0</v>
      </c>
      <c r="BF157" s="7">
        <v>0</v>
      </c>
      <c r="BG157" s="7">
        <v>0</v>
      </c>
      <c r="BH157" s="7">
        <v>0</v>
      </c>
      <c r="BI157" s="7">
        <v>0</v>
      </c>
      <c r="BJ157" s="7">
        <v>1</v>
      </c>
      <c r="BK157" s="11">
        <v>1</v>
      </c>
      <c r="BL157" s="3" t="s">
        <v>976</v>
      </c>
      <c r="BM157" s="3">
        <v>0</v>
      </c>
    </row>
    <row r="158" spans="1:65" ht="20.100000000000001" customHeight="1" x14ac:dyDescent="0.3">
      <c r="A158" s="3" t="s">
        <v>23</v>
      </c>
      <c r="B158" s="3">
        <v>3</v>
      </c>
      <c r="C158" s="8">
        <v>44367</v>
      </c>
      <c r="D158" s="9">
        <v>0.2638888888888889</v>
      </c>
      <c r="E158" s="4">
        <v>66</v>
      </c>
      <c r="F158" s="3">
        <v>0</v>
      </c>
      <c r="G158" s="3">
        <v>0</v>
      </c>
      <c r="H158" s="3">
        <v>0</v>
      </c>
      <c r="I158" s="3">
        <v>0</v>
      </c>
      <c r="J158" s="9">
        <v>0.31111111111111112</v>
      </c>
      <c r="K158" s="3">
        <v>138.80000000000001</v>
      </c>
      <c r="L158" s="11">
        <f t="shared" ref="L158" si="278">K158-K157</f>
        <v>-1.1999999999999886</v>
      </c>
      <c r="M158" s="5">
        <f t="shared" ref="M158" si="279">AB157</f>
        <v>1989.75</v>
      </c>
      <c r="N158" s="11">
        <v>30</v>
      </c>
      <c r="O158" s="11">
        <v>31.5</v>
      </c>
      <c r="P158" s="11">
        <v>10.5</v>
      </c>
      <c r="Q158" s="11">
        <v>10.625</v>
      </c>
      <c r="R158" s="11">
        <v>19.5</v>
      </c>
      <c r="S158" s="11">
        <v>19.5</v>
      </c>
      <c r="T158" s="11">
        <v>15</v>
      </c>
      <c r="U158" s="11">
        <v>12</v>
      </c>
      <c r="V158" s="11">
        <v>16</v>
      </c>
      <c r="W158" s="11">
        <v>17</v>
      </c>
      <c r="X158" s="11">
        <v>7</v>
      </c>
      <c r="Y158" s="11">
        <v>7</v>
      </c>
      <c r="Z158" s="3" t="s">
        <v>861</v>
      </c>
      <c r="AA158" s="10" t="s">
        <v>870</v>
      </c>
      <c r="AB158" s="5">
        <f>285+900+500+90+240+280+145+120+15+105</f>
        <v>2680</v>
      </c>
      <c r="AC158" s="6">
        <f>6+45+10+3.5+15+10+15.4+10+0.25+0</f>
        <v>115.15</v>
      </c>
      <c r="AD158" s="6">
        <f>3.75+10+5+1+10.5+0+2.4+7+0+0</f>
        <v>39.65</v>
      </c>
      <c r="AE158" s="6">
        <f>10.5+10+20+3+18+4+0.33+2+0.5+1</f>
        <v>69.33</v>
      </c>
      <c r="AF158" s="6">
        <f>48+110+84+12+3+44+2+4+2.5+27</f>
        <v>336.5</v>
      </c>
      <c r="AG158" s="6">
        <f>0+0+2+3+0+4+0.2+0+0.5+3</f>
        <v>12.7</v>
      </c>
      <c r="AH158" s="6">
        <f>150+850+680+460+570+480+244.67+30+125+1</f>
        <v>3590.67</v>
      </c>
      <c r="AI158" s="6">
        <f t="shared" si="218"/>
        <v>4.2966417910447766E-2</v>
      </c>
      <c r="AJ158" s="6">
        <f t="shared" si="219"/>
        <v>1.4794776119402985E-2</v>
      </c>
      <c r="AK158" s="6">
        <f t="shared" si="220"/>
        <v>2.5869402985074626E-2</v>
      </c>
      <c r="AL158" s="6">
        <f t="shared" si="221"/>
        <v>0.12555970149253731</v>
      </c>
      <c r="AM158" s="6">
        <f t="shared" si="222"/>
        <v>4.738805970149253E-3</v>
      </c>
      <c r="AN158" s="6">
        <f t="shared" si="223"/>
        <v>1.3398022388059703</v>
      </c>
      <c r="AO158" s="7">
        <v>5</v>
      </c>
      <c r="AP158" s="7">
        <v>1</v>
      </c>
      <c r="AQ158" s="7">
        <v>1</v>
      </c>
      <c r="AR158" s="10">
        <v>0</v>
      </c>
      <c r="AS158" s="7">
        <v>0</v>
      </c>
      <c r="AT158" s="7">
        <v>0</v>
      </c>
      <c r="AU158" s="7">
        <v>0</v>
      </c>
      <c r="AV158" s="7">
        <v>0</v>
      </c>
      <c r="AW158" s="7">
        <v>31</v>
      </c>
      <c r="AX158" s="7">
        <v>1</v>
      </c>
      <c r="AY158" s="5">
        <v>8</v>
      </c>
      <c r="AZ158" s="7">
        <v>0</v>
      </c>
      <c r="BA158" s="7">
        <v>0</v>
      </c>
      <c r="BB158" s="7">
        <v>0</v>
      </c>
      <c r="BC158" s="7">
        <v>1</v>
      </c>
      <c r="BD158" s="7">
        <v>1</v>
      </c>
      <c r="BE158" s="7">
        <v>0</v>
      </c>
      <c r="BF158" s="7">
        <v>0</v>
      </c>
      <c r="BG158" s="7">
        <v>0</v>
      </c>
      <c r="BH158" s="7">
        <v>0</v>
      </c>
      <c r="BI158" s="7">
        <v>0</v>
      </c>
      <c r="BJ158" s="7">
        <v>1</v>
      </c>
      <c r="BK158" s="11">
        <v>1</v>
      </c>
      <c r="BL158" s="3" t="s">
        <v>976</v>
      </c>
      <c r="BM158" s="3">
        <v>0</v>
      </c>
    </row>
    <row r="159" spans="1:65" ht="20.100000000000001" customHeight="1" x14ac:dyDescent="0.3">
      <c r="A159" s="3" t="s">
        <v>15</v>
      </c>
      <c r="B159" s="3">
        <v>4</v>
      </c>
      <c r="C159" s="8">
        <v>44368</v>
      </c>
      <c r="D159" s="9">
        <v>0.29166666666666669</v>
      </c>
      <c r="E159" s="4">
        <v>63</v>
      </c>
      <c r="F159" s="3">
        <v>0</v>
      </c>
      <c r="G159" s="3">
        <v>0</v>
      </c>
      <c r="H159" s="3">
        <v>0</v>
      </c>
      <c r="I159" s="3">
        <v>0</v>
      </c>
      <c r="J159" s="9">
        <v>0.29444444444444445</v>
      </c>
      <c r="K159" s="3">
        <v>140.4</v>
      </c>
      <c r="L159" s="11">
        <f t="shared" ref="L159" si="280">K159-K158</f>
        <v>1.5999999999999943</v>
      </c>
      <c r="M159" s="5">
        <f t="shared" ref="M159" si="281">AB158</f>
        <v>2680</v>
      </c>
      <c r="N159" s="11">
        <v>30.5</v>
      </c>
      <c r="O159" s="11">
        <v>31.25</v>
      </c>
      <c r="P159" s="11">
        <v>10.625</v>
      </c>
      <c r="Q159" s="11">
        <v>10.75</v>
      </c>
      <c r="R159" s="11">
        <v>19.75</v>
      </c>
      <c r="S159" s="11">
        <v>19.5</v>
      </c>
      <c r="T159" s="11">
        <v>15</v>
      </c>
      <c r="U159" s="11">
        <v>12</v>
      </c>
      <c r="V159" s="11">
        <v>16</v>
      </c>
      <c r="W159" s="11">
        <v>15</v>
      </c>
      <c r="X159" s="11">
        <v>7</v>
      </c>
      <c r="Y159" s="11">
        <v>7</v>
      </c>
      <c r="Z159" s="3" t="s">
        <v>869</v>
      </c>
      <c r="AA159" s="10" t="s">
        <v>871</v>
      </c>
      <c r="AB159" s="5">
        <f>1550+436+285+200+270+50+280+180+30+80+180+30+80+140+105</f>
        <v>3896</v>
      </c>
      <c r="AC159" s="6">
        <f>75+46.2+6+7+13.5+3+10+15+0.5+5+15+0.5+5+7+0</f>
        <v>208.7</v>
      </c>
      <c r="AD159" s="6">
        <f>40+7.2+3.75+2.5+9+3+0+10.5+0+3.5+10.5+0+3.5+5+0</f>
        <v>98.45</v>
      </c>
      <c r="AE159" s="6">
        <f>75+1+10.5+4+4.5+0+4+3+1+6+3+1+6+2+1</f>
        <v>122</v>
      </c>
      <c r="AF159" s="6">
        <f>140+6+48+32+33+6+44+6+5+1+6+5+1+18+27</f>
        <v>378</v>
      </c>
      <c r="AG159" s="6">
        <f>5+0.6+0+1+1.5+0+4+0+1+0+0+1+0+2+3</f>
        <v>19.100000000000001</v>
      </c>
      <c r="AH159" s="6">
        <f>3150+734+150+370+82.5+0+480+45+250+190+45+250+190+90+1</f>
        <v>6027.5</v>
      </c>
      <c r="AI159" s="6">
        <f t="shared" si="218"/>
        <v>5.3567761806981515E-2</v>
      </c>
      <c r="AJ159" s="6">
        <f t="shared" si="219"/>
        <v>2.5269507186858317E-2</v>
      </c>
      <c r="AK159" s="6">
        <f t="shared" si="220"/>
        <v>3.1314168377823408E-2</v>
      </c>
      <c r="AL159" s="6">
        <f t="shared" si="221"/>
        <v>9.7022587268993835E-2</v>
      </c>
      <c r="AM159" s="6">
        <f t="shared" si="222"/>
        <v>4.9024640657084192E-3</v>
      </c>
      <c r="AN159" s="6">
        <f t="shared" si="223"/>
        <v>1.547099589322382</v>
      </c>
      <c r="AO159" s="7">
        <v>4</v>
      </c>
      <c r="AP159" s="7">
        <v>2</v>
      </c>
      <c r="AQ159" s="7">
        <v>1</v>
      </c>
      <c r="AR159" s="10">
        <v>0</v>
      </c>
      <c r="AS159" s="7">
        <v>0</v>
      </c>
      <c r="AT159" s="7">
        <v>0</v>
      </c>
      <c r="AU159" s="7">
        <v>0</v>
      </c>
      <c r="AV159" s="7">
        <v>0</v>
      </c>
      <c r="AW159" s="7">
        <v>31</v>
      </c>
      <c r="AX159" s="7">
        <v>1</v>
      </c>
      <c r="AY159" s="5">
        <v>7</v>
      </c>
      <c r="AZ159" s="7">
        <v>0</v>
      </c>
      <c r="BA159" s="7">
        <v>0</v>
      </c>
      <c r="BB159" s="7">
        <v>0</v>
      </c>
      <c r="BC159" s="7">
        <v>1</v>
      </c>
      <c r="BD159" s="7">
        <v>1</v>
      </c>
      <c r="BE159" s="7">
        <v>0</v>
      </c>
      <c r="BF159" s="7">
        <v>0</v>
      </c>
      <c r="BG159" s="7">
        <v>0</v>
      </c>
      <c r="BH159" s="7">
        <v>0</v>
      </c>
      <c r="BI159" s="7">
        <v>0</v>
      </c>
      <c r="BJ159" s="7">
        <v>1</v>
      </c>
      <c r="BK159" s="11">
        <v>2</v>
      </c>
      <c r="BL159" s="3" t="s">
        <v>976</v>
      </c>
      <c r="BM159" s="3">
        <v>0</v>
      </c>
    </row>
    <row r="160" spans="1:65" ht="20.100000000000001" customHeight="1" x14ac:dyDescent="0.3">
      <c r="A160" s="3" t="s">
        <v>16</v>
      </c>
      <c r="B160" s="3">
        <v>5</v>
      </c>
      <c r="C160" s="8">
        <v>44369</v>
      </c>
      <c r="D160" s="9">
        <v>0.30555555555555552</v>
      </c>
      <c r="E160" s="4">
        <v>63</v>
      </c>
      <c r="F160" s="3">
        <v>0</v>
      </c>
      <c r="G160" s="3">
        <v>0</v>
      </c>
      <c r="H160" s="3">
        <v>0</v>
      </c>
      <c r="I160" s="3">
        <v>0</v>
      </c>
      <c r="J160" s="9">
        <v>0.36527777777777781</v>
      </c>
      <c r="K160" s="3">
        <v>143.4</v>
      </c>
      <c r="L160" s="11">
        <f t="shared" ref="L160" si="282">K160-K159</f>
        <v>3</v>
      </c>
      <c r="M160" s="5">
        <f t="shared" ref="M160" si="283">AB159</f>
        <v>3896</v>
      </c>
      <c r="N160" s="11">
        <v>31</v>
      </c>
      <c r="O160" s="11">
        <v>32.25</v>
      </c>
      <c r="P160" s="11">
        <v>10.625</v>
      </c>
      <c r="Q160" s="11">
        <v>10.75</v>
      </c>
      <c r="R160" s="11">
        <v>19.75</v>
      </c>
      <c r="S160" s="11">
        <v>19.625</v>
      </c>
      <c r="T160" s="11">
        <v>15</v>
      </c>
      <c r="U160" s="11">
        <v>12</v>
      </c>
      <c r="V160" s="11">
        <v>15</v>
      </c>
      <c r="W160" s="11">
        <v>15</v>
      </c>
      <c r="X160" s="11">
        <v>7</v>
      </c>
      <c r="Y160" s="11">
        <v>7</v>
      </c>
      <c r="Z160" s="3" t="s">
        <v>873</v>
      </c>
      <c r="AA160" s="10" t="s">
        <v>872</v>
      </c>
      <c r="AB160" s="5">
        <f>200+270+50+720+218+60+200</f>
        <v>1718</v>
      </c>
      <c r="AC160" s="6">
        <f>7+13.5+3+38.25+23.1+4.25+7</f>
        <v>96.1</v>
      </c>
      <c r="AD160" s="6">
        <f>2.5+9+3+15.75+3.6+0+2.5</f>
        <v>36.35</v>
      </c>
      <c r="AE160" s="6">
        <f>4+4.5+0+27+0.5+1+4</f>
        <v>41</v>
      </c>
      <c r="AF160" s="6">
        <f>32+33+6+65.25+3+11+32</f>
        <v>182.25</v>
      </c>
      <c r="AG160" s="6">
        <f>1+1.5+0+4.5+0.3+0.5+1</f>
        <v>8.8000000000000007</v>
      </c>
      <c r="AH160" s="6">
        <f>370+82.5+0+1080+367+80+370</f>
        <v>2349.5</v>
      </c>
      <c r="AI160" s="6">
        <f t="shared" si="218"/>
        <v>5.5937136204889402E-2</v>
      </c>
      <c r="AJ160" s="6">
        <f t="shared" si="219"/>
        <v>2.1158323632130386E-2</v>
      </c>
      <c r="AK160" s="6">
        <f t="shared" si="220"/>
        <v>2.3864959254947613E-2</v>
      </c>
      <c r="AL160" s="6">
        <f t="shared" si="221"/>
        <v>0.1060826542491269</v>
      </c>
      <c r="AM160" s="6">
        <f t="shared" si="222"/>
        <v>5.1222351571594878E-3</v>
      </c>
      <c r="AN160" s="6">
        <f t="shared" si="223"/>
        <v>1.3675785797438882</v>
      </c>
      <c r="AO160" s="7">
        <v>4</v>
      </c>
      <c r="AP160" s="7">
        <v>1</v>
      </c>
      <c r="AQ160" s="7">
        <v>0</v>
      </c>
      <c r="AR160" s="10">
        <v>0</v>
      </c>
      <c r="AS160" s="7">
        <v>0</v>
      </c>
      <c r="AT160" s="7">
        <v>0</v>
      </c>
      <c r="AU160" s="7">
        <v>0</v>
      </c>
      <c r="AV160" s="7">
        <v>0</v>
      </c>
      <c r="AW160" s="7">
        <v>31</v>
      </c>
      <c r="AX160" s="7">
        <v>1</v>
      </c>
      <c r="AY160" s="5">
        <v>6.3</v>
      </c>
      <c r="AZ160" s="7">
        <v>0</v>
      </c>
      <c r="BA160" s="7">
        <v>1</v>
      </c>
      <c r="BB160" s="7">
        <v>0</v>
      </c>
      <c r="BC160" s="7">
        <v>1</v>
      </c>
      <c r="BD160" s="7">
        <v>1</v>
      </c>
      <c r="BE160" s="7">
        <v>0</v>
      </c>
      <c r="BF160" s="7">
        <v>1</v>
      </c>
      <c r="BG160" s="7">
        <v>20</v>
      </c>
      <c r="BH160" s="7">
        <v>0</v>
      </c>
      <c r="BI160" s="7">
        <v>0</v>
      </c>
      <c r="BJ160" s="7">
        <v>1</v>
      </c>
      <c r="BK160" s="11">
        <v>0</v>
      </c>
      <c r="BL160" s="7">
        <v>0</v>
      </c>
      <c r="BM160" s="3">
        <v>0</v>
      </c>
    </row>
    <row r="161" spans="1:65" ht="20.100000000000001" customHeight="1" x14ac:dyDescent="0.3">
      <c r="A161" s="3" t="s">
        <v>17</v>
      </c>
      <c r="B161" s="3">
        <v>6</v>
      </c>
      <c r="C161" s="8">
        <v>44370</v>
      </c>
      <c r="D161" s="9">
        <v>0.3263888888888889</v>
      </c>
      <c r="E161" s="4">
        <v>67</v>
      </c>
      <c r="F161" s="3">
        <v>0</v>
      </c>
      <c r="G161" s="3">
        <v>0</v>
      </c>
      <c r="H161" s="3">
        <v>0</v>
      </c>
      <c r="I161" s="3">
        <v>0</v>
      </c>
      <c r="J161" s="9">
        <v>0.32291666666666669</v>
      </c>
      <c r="K161" s="3">
        <v>141.6</v>
      </c>
      <c r="L161" s="11">
        <f t="shared" ref="L161" si="284">K161-K160</f>
        <v>-1.8000000000000114</v>
      </c>
      <c r="M161" s="5">
        <f t="shared" ref="M161" si="285">AB160</f>
        <v>1718</v>
      </c>
      <c r="N161" s="11">
        <v>30.5</v>
      </c>
      <c r="O161" s="11">
        <v>31.75</v>
      </c>
      <c r="P161" s="11">
        <v>10.625</v>
      </c>
      <c r="Q161" s="11">
        <v>10.5</v>
      </c>
      <c r="R161" s="11">
        <v>19.75</v>
      </c>
      <c r="S161" s="11">
        <v>19.875</v>
      </c>
      <c r="T161" s="11">
        <v>15</v>
      </c>
      <c r="U161" s="11">
        <v>15</v>
      </c>
      <c r="V161" s="11">
        <v>17</v>
      </c>
      <c r="W161" s="11">
        <v>17</v>
      </c>
      <c r="X161" s="11">
        <v>7</v>
      </c>
      <c r="Y161" s="11">
        <v>7</v>
      </c>
      <c r="Z161" s="3" t="s">
        <v>874</v>
      </c>
      <c r="AA161" s="10" t="s">
        <v>875</v>
      </c>
      <c r="AB161" s="5">
        <f>200+160+180+30+554.5+40+153+140+390+60+80+200+37.5+240</f>
        <v>2465</v>
      </c>
      <c r="AC161" s="6">
        <f>2+10+15+0.5+11.18+4.5+15.3+6+13.5+1+5+7+2.25+12.75</f>
        <v>105.98</v>
      </c>
      <c r="AD161" s="6">
        <f>0+7+10.5+0+2.15+1+9.6+0+7.5+0+3.5+2.5+2.25+5.25</f>
        <v>51.25</v>
      </c>
      <c r="AE161" s="6">
        <f>4+12+3+1+17.8+0+3.3+0+16.5+2+6+4+0+9</f>
        <v>78.599999999999994</v>
      </c>
      <c r="AF161" s="6">
        <f>42+2+6+5+96.55+0+1.2+20+49.5+10+1+32+4.5+21.75</f>
        <v>291.5</v>
      </c>
      <c r="AG161" s="6">
        <f>4+0+0+1+8.35+0+0+0+3+2+0+1+0+1.5</f>
        <v>20.85</v>
      </c>
      <c r="AH161" s="6">
        <f>40+380+45+250+901+40+129+60+690+500+190+370+0+360</f>
        <v>3955</v>
      </c>
      <c r="AI161" s="6">
        <f t="shared" si="218"/>
        <v>4.2993914807302233E-2</v>
      </c>
      <c r="AJ161" s="6">
        <f t="shared" si="219"/>
        <v>2.0791075050709939E-2</v>
      </c>
      <c r="AK161" s="6">
        <f t="shared" si="220"/>
        <v>3.1886409736308317E-2</v>
      </c>
      <c r="AL161" s="6">
        <f t="shared" si="221"/>
        <v>0.11825557809330629</v>
      </c>
      <c r="AM161" s="6">
        <f t="shared" si="222"/>
        <v>8.4584178498985814E-3</v>
      </c>
      <c r="AN161" s="6">
        <f t="shared" si="223"/>
        <v>1.6044624746450304</v>
      </c>
      <c r="AO161" s="7">
        <v>5</v>
      </c>
      <c r="AP161" s="7">
        <v>1</v>
      </c>
      <c r="AQ161" s="7">
        <v>0</v>
      </c>
      <c r="AR161" s="10">
        <v>0</v>
      </c>
      <c r="AS161" s="7">
        <v>0</v>
      </c>
      <c r="AT161" s="7">
        <v>0</v>
      </c>
      <c r="AU161" s="7">
        <v>0</v>
      </c>
      <c r="AV161" s="7">
        <v>0</v>
      </c>
      <c r="AW161" s="7">
        <v>31</v>
      </c>
      <c r="AX161" s="7">
        <v>1</v>
      </c>
      <c r="AY161" s="5">
        <v>6</v>
      </c>
      <c r="AZ161" s="7">
        <v>0</v>
      </c>
      <c r="BA161" s="7">
        <v>1</v>
      </c>
      <c r="BB161" s="7">
        <v>0</v>
      </c>
      <c r="BC161" s="7">
        <v>1</v>
      </c>
      <c r="BD161" s="7">
        <v>1</v>
      </c>
      <c r="BE161" s="7">
        <v>0</v>
      </c>
      <c r="BF161" s="7">
        <v>0</v>
      </c>
      <c r="BG161" s="7">
        <v>0</v>
      </c>
      <c r="BH161" s="7">
        <v>0</v>
      </c>
      <c r="BI161" s="7">
        <v>0</v>
      </c>
      <c r="BJ161" s="7">
        <v>1</v>
      </c>
      <c r="BK161" s="11">
        <v>0</v>
      </c>
      <c r="BL161" s="7">
        <v>0</v>
      </c>
      <c r="BM161" s="3">
        <v>0</v>
      </c>
    </row>
    <row r="162" spans="1:65" ht="20.100000000000001" customHeight="1" x14ac:dyDescent="0.3">
      <c r="A162" s="3" t="s">
        <v>18</v>
      </c>
      <c r="B162" s="3">
        <v>7</v>
      </c>
      <c r="C162" s="8">
        <v>44371</v>
      </c>
      <c r="D162" s="9">
        <v>0.29652777777777778</v>
      </c>
      <c r="E162" s="4">
        <v>62</v>
      </c>
      <c r="F162" s="3">
        <v>0</v>
      </c>
      <c r="G162" s="3">
        <v>0</v>
      </c>
      <c r="H162" s="3">
        <v>0</v>
      </c>
      <c r="I162" s="3">
        <v>0</v>
      </c>
      <c r="J162" s="9">
        <v>0.35000000000000003</v>
      </c>
      <c r="K162" s="3">
        <v>139.4</v>
      </c>
      <c r="L162" s="11">
        <f t="shared" ref="L162" si="286">K162-K161</f>
        <v>-2.1999999999999886</v>
      </c>
      <c r="M162" s="5">
        <f t="shared" ref="M162" si="287">AB161</f>
        <v>2465</v>
      </c>
      <c r="N162" s="11">
        <v>30.5</v>
      </c>
      <c r="O162" s="11">
        <v>32</v>
      </c>
      <c r="P162" s="11">
        <v>10.75</v>
      </c>
      <c r="Q162" s="11">
        <v>10.625</v>
      </c>
      <c r="R162" s="11">
        <v>19.75</v>
      </c>
      <c r="S162" s="11">
        <v>19.875</v>
      </c>
      <c r="T162" s="11">
        <v>15</v>
      </c>
      <c r="U162" s="11">
        <v>15</v>
      </c>
      <c r="V162" s="11">
        <v>17</v>
      </c>
      <c r="W162" s="11">
        <v>15</v>
      </c>
      <c r="X162" s="11">
        <v>7</v>
      </c>
      <c r="Y162" s="11">
        <v>7</v>
      </c>
      <c r="Z162" s="3" t="s">
        <v>881</v>
      </c>
      <c r="AA162" s="10" t="s">
        <v>882</v>
      </c>
      <c r="AB162" s="5">
        <f>150+240+360+60+390+148.9+240+150+70+135.4+120+74.4+30+140</f>
        <v>2308.7000000000003</v>
      </c>
      <c r="AC162" s="6">
        <f>1.5+15+30+1+13.5+4.9+16.7+7+5+7.7+6.8+2.44+0.5+6</f>
        <v>118.04</v>
      </c>
      <c r="AD162" s="6">
        <f>0+10.5+21+0+7.5+0.78+5.7+0.5+3.5+5.1+2.25+0.39+0+1</f>
        <v>58.220000000000006</v>
      </c>
      <c r="AE162" s="6">
        <f>3+18+6+2+16.5+7.11+3.7+2+1+1.7+2.25+3.56+1+7</f>
        <v>74.820000000000007</v>
      </c>
      <c r="AF162" s="6">
        <f>31.5+3+12+10+49.5+18.7+19.3+21+4+17+13.5+9.33+5+13</f>
        <v>226.83</v>
      </c>
      <c r="AG162" s="6">
        <f>3+0+0+2+3+0.9+1+2+0+1.7+0.75+0.44+1+3</f>
        <v>18.79</v>
      </c>
      <c r="AH162" s="6">
        <f>30+570+90+500+690+822.2+646.7+290+20+34+82.5+411.11+250+400</f>
        <v>4836.5099999999993</v>
      </c>
      <c r="AI162" s="6">
        <f t="shared" si="218"/>
        <v>5.1128340624593926E-2</v>
      </c>
      <c r="AJ162" s="6">
        <f t="shared" si="219"/>
        <v>2.5217654957335297E-2</v>
      </c>
      <c r="AK162" s="6">
        <f t="shared" si="220"/>
        <v>3.2407848572789881E-2</v>
      </c>
      <c r="AL162" s="6">
        <f t="shared" si="221"/>
        <v>9.8250097457443578E-2</v>
      </c>
      <c r="AM162" s="6">
        <f t="shared" si="222"/>
        <v>8.1387793996621459E-3</v>
      </c>
      <c r="AN162" s="6">
        <f t="shared" si="223"/>
        <v>2.0949062242820631</v>
      </c>
      <c r="AO162" s="7">
        <v>5</v>
      </c>
      <c r="AP162" s="7">
        <v>2</v>
      </c>
      <c r="AQ162" s="7">
        <v>0</v>
      </c>
      <c r="AR162" s="10">
        <v>0</v>
      </c>
      <c r="AS162" s="7">
        <v>0</v>
      </c>
      <c r="AT162" s="7">
        <v>0</v>
      </c>
      <c r="AU162" s="7">
        <v>0</v>
      </c>
      <c r="AV162" s="7">
        <v>0</v>
      </c>
      <c r="AW162" s="7">
        <v>0</v>
      </c>
      <c r="AX162" s="7">
        <v>0</v>
      </c>
      <c r="AY162" s="5">
        <v>7.5</v>
      </c>
      <c r="AZ162" s="7">
        <v>0</v>
      </c>
      <c r="BA162" s="7">
        <v>0</v>
      </c>
      <c r="BB162" s="7">
        <v>0</v>
      </c>
      <c r="BC162" s="7">
        <v>1</v>
      </c>
      <c r="BD162" s="7">
        <v>1</v>
      </c>
      <c r="BE162" s="7">
        <v>0</v>
      </c>
      <c r="BF162" s="7">
        <v>0</v>
      </c>
      <c r="BG162" s="7">
        <v>0</v>
      </c>
      <c r="BH162" s="7">
        <v>0</v>
      </c>
      <c r="BI162" s="7">
        <v>0</v>
      </c>
      <c r="BJ162" s="7">
        <v>1</v>
      </c>
      <c r="BK162" s="11">
        <v>3</v>
      </c>
      <c r="BL162" s="3" t="s">
        <v>976</v>
      </c>
      <c r="BM162" s="3">
        <v>0</v>
      </c>
    </row>
    <row r="163" spans="1:65" ht="20.100000000000001" customHeight="1" x14ac:dyDescent="0.3">
      <c r="A163" s="3" t="s">
        <v>137</v>
      </c>
      <c r="B163" s="3">
        <v>8</v>
      </c>
      <c r="C163" s="8">
        <v>44372</v>
      </c>
      <c r="D163" s="9">
        <v>0.24652777777777779</v>
      </c>
      <c r="E163" s="4">
        <v>60</v>
      </c>
      <c r="F163" s="3">
        <v>0</v>
      </c>
      <c r="G163" s="3">
        <v>0</v>
      </c>
      <c r="H163" s="3">
        <v>0</v>
      </c>
      <c r="I163" s="3">
        <v>0</v>
      </c>
      <c r="J163" s="9">
        <v>0.25694444444444448</v>
      </c>
      <c r="K163" s="3">
        <v>139.80000000000001</v>
      </c>
      <c r="L163" s="11">
        <f t="shared" ref="L163" si="288">K163-K162</f>
        <v>0.40000000000000568</v>
      </c>
      <c r="M163" s="5">
        <f t="shared" ref="M163" si="289">AB162</f>
        <v>2308.7000000000003</v>
      </c>
      <c r="N163" s="11">
        <v>31</v>
      </c>
      <c r="O163" s="11">
        <v>32.25</v>
      </c>
      <c r="P163" s="11">
        <v>10.625</v>
      </c>
      <c r="Q163" s="11">
        <v>10.625</v>
      </c>
      <c r="R163" s="11">
        <v>19.625</v>
      </c>
      <c r="S163" s="11">
        <v>19.625</v>
      </c>
      <c r="T163" s="11">
        <v>15</v>
      </c>
      <c r="U163" s="11">
        <v>15</v>
      </c>
      <c r="V163" s="11">
        <v>18</v>
      </c>
      <c r="W163" s="11">
        <v>15</v>
      </c>
      <c r="X163" s="11">
        <v>7</v>
      </c>
      <c r="Y163" s="11">
        <v>7</v>
      </c>
      <c r="Z163" s="3" t="s">
        <v>888</v>
      </c>
      <c r="AA163" s="10" t="s">
        <v>892</v>
      </c>
      <c r="AB163" s="5">
        <f>390+90+160+400+32.5+280+62+168+120+3.38+4+8+140+290+320</f>
        <v>2467.88</v>
      </c>
      <c r="AC163" s="6">
        <f>13.5+1.5+10+22.5+1.13+24+0.1+4+10+0.08+0.2+0.1+6+5+18</f>
        <v>116.10999999999999</v>
      </c>
      <c r="AD163" s="6">
        <f>7.5+0+7+2.5+0.13+14+0+1+7+0.01+0.2+0.1+0+3+2</f>
        <v>44.44</v>
      </c>
      <c r="AE163" s="6">
        <f>16.5+3+12+7.5+0.5+20+0.3+4+2+0.26+0.6+0.5+0+9+6</f>
        <v>82.16</v>
      </c>
      <c r="AF163" s="6">
        <f>49.5+15+2+40+4.75+0+14.9+27+4+0.6+0.4+1.5+20+52+32</f>
        <v>263.64999999999998</v>
      </c>
      <c r="AG163" s="6">
        <f>3+3+0+7.5+0.25+0+2.5+1+0+0.23+0.2+0.5+0+1+6</f>
        <v>25.18</v>
      </c>
      <c r="AH163" s="6">
        <f>690+750+380+525+62.5+680+0+301+30+0.68+2+4+60+210+420</f>
        <v>4115.18</v>
      </c>
      <c r="AI163" s="6">
        <f t="shared" si="218"/>
        <v>4.7048478856346332E-2</v>
      </c>
      <c r="AJ163" s="6">
        <f t="shared" si="219"/>
        <v>1.8007358542554742E-2</v>
      </c>
      <c r="AK163" s="6">
        <f t="shared" si="220"/>
        <v>3.3291732174984191E-2</v>
      </c>
      <c r="AL163" s="6">
        <f t="shared" si="221"/>
        <v>0.10683258505275782</v>
      </c>
      <c r="AM163" s="6">
        <f t="shared" si="222"/>
        <v>1.020308929121351E-2</v>
      </c>
      <c r="AN163" s="6">
        <f t="shared" si="223"/>
        <v>1.6674959884597307</v>
      </c>
      <c r="AO163" s="7">
        <v>5</v>
      </c>
      <c r="AP163" s="7">
        <v>1</v>
      </c>
      <c r="AQ163" s="7">
        <v>0</v>
      </c>
      <c r="AR163" s="10">
        <v>0</v>
      </c>
      <c r="AS163" s="7">
        <v>0</v>
      </c>
      <c r="AT163" s="7">
        <v>0</v>
      </c>
      <c r="AU163" s="7">
        <v>0</v>
      </c>
      <c r="AV163" s="7">
        <v>0</v>
      </c>
      <c r="AW163" s="7">
        <v>31</v>
      </c>
      <c r="AX163" s="7">
        <v>1</v>
      </c>
      <c r="AY163" s="5">
        <v>6</v>
      </c>
      <c r="AZ163" s="7">
        <v>0</v>
      </c>
      <c r="BA163" s="7">
        <v>0</v>
      </c>
      <c r="BB163" s="7">
        <v>0</v>
      </c>
      <c r="BC163" s="7">
        <v>1</v>
      </c>
      <c r="BD163" s="7">
        <v>1</v>
      </c>
      <c r="BE163" s="7">
        <v>0</v>
      </c>
      <c r="BF163" s="7">
        <v>0</v>
      </c>
      <c r="BG163" s="7">
        <v>0</v>
      </c>
      <c r="BH163" s="7">
        <v>0</v>
      </c>
      <c r="BI163" s="7">
        <v>0</v>
      </c>
      <c r="BJ163" s="7">
        <v>1</v>
      </c>
      <c r="BK163" s="11">
        <v>1</v>
      </c>
      <c r="BL163" s="3" t="s">
        <v>984</v>
      </c>
      <c r="BM163" s="3">
        <v>0</v>
      </c>
    </row>
    <row r="164" spans="1:65" ht="20.100000000000001" customHeight="1" x14ac:dyDescent="0.3">
      <c r="A164" s="3" t="s">
        <v>19</v>
      </c>
      <c r="B164" s="3">
        <v>9</v>
      </c>
      <c r="C164" s="8">
        <v>44373</v>
      </c>
      <c r="D164" s="9">
        <v>0.2673611111111111</v>
      </c>
      <c r="E164" s="4">
        <v>66</v>
      </c>
      <c r="F164" s="3">
        <v>0</v>
      </c>
      <c r="G164" s="3">
        <v>0</v>
      </c>
      <c r="H164" s="3">
        <v>0</v>
      </c>
      <c r="I164" s="3">
        <v>0</v>
      </c>
      <c r="J164" s="9">
        <v>0.26805555555555555</v>
      </c>
      <c r="K164" s="3">
        <v>141.19999999999999</v>
      </c>
      <c r="L164" s="11">
        <f t="shared" ref="L164" si="290">K164-K163</f>
        <v>1.3999999999999773</v>
      </c>
      <c r="M164" s="5">
        <f t="shared" ref="M164" si="291">AB163</f>
        <v>2467.88</v>
      </c>
      <c r="N164" s="11">
        <v>31</v>
      </c>
      <c r="O164" s="11">
        <v>32.5</v>
      </c>
      <c r="P164" s="11">
        <v>10.625</v>
      </c>
      <c r="Q164" s="11">
        <v>10.625</v>
      </c>
      <c r="R164" s="11">
        <v>19.5</v>
      </c>
      <c r="S164" s="11">
        <v>19.625</v>
      </c>
      <c r="T164" s="11">
        <v>15</v>
      </c>
      <c r="U164" s="11">
        <v>15</v>
      </c>
      <c r="V164" s="11">
        <v>15</v>
      </c>
      <c r="W164" s="11">
        <v>15</v>
      </c>
      <c r="X164" s="11">
        <v>7</v>
      </c>
      <c r="Y164" s="11">
        <v>7</v>
      </c>
      <c r="Z164" s="3" t="s">
        <v>894</v>
      </c>
      <c r="AA164" s="10" t="s">
        <v>893</v>
      </c>
      <c r="AB164" s="5">
        <f>13.5+280+130+31+320+405+370+80+480+450+240+149</f>
        <v>2948.5</v>
      </c>
      <c r="AC164" s="6">
        <f>0.3+12+14+0.05+17+16.5+16+4.5+26+21+16.7+4.9</f>
        <v>148.94999999999999</v>
      </c>
      <c r="AD164" s="6">
        <f>0.05+0+2+0+10+7.5+16+0.5+5+1.5+5.7+0.8</f>
        <v>49.05</v>
      </c>
      <c r="AE164" s="6">
        <f>1.05+0+0+0.15+6+8.5+0+1.5+6+6+3.7+7.1</f>
        <v>40</v>
      </c>
      <c r="AF164" s="6">
        <f>2.4+40+0+7.45+35+53+64+8+59+63+19.3+18.7</f>
        <v>369.85</v>
      </c>
      <c r="AG164" s="6">
        <f>0.9+0+0+1.25+0+1+0+1.5+0+6+1+0.89</f>
        <v>12.540000000000001</v>
      </c>
      <c r="AH164" s="6">
        <f>2.7+120+0+0+430+295+5+105+590+870+646.7+822.2</f>
        <v>3886.5999999999995</v>
      </c>
      <c r="AI164" s="6">
        <f t="shared" si="218"/>
        <v>5.0517212141767E-2</v>
      </c>
      <c r="AJ164" s="6">
        <f t="shared" si="219"/>
        <v>1.6635577412243512E-2</v>
      </c>
      <c r="AK164" s="6">
        <f t="shared" si="220"/>
        <v>1.3566220111921316E-2</v>
      </c>
      <c r="AL164" s="6">
        <f t="shared" si="221"/>
        <v>0.12543666270985249</v>
      </c>
      <c r="AM164" s="6">
        <f t="shared" si="222"/>
        <v>4.2530100050873331E-3</v>
      </c>
      <c r="AN164" s="6">
        <f t="shared" si="223"/>
        <v>1.3181617771748344</v>
      </c>
      <c r="AO164" s="7">
        <v>5</v>
      </c>
      <c r="AP164" s="7">
        <v>1</v>
      </c>
      <c r="AQ164" s="7">
        <v>0</v>
      </c>
      <c r="AR164" s="10">
        <v>0</v>
      </c>
      <c r="AS164" s="7">
        <v>0</v>
      </c>
      <c r="AT164" s="7">
        <v>0</v>
      </c>
      <c r="AU164" s="7">
        <v>0</v>
      </c>
      <c r="AV164" s="7">
        <v>0</v>
      </c>
      <c r="AW164" s="7">
        <v>31</v>
      </c>
      <c r="AX164" s="7">
        <v>1</v>
      </c>
      <c r="AY164" s="5">
        <v>7</v>
      </c>
      <c r="AZ164" s="7">
        <v>0</v>
      </c>
      <c r="BA164" s="7">
        <v>0</v>
      </c>
      <c r="BB164" s="7">
        <v>0</v>
      </c>
      <c r="BC164" s="7">
        <v>1</v>
      </c>
      <c r="BD164" s="7">
        <v>1</v>
      </c>
      <c r="BE164" s="7">
        <v>0</v>
      </c>
      <c r="BF164" s="7">
        <v>0</v>
      </c>
      <c r="BG164" s="7">
        <v>0</v>
      </c>
      <c r="BH164" s="7">
        <v>0</v>
      </c>
      <c r="BI164" s="7">
        <v>0</v>
      </c>
      <c r="BJ164" s="7">
        <v>1</v>
      </c>
      <c r="BK164" s="11">
        <v>1</v>
      </c>
      <c r="BL164" s="3" t="s">
        <v>984</v>
      </c>
      <c r="BM164" s="3">
        <v>0</v>
      </c>
    </row>
    <row r="165" spans="1:65" ht="20.100000000000001" customHeight="1" x14ac:dyDescent="0.3">
      <c r="A165" s="3" t="s">
        <v>23</v>
      </c>
      <c r="B165" s="3">
        <v>10</v>
      </c>
      <c r="C165" s="8">
        <v>44374</v>
      </c>
      <c r="D165" s="9">
        <v>0.30069444444444443</v>
      </c>
      <c r="E165" s="4">
        <v>68</v>
      </c>
      <c r="F165" s="3">
        <v>0</v>
      </c>
      <c r="G165" s="3">
        <v>0</v>
      </c>
      <c r="H165" s="3">
        <v>0</v>
      </c>
      <c r="I165" s="3">
        <v>0</v>
      </c>
      <c r="J165" s="9">
        <v>0.30208333333333331</v>
      </c>
      <c r="K165" s="3">
        <v>143.6</v>
      </c>
      <c r="L165" s="11">
        <f t="shared" ref="L165" si="292">K165-K164</f>
        <v>2.4000000000000057</v>
      </c>
      <c r="M165" s="5">
        <f t="shared" ref="M165" si="293">AB164</f>
        <v>2948.5</v>
      </c>
      <c r="N165" s="11">
        <v>31.5</v>
      </c>
      <c r="O165" s="11">
        <v>32.5</v>
      </c>
      <c r="P165" s="11">
        <v>10.875</v>
      </c>
      <c r="Q165" s="11">
        <v>10.875</v>
      </c>
      <c r="R165" s="11">
        <v>19.75</v>
      </c>
      <c r="S165" s="11">
        <v>19.75</v>
      </c>
      <c r="T165" s="11">
        <v>15</v>
      </c>
      <c r="U165" s="11">
        <v>15</v>
      </c>
      <c r="V165" s="11">
        <v>17</v>
      </c>
      <c r="W165" s="11">
        <v>15</v>
      </c>
      <c r="X165" s="11">
        <v>7</v>
      </c>
      <c r="Y165" s="11">
        <v>7</v>
      </c>
      <c r="Z165" s="3" t="s">
        <v>895</v>
      </c>
      <c r="AA165" s="10" t="s">
        <v>896</v>
      </c>
      <c r="AB165" s="5">
        <f>325+20+130+130+135+160+210+580+140+525+168.8+148.9+160</f>
        <v>2832.7000000000003</v>
      </c>
      <c r="AC165" s="6">
        <f>11.25+1.5+14+4.5+5.25+10+18+10+6+24.5+4+0.4+4.9+11.1</f>
        <v>125.4</v>
      </c>
      <c r="AD165" s="6">
        <f>6.25+1+2+0.5+1.5+7+10.5+6+0+1.75+1+0.4+0.8+3.8</f>
        <v>42.499999999999993</v>
      </c>
      <c r="AE165" s="6">
        <f>13.75+2+0+2+4.5+12+15+18+0+7+4+1.2+7.11+2.44</f>
        <v>89</v>
      </c>
      <c r="AF165" s="6">
        <f>41.25+0+0+19+18+2+0+104+20+73.5+27+0.8+18.7+12.9</f>
        <v>337.15</v>
      </c>
      <c r="AG165" s="6">
        <f>2.5+0+0+1+4.5+0+0+2+0+7+1+0.4+0.9+0.7</f>
        <v>19.999999999999996</v>
      </c>
      <c r="AH165" s="6">
        <f>575+100+0+250+690+380+510+420+60+1015+301+4+822.2+431.1</f>
        <v>5558.3</v>
      </c>
      <c r="AI165" s="6">
        <f t="shared" si="218"/>
        <v>4.4268718890104843E-2</v>
      </c>
      <c r="AJ165" s="6">
        <f t="shared" si="219"/>
        <v>1.5003353690825004E-2</v>
      </c>
      <c r="AK165" s="6">
        <f t="shared" si="220"/>
        <v>3.1418787729021777E-2</v>
      </c>
      <c r="AL165" s="6">
        <f t="shared" si="221"/>
        <v>0.11902072227909766</v>
      </c>
      <c r="AM165" s="6">
        <f t="shared" si="222"/>
        <v>7.0604017368588257E-3</v>
      </c>
      <c r="AN165" s="6">
        <f t="shared" si="223"/>
        <v>1.9621915486991208</v>
      </c>
      <c r="AO165" s="7">
        <v>5</v>
      </c>
      <c r="AP165" s="7">
        <v>2</v>
      </c>
      <c r="AQ165" s="7">
        <v>0</v>
      </c>
      <c r="AR165" s="10">
        <v>0</v>
      </c>
      <c r="AS165" s="7">
        <v>0</v>
      </c>
      <c r="AT165" s="7">
        <v>0</v>
      </c>
      <c r="AU165" s="7">
        <v>0</v>
      </c>
      <c r="AV165" s="7">
        <v>0</v>
      </c>
      <c r="AW165" s="7">
        <v>31</v>
      </c>
      <c r="AX165" s="7">
        <v>1</v>
      </c>
      <c r="AY165" s="5">
        <v>6</v>
      </c>
      <c r="AZ165" s="7">
        <v>0</v>
      </c>
      <c r="BA165" s="7">
        <v>0</v>
      </c>
      <c r="BB165" s="7">
        <v>0</v>
      </c>
      <c r="BC165" s="7">
        <v>1</v>
      </c>
      <c r="BD165" s="7">
        <v>1</v>
      </c>
      <c r="BE165" s="7">
        <v>0</v>
      </c>
      <c r="BF165" s="7">
        <v>0</v>
      </c>
      <c r="BG165" s="7">
        <v>0</v>
      </c>
      <c r="BH165" s="7">
        <v>0</v>
      </c>
      <c r="BI165" s="7">
        <v>0</v>
      </c>
      <c r="BJ165" s="7">
        <v>1</v>
      </c>
      <c r="BK165" s="11">
        <v>1</v>
      </c>
      <c r="BL165" s="3" t="s">
        <v>984</v>
      </c>
      <c r="BM165" s="3">
        <v>0</v>
      </c>
    </row>
    <row r="166" spans="1:65" ht="20.100000000000001" customHeight="1" x14ac:dyDescent="0.3">
      <c r="A166" s="3" t="s">
        <v>15</v>
      </c>
      <c r="B166" s="3">
        <v>11</v>
      </c>
      <c r="C166" s="8">
        <v>44375</v>
      </c>
      <c r="D166" s="9">
        <v>0.30555555555555552</v>
      </c>
      <c r="E166" s="4">
        <v>68</v>
      </c>
      <c r="F166" s="3">
        <v>0</v>
      </c>
      <c r="G166" s="3">
        <v>0</v>
      </c>
      <c r="H166" s="3">
        <v>0</v>
      </c>
      <c r="I166" s="3">
        <v>0</v>
      </c>
      <c r="J166" s="9">
        <v>0.31111111111111112</v>
      </c>
      <c r="K166" s="3">
        <v>144</v>
      </c>
      <c r="L166" s="11">
        <f t="shared" ref="L166" si="294">K166-K165</f>
        <v>0.40000000000000568</v>
      </c>
      <c r="M166" s="5">
        <f t="shared" ref="M166" si="295">AB165</f>
        <v>2832.7000000000003</v>
      </c>
      <c r="N166" s="11">
        <v>31</v>
      </c>
      <c r="O166" s="11">
        <v>32</v>
      </c>
      <c r="P166" s="11">
        <v>10.75</v>
      </c>
      <c r="Q166" s="11">
        <v>10.75</v>
      </c>
      <c r="R166" s="11">
        <v>19.625</v>
      </c>
      <c r="S166" s="11">
        <v>19.625</v>
      </c>
      <c r="T166" s="11">
        <v>15</v>
      </c>
      <c r="U166" s="11">
        <v>15</v>
      </c>
      <c r="V166" s="11">
        <v>15</v>
      </c>
      <c r="W166" s="11">
        <v>15</v>
      </c>
      <c r="X166" s="11">
        <v>7</v>
      </c>
      <c r="Y166" s="11">
        <v>7</v>
      </c>
      <c r="Z166" s="3" t="s">
        <v>900</v>
      </c>
      <c r="AA166" s="10" t="s">
        <v>899</v>
      </c>
      <c r="AB166" s="5">
        <f>260+20+80+45+130+180+420+578.5+204</f>
        <v>1917.5</v>
      </c>
      <c r="AC166" s="6">
        <f>9+1.5+5+1.75+4.5+0+16+11.1+20.4</f>
        <v>69.25</v>
      </c>
      <c r="AD166" s="6">
        <f>5+1+3.5+0.5+0.5+0+4+2.2+12.8</f>
        <v>29.5</v>
      </c>
      <c r="AE166" s="6">
        <f>11+2+6+1.5+2+3+10+17.7+4.4</f>
        <v>57.6</v>
      </c>
      <c r="AF166" s="6">
        <f>33+0+1+6+19+33+62+101.75+1.6</f>
        <v>257.35000000000002</v>
      </c>
      <c r="AG166" s="6">
        <f>2+0+0+1.5+1+0+2+8.25+0</f>
        <v>14.75</v>
      </c>
      <c r="AH166" s="6">
        <f>460+100+190+230+250+75+640+1731+172</f>
        <v>3848</v>
      </c>
      <c r="AI166" s="6">
        <f t="shared" si="218"/>
        <v>3.6114732724902218E-2</v>
      </c>
      <c r="AJ166" s="6">
        <f t="shared" si="219"/>
        <v>1.5384615384615385E-2</v>
      </c>
      <c r="AK166" s="6">
        <f t="shared" si="220"/>
        <v>3.0039113428943939E-2</v>
      </c>
      <c r="AL166" s="6">
        <f t="shared" si="221"/>
        <v>0.13421121251629728</v>
      </c>
      <c r="AM166" s="6">
        <f t="shared" si="222"/>
        <v>7.6923076923076927E-3</v>
      </c>
      <c r="AN166" s="6">
        <f t="shared" si="223"/>
        <v>2.006779661016949</v>
      </c>
      <c r="AO166" s="7">
        <v>5</v>
      </c>
      <c r="AP166" s="7">
        <v>2</v>
      </c>
      <c r="AQ166" s="7">
        <v>0</v>
      </c>
      <c r="AR166" s="10">
        <v>0</v>
      </c>
      <c r="AS166" s="7">
        <v>0</v>
      </c>
      <c r="AT166" s="7">
        <v>0</v>
      </c>
      <c r="AU166" s="7">
        <v>0</v>
      </c>
      <c r="AV166" s="7">
        <v>0</v>
      </c>
      <c r="AW166" s="7">
        <v>31</v>
      </c>
      <c r="AX166" s="7">
        <v>1</v>
      </c>
      <c r="AY166" s="5">
        <v>6.33</v>
      </c>
      <c r="AZ166" s="7">
        <v>0</v>
      </c>
      <c r="BA166" s="7">
        <v>0</v>
      </c>
      <c r="BB166" s="7">
        <v>0</v>
      </c>
      <c r="BC166" s="7">
        <v>1</v>
      </c>
      <c r="BD166" s="7">
        <v>1</v>
      </c>
      <c r="BE166" s="7">
        <v>0</v>
      </c>
      <c r="BF166" s="7">
        <v>1</v>
      </c>
      <c r="BG166" s="7">
        <v>20</v>
      </c>
      <c r="BH166" s="7">
        <v>0</v>
      </c>
      <c r="BI166" s="7">
        <v>0</v>
      </c>
      <c r="BJ166" s="7">
        <v>1</v>
      </c>
      <c r="BK166" s="11">
        <v>1</v>
      </c>
      <c r="BL166" s="3" t="s">
        <v>980</v>
      </c>
      <c r="BM166" s="3">
        <v>0</v>
      </c>
    </row>
    <row r="167" spans="1:65" ht="20.100000000000001" customHeight="1" x14ac:dyDescent="0.3">
      <c r="A167" s="3" t="s">
        <v>16</v>
      </c>
      <c r="B167" s="3">
        <v>12</v>
      </c>
      <c r="C167" s="8">
        <v>44376</v>
      </c>
      <c r="D167" s="9">
        <v>0.27152777777777776</v>
      </c>
      <c r="E167" s="4">
        <v>67</v>
      </c>
      <c r="F167" s="3">
        <v>0</v>
      </c>
      <c r="G167" s="3">
        <v>0</v>
      </c>
      <c r="H167" s="3">
        <v>0</v>
      </c>
      <c r="I167" s="3">
        <v>0</v>
      </c>
      <c r="J167" s="9">
        <v>0.86805555555555547</v>
      </c>
      <c r="K167" s="3">
        <v>144.19999999999999</v>
      </c>
      <c r="L167" s="11">
        <f t="shared" ref="L167" si="296">K167-K166</f>
        <v>0.19999999999998863</v>
      </c>
      <c r="M167" s="5">
        <f t="shared" ref="M167" si="297">AB166</f>
        <v>1917.5</v>
      </c>
      <c r="N167" s="11">
        <v>31.5</v>
      </c>
      <c r="O167" s="11">
        <v>32.5</v>
      </c>
      <c r="P167" s="11">
        <v>10.75</v>
      </c>
      <c r="Q167" s="11">
        <v>10.75</v>
      </c>
      <c r="R167" s="11">
        <v>20</v>
      </c>
      <c r="S167" s="11">
        <v>20</v>
      </c>
      <c r="T167" s="11">
        <v>15</v>
      </c>
      <c r="U167" s="11">
        <v>14</v>
      </c>
      <c r="V167" s="11">
        <v>17</v>
      </c>
      <c r="W167" s="11">
        <v>15</v>
      </c>
      <c r="X167" s="11">
        <v>7</v>
      </c>
      <c r="Y167" s="11">
        <v>7</v>
      </c>
      <c r="Z167" s="3" t="s">
        <v>901</v>
      </c>
      <c r="AA167" s="10" t="s">
        <v>903</v>
      </c>
      <c r="AB167" s="5">
        <f>120+420+440+240+20+16+160+240+150+161+120+218+270</f>
        <v>2575</v>
      </c>
      <c r="AC167" s="6">
        <f>0+16+6+28+1.5+0.8+10+28+0+14.5+10+23.1+0</f>
        <v>137.9</v>
      </c>
      <c r="AD167" s="6">
        <f>0+4+0+4+1+0.8+7+4+0+2+7+3.6+0</f>
        <v>33.4</v>
      </c>
      <c r="AE167" s="6">
        <f>2+10+12+0+2+2.4+12+0+3+2+2+0.5+0</f>
        <v>47.9</v>
      </c>
      <c r="AF167" s="6">
        <f>22+62+80+0+0+1.6+2+0+14+8.5+4+3+75</f>
        <v>272.10000000000002</v>
      </c>
      <c r="AG167" s="6">
        <f>0+2+4+0+0+0.8+0+0+3+6.5+0+0.3+0</f>
        <v>16.600000000000001</v>
      </c>
      <c r="AH167" s="6">
        <f>50+640+760+0+200+8+380+0+30+7+30+367+90</f>
        <v>2562</v>
      </c>
      <c r="AI167" s="6">
        <f t="shared" si="218"/>
        <v>5.3553398058252433E-2</v>
      </c>
      <c r="AJ167" s="6">
        <f t="shared" si="219"/>
        <v>1.2970873786407766E-2</v>
      </c>
      <c r="AK167" s="6">
        <f t="shared" si="220"/>
        <v>1.8601941747572816E-2</v>
      </c>
      <c r="AL167" s="6">
        <f t="shared" si="221"/>
        <v>0.10566990291262136</v>
      </c>
      <c r="AM167" s="6">
        <f t="shared" si="222"/>
        <v>6.4466019417475737E-3</v>
      </c>
      <c r="AN167" s="6">
        <f t="shared" si="223"/>
        <v>0.99495145631067961</v>
      </c>
      <c r="AO167" s="7">
        <v>5</v>
      </c>
      <c r="AP167" s="7">
        <v>1</v>
      </c>
      <c r="AQ167" s="7">
        <v>0</v>
      </c>
      <c r="AR167" s="10">
        <v>0</v>
      </c>
      <c r="AS167" s="7">
        <v>0</v>
      </c>
      <c r="AT167" s="7">
        <v>0</v>
      </c>
      <c r="AU167" s="7">
        <v>0</v>
      </c>
      <c r="AV167" s="7">
        <v>0</v>
      </c>
      <c r="AW167" s="7">
        <v>31</v>
      </c>
      <c r="AX167" s="7">
        <v>1</v>
      </c>
      <c r="AY167" s="5">
        <v>6</v>
      </c>
      <c r="AZ167" s="7">
        <v>0</v>
      </c>
      <c r="BA167" s="7">
        <v>0</v>
      </c>
      <c r="BB167" s="7">
        <v>0</v>
      </c>
      <c r="BC167" s="7">
        <v>1</v>
      </c>
      <c r="BD167" s="7">
        <v>1</v>
      </c>
      <c r="BE167" s="7">
        <v>0</v>
      </c>
      <c r="BF167" s="7">
        <v>1</v>
      </c>
      <c r="BG167" s="7">
        <v>5</v>
      </c>
      <c r="BH167" s="7">
        <v>0</v>
      </c>
      <c r="BI167" s="7">
        <v>0</v>
      </c>
      <c r="BJ167" s="7">
        <v>1</v>
      </c>
      <c r="BK167" s="11">
        <v>1</v>
      </c>
      <c r="BL167" s="3" t="s">
        <v>980</v>
      </c>
      <c r="BM167" s="3">
        <v>0</v>
      </c>
    </row>
    <row r="168" spans="1:65" ht="20.100000000000001" customHeight="1" x14ac:dyDescent="0.3">
      <c r="A168" s="3" t="s">
        <v>17</v>
      </c>
      <c r="B168" s="3">
        <v>13</v>
      </c>
      <c r="C168" s="8">
        <v>44377</v>
      </c>
      <c r="D168" s="9">
        <v>0.27499999999999997</v>
      </c>
      <c r="E168" s="4">
        <v>66</v>
      </c>
      <c r="F168" s="3">
        <v>0</v>
      </c>
      <c r="G168" s="3">
        <v>0</v>
      </c>
      <c r="H168" s="3">
        <v>0</v>
      </c>
      <c r="I168" s="3">
        <v>0</v>
      </c>
      <c r="J168" s="9">
        <v>0.30555555555555552</v>
      </c>
      <c r="K168" s="3">
        <v>142.80000000000001</v>
      </c>
      <c r="L168" s="11">
        <f t="shared" ref="L168" si="298">K168-K167</f>
        <v>-1.3999999999999773</v>
      </c>
      <c r="M168" s="5">
        <f t="shared" ref="M168" si="299">AB167</f>
        <v>2575</v>
      </c>
      <c r="N168" s="11">
        <v>31</v>
      </c>
      <c r="O168" s="11">
        <v>32</v>
      </c>
      <c r="P168" s="11">
        <v>10.75</v>
      </c>
      <c r="Q168" s="11">
        <v>10.5</v>
      </c>
      <c r="R168" s="11">
        <v>19.5</v>
      </c>
      <c r="S168" s="11">
        <v>19.5</v>
      </c>
      <c r="T168" s="11">
        <v>15</v>
      </c>
      <c r="U168" s="11">
        <v>14</v>
      </c>
      <c r="V168" s="11">
        <v>17</v>
      </c>
      <c r="W168" s="11">
        <v>15</v>
      </c>
      <c r="X168" s="11">
        <v>7</v>
      </c>
      <c r="Y168" s="11">
        <v>7</v>
      </c>
      <c r="Z168" s="3" t="s">
        <v>904</v>
      </c>
      <c r="AA168" s="10" t="s">
        <v>906</v>
      </c>
      <c r="AB168" s="5">
        <f>700+420+90+1562+50+148.9+22.5</f>
        <v>2993.4</v>
      </c>
      <c r="AC168" s="6">
        <f>0+16+0+46.5+0.5+4.89+0.88</f>
        <v>68.77</v>
      </c>
      <c r="AD168" s="6">
        <f>0+4+0+4+0+0.78+0.25</f>
        <v>9.0299999999999994</v>
      </c>
      <c r="AE168" s="6">
        <f>0+10+0+91.5+0+7.11+0.75</f>
        <v>109.36</v>
      </c>
      <c r="AF168" s="6">
        <f>170+62+25+202+11+18.67+3</f>
        <v>491.67</v>
      </c>
      <c r="AG168" s="6">
        <f>0+2+0+74.5+0+0.89+0.75</f>
        <v>78.14</v>
      </c>
      <c r="AH168" s="6">
        <f>200+640+30+3955+25+822.2+115</f>
        <v>5787.2</v>
      </c>
      <c r="AI168" s="6">
        <f t="shared" si="218"/>
        <v>2.2973875860225829E-2</v>
      </c>
      <c r="AJ168" s="6">
        <f t="shared" si="219"/>
        <v>3.0166366005211463E-3</v>
      </c>
      <c r="AK168" s="6">
        <f t="shared" si="220"/>
        <v>3.6533707489810913E-2</v>
      </c>
      <c r="AL168" s="6">
        <f t="shared" si="221"/>
        <v>0.16425135297654841</v>
      </c>
      <c r="AM168" s="6">
        <f t="shared" si="222"/>
        <v>2.6104095677156412E-2</v>
      </c>
      <c r="AN168" s="6">
        <f t="shared" si="223"/>
        <v>1.933319970601991</v>
      </c>
      <c r="AO168" s="7">
        <v>5</v>
      </c>
      <c r="AP168" s="7">
        <v>1</v>
      </c>
      <c r="AQ168" s="7">
        <v>0</v>
      </c>
      <c r="AR168" s="10">
        <v>0</v>
      </c>
      <c r="AS168" s="7">
        <v>0</v>
      </c>
      <c r="AT168" s="7">
        <v>0</v>
      </c>
      <c r="AU168" s="7">
        <v>0</v>
      </c>
      <c r="AV168" s="7">
        <v>0</v>
      </c>
      <c r="AW168" s="7">
        <v>31</v>
      </c>
      <c r="AX168" s="7">
        <v>1</v>
      </c>
      <c r="AY168" s="5">
        <v>6</v>
      </c>
      <c r="AZ168" s="7">
        <v>0</v>
      </c>
      <c r="BA168" s="7">
        <v>0</v>
      </c>
      <c r="BB168" s="7">
        <v>0</v>
      </c>
      <c r="BC168" s="7">
        <v>1</v>
      </c>
      <c r="BD168" s="7">
        <v>1</v>
      </c>
      <c r="BE168" s="7">
        <v>0</v>
      </c>
      <c r="BF168" s="7">
        <v>0</v>
      </c>
      <c r="BG168" s="7">
        <v>0</v>
      </c>
      <c r="BH168" s="7">
        <v>0</v>
      </c>
      <c r="BI168" s="7">
        <v>0</v>
      </c>
      <c r="BJ168" s="7">
        <v>1</v>
      </c>
      <c r="BK168" s="11">
        <v>1</v>
      </c>
      <c r="BL168" s="3" t="s">
        <v>980</v>
      </c>
      <c r="BM168" s="3">
        <v>0</v>
      </c>
    </row>
    <row r="169" spans="1:65" ht="20.100000000000001" customHeight="1" x14ac:dyDescent="0.3">
      <c r="A169" s="3" t="s">
        <v>18</v>
      </c>
      <c r="B169" s="3">
        <v>14</v>
      </c>
      <c r="C169" s="8">
        <v>44378</v>
      </c>
      <c r="D169" s="9">
        <v>0.3125</v>
      </c>
      <c r="E169" s="4">
        <v>65</v>
      </c>
      <c r="F169" s="3">
        <v>0</v>
      </c>
      <c r="G169" s="3">
        <v>0</v>
      </c>
      <c r="H169" s="3">
        <v>0</v>
      </c>
      <c r="I169" s="3">
        <v>0</v>
      </c>
      <c r="J169" s="9">
        <v>0.32083333333333336</v>
      </c>
      <c r="K169" s="3">
        <v>145</v>
      </c>
      <c r="L169" s="11">
        <f t="shared" ref="L169" si="300">K169-K168</f>
        <v>2.1999999999999886</v>
      </c>
      <c r="M169" s="5">
        <f t="shared" ref="M169" si="301">AB168</f>
        <v>2993.4</v>
      </c>
      <c r="N169" s="11">
        <v>31.25</v>
      </c>
      <c r="O169" s="11">
        <v>32</v>
      </c>
      <c r="P169" s="11">
        <v>10.875</v>
      </c>
      <c r="Q169" s="11">
        <v>10.75</v>
      </c>
      <c r="R169" s="11">
        <v>19.875</v>
      </c>
      <c r="S169" s="11">
        <v>19.875</v>
      </c>
      <c r="T169" s="11">
        <v>15</v>
      </c>
      <c r="U169" s="11">
        <v>13</v>
      </c>
      <c r="V169" s="11">
        <v>18</v>
      </c>
      <c r="W169" s="11">
        <v>16</v>
      </c>
      <c r="X169" s="11">
        <v>7</v>
      </c>
      <c r="Y169" s="11">
        <v>7</v>
      </c>
      <c r="Z169" s="3" t="s">
        <v>911</v>
      </c>
      <c r="AA169" s="10" t="s">
        <v>910</v>
      </c>
      <c r="AB169" s="5">
        <f>463+700+833+210+210+440+40+240+80+45+140</f>
        <v>3401</v>
      </c>
      <c r="AC169" s="6">
        <f>15.6+0+43+8+11+6+3+28+5+1.75+12</f>
        <v>133.35</v>
      </c>
      <c r="AD169" s="6">
        <f>4.5+0+10+2+9+0+2+4+3.5+0.5+7</f>
        <v>42.5</v>
      </c>
      <c r="AE169" s="6">
        <f>4.4+0+20+5+20+12+4+0+6+1.5+10</f>
        <v>82.9</v>
      </c>
      <c r="AF169" s="6">
        <f>78.9+170+86.7+31+7+80+0+0+1+6+0</f>
        <v>460.6</v>
      </c>
      <c r="AG169" s="6">
        <f>2.6+0+0+1+1+4+0+0+0+1.5+0</f>
        <v>10.1</v>
      </c>
      <c r="AH169" s="6">
        <f>265+200+1166.7+320+450+760+200+0+190+230+340</f>
        <v>4121.7</v>
      </c>
      <c r="AI169" s="6">
        <f t="shared" si="218"/>
        <v>3.9209056159952953E-2</v>
      </c>
      <c r="AJ169" s="6">
        <f t="shared" si="219"/>
        <v>1.2496324610408704E-2</v>
      </c>
      <c r="AK169" s="6">
        <f t="shared" si="220"/>
        <v>2.4375183769479565E-2</v>
      </c>
      <c r="AL169" s="6">
        <f t="shared" si="221"/>
        <v>0.13543075566009999</v>
      </c>
      <c r="AM169" s="6">
        <f t="shared" si="222"/>
        <v>2.9697147897677152E-3</v>
      </c>
      <c r="AN169" s="6">
        <f t="shared" si="223"/>
        <v>1.2119082622758013</v>
      </c>
      <c r="AO169" s="7">
        <v>5</v>
      </c>
      <c r="AP169" s="7">
        <v>1</v>
      </c>
      <c r="AQ169" s="7">
        <v>0</v>
      </c>
      <c r="AR169" s="10">
        <v>0</v>
      </c>
      <c r="AS169" s="7">
        <v>0</v>
      </c>
      <c r="AT169" s="7">
        <v>0</v>
      </c>
      <c r="AU169" s="7">
        <v>0</v>
      </c>
      <c r="AV169" s="7">
        <v>0</v>
      </c>
      <c r="AW169" s="7">
        <v>0</v>
      </c>
      <c r="AX169" s="7">
        <v>0</v>
      </c>
      <c r="AY169" s="5">
        <v>6.6</v>
      </c>
      <c r="AZ169" s="7">
        <v>0</v>
      </c>
      <c r="BA169" s="7">
        <v>0</v>
      </c>
      <c r="BB169" s="7">
        <v>0</v>
      </c>
      <c r="BC169" s="7">
        <v>1</v>
      </c>
      <c r="BD169" s="7">
        <v>1</v>
      </c>
      <c r="BE169" s="7">
        <v>0</v>
      </c>
      <c r="BF169" s="7">
        <v>2</v>
      </c>
      <c r="BG169" s="7">
        <v>20</v>
      </c>
      <c r="BH169" s="7">
        <v>0</v>
      </c>
      <c r="BI169" s="7">
        <v>0</v>
      </c>
      <c r="BJ169" s="7">
        <v>1</v>
      </c>
      <c r="BK169" s="11">
        <v>2</v>
      </c>
      <c r="BL169" s="3" t="s">
        <v>980</v>
      </c>
      <c r="BM169" s="3">
        <v>0</v>
      </c>
    </row>
    <row r="170" spans="1:65" ht="20.100000000000001" customHeight="1" x14ac:dyDescent="0.3">
      <c r="A170" s="3" t="s">
        <v>137</v>
      </c>
      <c r="B170" s="3">
        <v>15</v>
      </c>
      <c r="C170" s="8">
        <v>44379</v>
      </c>
      <c r="D170" s="9">
        <v>0.27152777777777776</v>
      </c>
      <c r="E170" s="4">
        <v>68</v>
      </c>
      <c r="F170" s="3">
        <v>0</v>
      </c>
      <c r="G170" s="3">
        <v>0</v>
      </c>
      <c r="H170" s="3">
        <v>0</v>
      </c>
      <c r="I170" s="3">
        <v>0</v>
      </c>
      <c r="J170" s="9">
        <v>0.2722222222222222</v>
      </c>
      <c r="K170" s="3">
        <v>144.80000000000001</v>
      </c>
      <c r="L170" s="11">
        <f t="shared" ref="L170" si="302">K170-K169</f>
        <v>-0.19999999999998863</v>
      </c>
      <c r="M170" s="5">
        <f t="shared" ref="M170" si="303">AB169</f>
        <v>3401</v>
      </c>
      <c r="N170" s="11">
        <v>31.5</v>
      </c>
      <c r="O170" s="11">
        <v>32.75</v>
      </c>
      <c r="P170" s="11">
        <v>10.625</v>
      </c>
      <c r="Q170" s="11">
        <v>10.75</v>
      </c>
      <c r="R170" s="11">
        <v>19.75</v>
      </c>
      <c r="S170" s="11">
        <v>19.75</v>
      </c>
      <c r="T170" s="11">
        <v>16</v>
      </c>
      <c r="U170" s="11">
        <v>14</v>
      </c>
      <c r="V170" s="11">
        <v>17</v>
      </c>
      <c r="W170" s="11">
        <v>17</v>
      </c>
      <c r="X170" s="11">
        <v>7</v>
      </c>
      <c r="Y170" s="11">
        <v>7</v>
      </c>
      <c r="Z170" s="3" t="s">
        <v>912</v>
      </c>
      <c r="AA170" s="10" t="s">
        <v>913</v>
      </c>
      <c r="AB170" s="5">
        <f>210+220+20+240+554.5+204+140+916.7+210+140+173.6</f>
        <v>3028.7999999999997</v>
      </c>
      <c r="AC170" s="6">
        <f>11+3+1.5+28+11.2+20.4+6+47.7+8+0+5.85</f>
        <v>142.65</v>
      </c>
      <c r="AD170" s="6">
        <f>9+0+1+4+2.15+12.8+0+11+2+0+1.7</f>
        <v>43.650000000000006</v>
      </c>
      <c r="AE170" s="6">
        <f>20+6+2+0+17.8+4.4+0+22+5+0+1.65</f>
        <v>78.849999999999994</v>
      </c>
      <c r="AF170" s="6">
        <f>7+40+0+0+97+1.6+20+95.3+31+34+29.6</f>
        <v>355.5</v>
      </c>
      <c r="AG170" s="6">
        <f>1+2+0+0+8.35+0+0+0+1+0+1</f>
        <v>13.35</v>
      </c>
      <c r="AH170" s="6">
        <f>450+380+100+0+901+172+60+1283.3+320+40+99.4</f>
        <v>3805.7000000000003</v>
      </c>
      <c r="AI170" s="6">
        <f t="shared" si="218"/>
        <v>4.7097860538827266E-2</v>
      </c>
      <c r="AJ170" s="6">
        <f t="shared" si="219"/>
        <v>1.4411648177496041E-2</v>
      </c>
      <c r="AK170" s="6">
        <f t="shared" si="220"/>
        <v>2.6033412572636028E-2</v>
      </c>
      <c r="AL170" s="6">
        <f t="shared" si="221"/>
        <v>0.11737321711568939</v>
      </c>
      <c r="AM170" s="6">
        <f t="shared" si="222"/>
        <v>4.4076862123613317E-3</v>
      </c>
      <c r="AN170" s="6">
        <f t="shared" si="223"/>
        <v>1.2565042260961439</v>
      </c>
      <c r="AO170" s="7">
        <v>5</v>
      </c>
      <c r="AP170" s="7">
        <v>1</v>
      </c>
      <c r="AQ170" s="7">
        <v>0</v>
      </c>
      <c r="AR170" s="10">
        <v>0</v>
      </c>
      <c r="AS170" s="7">
        <v>0</v>
      </c>
      <c r="AT170" s="7">
        <v>0</v>
      </c>
      <c r="AU170" s="7">
        <v>0</v>
      </c>
      <c r="AV170" s="7">
        <v>0</v>
      </c>
      <c r="AW170" s="7">
        <v>31</v>
      </c>
      <c r="AX170" s="7">
        <v>1</v>
      </c>
      <c r="AY170" s="5">
        <v>8</v>
      </c>
      <c r="AZ170" s="7">
        <v>0</v>
      </c>
      <c r="BA170" s="7">
        <v>0</v>
      </c>
      <c r="BB170" s="7">
        <v>0</v>
      </c>
      <c r="BC170" s="7">
        <v>1</v>
      </c>
      <c r="BD170" s="7">
        <v>1</v>
      </c>
      <c r="BE170" s="7">
        <v>0</v>
      </c>
      <c r="BF170" s="7">
        <v>0</v>
      </c>
      <c r="BG170" s="7">
        <v>0</v>
      </c>
      <c r="BH170" s="7">
        <v>0</v>
      </c>
      <c r="BI170" s="7">
        <v>0</v>
      </c>
      <c r="BJ170" s="7">
        <v>1</v>
      </c>
      <c r="BK170" s="11">
        <v>2</v>
      </c>
      <c r="BL170" s="3" t="s">
        <v>980</v>
      </c>
      <c r="BM170" s="3">
        <v>0</v>
      </c>
    </row>
    <row r="171" spans="1:65" ht="20.100000000000001" customHeight="1" x14ac:dyDescent="0.3">
      <c r="A171" s="3" t="s">
        <v>19</v>
      </c>
      <c r="B171" s="3">
        <v>16</v>
      </c>
      <c r="C171" s="8">
        <v>44380</v>
      </c>
      <c r="D171" s="9">
        <v>0.27986111111111112</v>
      </c>
      <c r="E171" s="4">
        <v>70</v>
      </c>
      <c r="F171" s="3">
        <v>0</v>
      </c>
      <c r="G171" s="3">
        <v>0</v>
      </c>
      <c r="H171" s="3">
        <v>0</v>
      </c>
      <c r="I171" s="3">
        <v>0</v>
      </c>
      <c r="J171" s="9">
        <v>0.28055555555555556</v>
      </c>
      <c r="K171" s="3">
        <v>145.80000000000001</v>
      </c>
      <c r="L171" s="11">
        <f t="shared" ref="L171" si="304">K171-K170</f>
        <v>1</v>
      </c>
      <c r="M171" s="5">
        <f t="shared" ref="M171" si="305">AB170</f>
        <v>3028.7999999999997</v>
      </c>
      <c r="N171" s="11">
        <v>31.5</v>
      </c>
      <c r="O171" s="11">
        <v>32.5</v>
      </c>
      <c r="P171" s="11">
        <v>10.75</v>
      </c>
      <c r="Q171" s="11">
        <v>10.75</v>
      </c>
      <c r="R171" s="11">
        <v>20</v>
      </c>
      <c r="S171" s="11">
        <v>20</v>
      </c>
      <c r="T171" s="11">
        <v>16</v>
      </c>
      <c r="U171" s="11">
        <v>15</v>
      </c>
      <c r="V171" s="11">
        <v>17</v>
      </c>
      <c r="W171" s="11">
        <v>13</v>
      </c>
      <c r="X171" s="11">
        <v>7</v>
      </c>
      <c r="Y171" s="11">
        <v>7</v>
      </c>
      <c r="Z171" s="3" t="s">
        <v>915</v>
      </c>
      <c r="AA171" s="10" t="s">
        <v>914</v>
      </c>
      <c r="AB171" s="5">
        <f>280+630+210+220+20+80+240+180+140+173.6+220+20+120+80</f>
        <v>2613.6</v>
      </c>
      <c r="AC171" s="6">
        <f>0+24+9+3+1.5+5+28+0+6+5.9+3+1.5+14+1</f>
        <v>101.9</v>
      </c>
      <c r="AD171" s="6">
        <f>0+6+1.5+0+1+3.5+4+0+0+1.7+0+1+2+0</f>
        <v>20.7</v>
      </c>
      <c r="AE171" s="6">
        <f>0+15+10.5+6+2+6+0+0+0+1.7+6+2+0+1</f>
        <v>50.2</v>
      </c>
      <c r="AF171" s="6">
        <f>68+93+19.5+40+0+1+0+50+20+29.6+40+0+0+16</f>
        <v>377.1</v>
      </c>
      <c r="AG171" s="6">
        <f>0+3+4.5+2+0+0+0+0+0+0.98+2+0+0+2.5</f>
        <v>14.98</v>
      </c>
      <c r="AH171" s="6">
        <f>80+960+600+380+100+190+0+60+60+99.4+380+100+0+100</f>
        <v>3109.4</v>
      </c>
      <c r="AI171" s="6">
        <f t="shared" si="218"/>
        <v>3.8988368533823085E-2</v>
      </c>
      <c r="AJ171" s="6">
        <f t="shared" si="219"/>
        <v>7.9201101928374658E-3</v>
      </c>
      <c r="AK171" s="6">
        <f t="shared" si="220"/>
        <v>1.9207223752678301E-2</v>
      </c>
      <c r="AL171" s="6">
        <f t="shared" si="221"/>
        <v>0.14428374655647383</v>
      </c>
      <c r="AM171" s="6">
        <f t="shared" si="222"/>
        <v>5.7315580042852773E-3</v>
      </c>
      <c r="AN171" s="6">
        <f t="shared" si="223"/>
        <v>1.1897000306091217</v>
      </c>
      <c r="AO171" s="7">
        <v>5</v>
      </c>
      <c r="AP171" s="7">
        <v>1</v>
      </c>
      <c r="AQ171" s="7">
        <v>0</v>
      </c>
      <c r="AR171" s="10">
        <v>0</v>
      </c>
      <c r="AS171" s="7">
        <v>0</v>
      </c>
      <c r="AT171" s="7">
        <v>0</v>
      </c>
      <c r="AU171" s="7">
        <v>0</v>
      </c>
      <c r="AV171" s="7">
        <v>0</v>
      </c>
      <c r="AW171" s="7">
        <v>31</v>
      </c>
      <c r="AX171" s="7">
        <v>1</v>
      </c>
      <c r="AY171" s="5">
        <v>5.3</v>
      </c>
      <c r="AZ171" s="7">
        <v>0</v>
      </c>
      <c r="BA171" s="7">
        <v>0</v>
      </c>
      <c r="BB171" s="7">
        <v>0</v>
      </c>
      <c r="BC171" s="7">
        <v>1</v>
      </c>
      <c r="BD171" s="7">
        <v>1</v>
      </c>
      <c r="BE171" s="7">
        <v>0</v>
      </c>
      <c r="BF171" s="7">
        <v>0</v>
      </c>
      <c r="BG171" s="7">
        <v>0</v>
      </c>
      <c r="BH171" s="7">
        <v>0</v>
      </c>
      <c r="BI171" s="7">
        <v>0</v>
      </c>
      <c r="BJ171" s="7">
        <v>1</v>
      </c>
      <c r="BK171" s="11">
        <v>3</v>
      </c>
      <c r="BL171" s="3" t="s">
        <v>980</v>
      </c>
      <c r="BM171" s="3">
        <v>0</v>
      </c>
    </row>
    <row r="172" spans="1:65" ht="20.100000000000001" customHeight="1" x14ac:dyDescent="0.3">
      <c r="A172" s="3" t="s">
        <v>23</v>
      </c>
      <c r="B172" s="3">
        <v>17</v>
      </c>
      <c r="C172" s="8">
        <v>44381</v>
      </c>
      <c r="D172" s="9">
        <v>0.32222222222222224</v>
      </c>
      <c r="E172" s="4">
        <v>65</v>
      </c>
      <c r="F172" s="3">
        <v>0</v>
      </c>
      <c r="G172" s="3">
        <v>0</v>
      </c>
      <c r="H172" s="3">
        <v>0</v>
      </c>
      <c r="I172" s="3">
        <v>0</v>
      </c>
      <c r="J172" s="9">
        <v>0.3576388888888889</v>
      </c>
      <c r="K172" s="3">
        <v>148.4</v>
      </c>
      <c r="L172" s="11">
        <f t="shared" ref="L172" si="306">K172-K171</f>
        <v>2.5999999999999943</v>
      </c>
      <c r="M172" s="5">
        <f t="shared" ref="M172" si="307">AB171</f>
        <v>2613.6</v>
      </c>
      <c r="N172" s="11">
        <v>31.5</v>
      </c>
      <c r="O172" s="11">
        <v>32.5</v>
      </c>
      <c r="P172" s="11">
        <v>10.75</v>
      </c>
      <c r="Q172" s="11">
        <v>10.75</v>
      </c>
      <c r="R172" s="11">
        <v>20</v>
      </c>
      <c r="S172" s="11">
        <v>20.25</v>
      </c>
      <c r="T172" s="11">
        <v>17</v>
      </c>
      <c r="U172" s="11">
        <v>14</v>
      </c>
      <c r="V172" s="11">
        <v>17</v>
      </c>
      <c r="W172" s="11">
        <v>13</v>
      </c>
      <c r="X172" s="11">
        <v>7</v>
      </c>
      <c r="Y172" s="11">
        <v>7</v>
      </c>
      <c r="Z172" s="3" t="s">
        <v>1014</v>
      </c>
      <c r="AA172" s="10" t="s">
        <v>916</v>
      </c>
      <c r="AB172" s="5">
        <f>210+173+90+118+27+240+20+280</f>
        <v>1158</v>
      </c>
      <c r="AC172" s="6">
        <f>8+6+0+5+0.6+28+1.5+0</f>
        <v>49.1</v>
      </c>
      <c r="AD172" s="6">
        <f>2+1.7+0+1.13+0.1+4+1+0</f>
        <v>9.93</v>
      </c>
      <c r="AE172" s="6">
        <f>5+1.65+0+2.81+2.1+0+2+0</f>
        <v>13.56</v>
      </c>
      <c r="AF172" s="6">
        <f>31+29.6+25+17.44+4.8+0+0+68</f>
        <v>175.83999999999997</v>
      </c>
      <c r="AG172" s="6">
        <f>1+0.98+0+0.56+1.8+0+0+0</f>
        <v>4.34</v>
      </c>
      <c r="AH172" s="6">
        <f>320+99.4+30+180+5.4+0+100+80</f>
        <v>814.8</v>
      </c>
      <c r="AI172" s="6">
        <f t="shared" si="218"/>
        <v>4.2400690846286705E-2</v>
      </c>
      <c r="AJ172" s="6">
        <f t="shared" si="219"/>
        <v>8.5751295336787565E-3</v>
      </c>
      <c r="AK172" s="6">
        <f t="shared" si="220"/>
        <v>1.1709844559585493E-2</v>
      </c>
      <c r="AL172" s="6">
        <f t="shared" si="221"/>
        <v>0.15184801381692573</v>
      </c>
      <c r="AM172" s="6">
        <f t="shared" si="222"/>
        <v>3.7478411053540584E-3</v>
      </c>
      <c r="AN172" s="6">
        <f t="shared" si="223"/>
        <v>0.70362694300518136</v>
      </c>
      <c r="AO172" s="7">
        <v>5</v>
      </c>
      <c r="AP172" s="7">
        <v>1</v>
      </c>
      <c r="AQ172" s="7">
        <v>0</v>
      </c>
      <c r="AR172" s="10">
        <v>0</v>
      </c>
      <c r="AS172" s="7">
        <v>0</v>
      </c>
      <c r="AT172" s="7">
        <v>0</v>
      </c>
      <c r="AU172" s="7">
        <v>0</v>
      </c>
      <c r="AV172" s="7">
        <v>0</v>
      </c>
      <c r="AW172" s="7">
        <v>0</v>
      </c>
      <c r="AX172" s="7">
        <v>0</v>
      </c>
      <c r="AY172" s="5">
        <v>3.5</v>
      </c>
      <c r="AZ172" s="7">
        <v>0</v>
      </c>
      <c r="BA172" s="7">
        <v>0</v>
      </c>
      <c r="BB172" s="7">
        <v>0</v>
      </c>
      <c r="BC172" s="7">
        <v>1</v>
      </c>
      <c r="BD172" s="7">
        <v>1</v>
      </c>
      <c r="BE172" s="7">
        <v>0</v>
      </c>
      <c r="BF172" s="7">
        <v>0</v>
      </c>
      <c r="BG172" s="7">
        <v>0</v>
      </c>
      <c r="BH172" s="7">
        <v>0</v>
      </c>
      <c r="BI172" s="7">
        <v>0</v>
      </c>
      <c r="BJ172" s="7">
        <v>1</v>
      </c>
      <c r="BK172" s="11">
        <v>3</v>
      </c>
      <c r="BL172" s="3" t="s">
        <v>985</v>
      </c>
      <c r="BM172" s="3">
        <v>0</v>
      </c>
    </row>
    <row r="173" spans="1:65" ht="20.100000000000001" customHeight="1" x14ac:dyDescent="0.3">
      <c r="A173" s="3" t="s">
        <v>15</v>
      </c>
      <c r="B173" s="3">
        <v>18</v>
      </c>
      <c r="C173" s="8">
        <v>44382</v>
      </c>
      <c r="D173" s="9">
        <v>0.28888888888888892</v>
      </c>
      <c r="E173" s="4">
        <v>66</v>
      </c>
      <c r="F173" s="3">
        <v>0</v>
      </c>
      <c r="G173" s="3">
        <v>0</v>
      </c>
      <c r="H173" s="3">
        <v>0</v>
      </c>
      <c r="I173" s="3">
        <v>0</v>
      </c>
      <c r="J173" s="9">
        <v>0.30555555555555552</v>
      </c>
      <c r="K173" s="3">
        <v>147</v>
      </c>
      <c r="L173" s="11">
        <f t="shared" ref="L173" si="308">K173-K172</f>
        <v>-1.4000000000000057</v>
      </c>
      <c r="M173" s="5">
        <f t="shared" ref="M173" si="309">AB172</f>
        <v>1158</v>
      </c>
      <c r="N173" s="11">
        <v>32</v>
      </c>
      <c r="O173" s="11">
        <v>33</v>
      </c>
      <c r="P173" s="11">
        <v>10.75</v>
      </c>
      <c r="Q173" s="11">
        <v>10.75</v>
      </c>
      <c r="R173" s="11">
        <v>19.75</v>
      </c>
      <c r="S173" s="11">
        <v>20.5</v>
      </c>
      <c r="T173" s="11">
        <v>17</v>
      </c>
      <c r="U173" s="11">
        <v>16</v>
      </c>
      <c r="V173" s="11">
        <v>18</v>
      </c>
      <c r="W173" s="11">
        <v>17</v>
      </c>
      <c r="X173" s="11">
        <v>7</v>
      </c>
      <c r="Y173" s="11">
        <v>7</v>
      </c>
      <c r="Z173" s="3" t="s">
        <v>921</v>
      </c>
      <c r="AA173" s="10" t="s">
        <v>920</v>
      </c>
      <c r="AB173" s="5">
        <f>80+220+20+80+440+420+360+554.5+204+43</f>
        <v>2421.5</v>
      </c>
      <c r="AC173" s="6">
        <f>1+3+1.5+5+11+0+7+11.2+20.4+2.3</f>
        <v>62.4</v>
      </c>
      <c r="AD173" s="6">
        <f>0+0+1+3.5+2+0+5+2.2+12.8+0.33</f>
        <v>26.83</v>
      </c>
      <c r="AE173" s="6">
        <f>1+6+2+6+6+0+10+17.8+4.4+1</f>
        <v>54.199999999999996</v>
      </c>
      <c r="AF173" s="6">
        <f>16+40+0+1+78+102+64+97+1.6+5</f>
        <v>404.6</v>
      </c>
      <c r="AG173" s="6">
        <f>2.5+2+0+0+6+0+0+8.35+0+0.67</f>
        <v>19.520000000000003</v>
      </c>
      <c r="AH173" s="6">
        <f>100+380+100+190+1660+120+240+901+172+103.3</f>
        <v>3966.3</v>
      </c>
      <c r="AI173" s="6">
        <f t="shared" si="218"/>
        <v>2.5769151352467479E-2</v>
      </c>
      <c r="AJ173" s="6">
        <f t="shared" si="219"/>
        <v>1.1079909147222795E-2</v>
      </c>
      <c r="AK173" s="6">
        <f t="shared" si="220"/>
        <v>2.2382820565765019E-2</v>
      </c>
      <c r="AL173" s="6">
        <f t="shared" si="221"/>
        <v>0.16708651662192855</v>
      </c>
      <c r="AM173" s="6">
        <f t="shared" si="222"/>
        <v>8.06111914102829E-3</v>
      </c>
      <c r="AN173" s="6">
        <f t="shared" si="223"/>
        <v>1.6379516828412142</v>
      </c>
      <c r="AO173" s="7">
        <v>5</v>
      </c>
      <c r="AP173" s="7">
        <v>1</v>
      </c>
      <c r="AQ173" s="7">
        <v>0</v>
      </c>
      <c r="AR173" s="10">
        <v>0</v>
      </c>
      <c r="AS173" s="7">
        <v>0</v>
      </c>
      <c r="AT173" s="7">
        <v>0</v>
      </c>
      <c r="AU173" s="7">
        <v>0</v>
      </c>
      <c r="AV173" s="7">
        <v>0</v>
      </c>
      <c r="AW173" s="7">
        <v>31</v>
      </c>
      <c r="AX173" s="7">
        <v>1</v>
      </c>
      <c r="AY173" s="5">
        <v>8</v>
      </c>
      <c r="AZ173" s="7">
        <v>0</v>
      </c>
      <c r="BA173" s="7">
        <v>0</v>
      </c>
      <c r="BB173" s="7">
        <v>0</v>
      </c>
      <c r="BC173" s="7">
        <v>1</v>
      </c>
      <c r="BD173" s="7">
        <v>1</v>
      </c>
      <c r="BE173" s="7">
        <v>0</v>
      </c>
      <c r="BF173" s="7">
        <v>0</v>
      </c>
      <c r="BG173" s="7">
        <v>0</v>
      </c>
      <c r="BH173" s="7">
        <v>0</v>
      </c>
      <c r="BI173" s="7">
        <v>0</v>
      </c>
      <c r="BJ173" s="7">
        <v>1</v>
      </c>
      <c r="BK173" s="11">
        <v>1</v>
      </c>
      <c r="BL173" s="3" t="s">
        <v>985</v>
      </c>
      <c r="BM173" s="3">
        <v>0</v>
      </c>
    </row>
    <row r="174" spans="1:65" ht="20.100000000000001" customHeight="1" x14ac:dyDescent="0.3">
      <c r="A174" s="3" t="s">
        <v>16</v>
      </c>
      <c r="B174" s="3">
        <v>19</v>
      </c>
      <c r="C174" s="8">
        <v>44383</v>
      </c>
      <c r="D174" s="9">
        <v>0.27708333333333335</v>
      </c>
      <c r="E174" s="4">
        <v>66</v>
      </c>
      <c r="F174" s="3">
        <v>0</v>
      </c>
      <c r="G174" s="3">
        <v>0</v>
      </c>
      <c r="H174" s="3">
        <v>0</v>
      </c>
      <c r="I174" s="3">
        <v>0</v>
      </c>
      <c r="J174" s="9">
        <v>0.27499999999999997</v>
      </c>
      <c r="K174" s="3">
        <v>147.4</v>
      </c>
      <c r="L174" s="11">
        <f t="shared" ref="L174" si="310">K174-K173</f>
        <v>0.40000000000000568</v>
      </c>
      <c r="M174" s="5">
        <f t="shared" ref="M174" si="311">AB173</f>
        <v>2421.5</v>
      </c>
      <c r="N174" s="11">
        <v>31.25</v>
      </c>
      <c r="O174" s="11">
        <v>32.75</v>
      </c>
      <c r="P174" s="11">
        <v>10.75</v>
      </c>
      <c r="Q174" s="11">
        <v>10.75</v>
      </c>
      <c r="R174" s="11">
        <v>19.875</v>
      </c>
      <c r="S174" s="11">
        <v>20.125</v>
      </c>
      <c r="T174" s="11">
        <v>17</v>
      </c>
      <c r="U174" s="11">
        <v>17</v>
      </c>
      <c r="V174" s="11">
        <v>18</v>
      </c>
      <c r="W174" s="11">
        <v>18</v>
      </c>
      <c r="X174" s="11">
        <v>7</v>
      </c>
      <c r="Y174" s="11">
        <v>7</v>
      </c>
      <c r="Z174" s="3" t="s">
        <v>922</v>
      </c>
      <c r="AA174" s="10" t="s">
        <v>928</v>
      </c>
      <c r="AB174" s="5">
        <f>420+440+20+80+354.4+768+90+140+134+60+0+102+360+90+262.5</f>
        <v>3320.9</v>
      </c>
      <c r="AC174" s="6">
        <f>22+6+1.5+5+13.5+41.2+0+5+0.2+5+0+11.5+7+0+10</f>
        <v>127.9</v>
      </c>
      <c r="AD174" s="6">
        <f>18+0+1+3.5+3.4+10.8+0+0+0.1+3.5+0+7.3+5+0+2.5</f>
        <v>55.1</v>
      </c>
      <c r="AE174" s="6">
        <f>40+12+2+6+8.4+9.2+0+1+3.6+1+0+0.1+10+0+6.25</f>
        <v>99.55</v>
      </c>
      <c r="AF174" s="6">
        <f>14+80+0+1+52.3+91.6+25+24+29.6+2+0+0.1+64+24+38.75</f>
        <v>446.35</v>
      </c>
      <c r="AG174" s="6">
        <f>2+4+0+0+1.69+2.8+0+3+3.2+0+0+0+0+3+1.25</f>
        <v>20.939999999999998</v>
      </c>
      <c r="AH174" s="6">
        <f>900+760+100+190+540+724+30+140+11+15+2325+82+240+450+400</f>
        <v>6907</v>
      </c>
      <c r="AI174" s="6">
        <f t="shared" si="218"/>
        <v>3.851365593664368E-2</v>
      </c>
      <c r="AJ174" s="6">
        <f t="shared" si="219"/>
        <v>1.6591887741274954E-2</v>
      </c>
      <c r="AK174" s="6">
        <f t="shared" si="220"/>
        <v>2.9976813514408743E-2</v>
      </c>
      <c r="AL174" s="6">
        <f t="shared" si="221"/>
        <v>0.13440633563190701</v>
      </c>
      <c r="AM174" s="6">
        <f t="shared" si="222"/>
        <v>6.3055195880634763E-3</v>
      </c>
      <c r="AN174" s="6">
        <f t="shared" si="223"/>
        <v>2.0798578698545573</v>
      </c>
      <c r="AO174" s="7">
        <v>5</v>
      </c>
      <c r="AP174" s="7">
        <v>1</v>
      </c>
      <c r="AQ174" s="7">
        <v>0</v>
      </c>
      <c r="AR174" s="10">
        <v>0</v>
      </c>
      <c r="AS174" s="7">
        <v>0</v>
      </c>
      <c r="AT174" s="7">
        <v>0</v>
      </c>
      <c r="AU174" s="7">
        <v>0</v>
      </c>
      <c r="AV174" s="7">
        <v>0</v>
      </c>
      <c r="AW174" s="7">
        <v>31</v>
      </c>
      <c r="AX174" s="7">
        <v>1</v>
      </c>
      <c r="AY174" s="5">
        <v>6</v>
      </c>
      <c r="AZ174" s="7">
        <v>0</v>
      </c>
      <c r="BA174" s="7">
        <v>1</v>
      </c>
      <c r="BB174" s="7">
        <v>0</v>
      </c>
      <c r="BC174" s="7">
        <v>0</v>
      </c>
      <c r="BD174" s="7">
        <v>1</v>
      </c>
      <c r="BE174" s="7">
        <v>0</v>
      </c>
      <c r="BF174" s="7">
        <v>0</v>
      </c>
      <c r="BG174" s="7">
        <v>0</v>
      </c>
      <c r="BH174" s="7">
        <v>0</v>
      </c>
      <c r="BI174" s="7">
        <v>0</v>
      </c>
      <c r="BJ174" s="7">
        <v>1</v>
      </c>
      <c r="BK174" s="11">
        <v>0</v>
      </c>
      <c r="BL174" s="7">
        <v>0</v>
      </c>
      <c r="BM174" s="3">
        <v>0</v>
      </c>
    </row>
    <row r="175" spans="1:65" ht="20.100000000000001" customHeight="1" x14ac:dyDescent="0.3">
      <c r="A175" s="3" t="s">
        <v>17</v>
      </c>
      <c r="B175" s="3">
        <v>20</v>
      </c>
      <c r="C175" s="8">
        <v>44384</v>
      </c>
      <c r="D175" s="9">
        <v>0.28819444444444448</v>
      </c>
      <c r="E175" s="4">
        <v>67</v>
      </c>
      <c r="F175" s="3">
        <v>0</v>
      </c>
      <c r="G175" s="3">
        <v>0</v>
      </c>
      <c r="H175" s="3">
        <v>0</v>
      </c>
      <c r="I175" s="3">
        <v>0</v>
      </c>
      <c r="J175" s="9">
        <v>0.31666666666666665</v>
      </c>
      <c r="K175" s="3">
        <v>148.19999999999999</v>
      </c>
      <c r="L175" s="11">
        <f t="shared" ref="L175" si="312">K175-K174</f>
        <v>0.79999999999998295</v>
      </c>
      <c r="M175" s="5">
        <f t="shared" ref="M175" si="313">AB174</f>
        <v>3320.9</v>
      </c>
      <c r="N175" s="11">
        <v>31.375</v>
      </c>
      <c r="O175" s="11">
        <v>33</v>
      </c>
      <c r="P175" s="11">
        <v>10.625</v>
      </c>
      <c r="Q175" s="11">
        <v>10.75</v>
      </c>
      <c r="R175" s="11">
        <v>20.125</v>
      </c>
      <c r="S175" s="11">
        <v>20</v>
      </c>
      <c r="T175" s="11">
        <v>16</v>
      </c>
      <c r="U175" s="11">
        <v>16</v>
      </c>
      <c r="V175" s="11">
        <v>17</v>
      </c>
      <c r="W175" s="11">
        <v>17</v>
      </c>
      <c r="X175" s="11">
        <v>7</v>
      </c>
      <c r="Y175" s="11">
        <v>7</v>
      </c>
      <c r="Z175" s="3" t="s">
        <v>933</v>
      </c>
      <c r="AA175" s="10" t="s">
        <v>930</v>
      </c>
      <c r="AB175" s="5">
        <f>360+768+210+140+400+350+90</f>
        <v>2318</v>
      </c>
      <c r="AC175" s="6">
        <f>7+41.2+8+5+11+0+0</f>
        <v>72.2</v>
      </c>
      <c r="AD175" s="6">
        <f>5+10.8+2+0+1+0+0</f>
        <v>18.8</v>
      </c>
      <c r="AE175" s="6">
        <f>10+9.2+5+1+12+0+0</f>
        <v>37.200000000000003</v>
      </c>
      <c r="AF175" s="6">
        <f>64+91.6+31+24+63+85+25</f>
        <v>383.6</v>
      </c>
      <c r="AG175" s="6">
        <f>0+2.8+1+3+2+0+0</f>
        <v>8.8000000000000007</v>
      </c>
      <c r="AH175" s="6">
        <f>240+724+320+140+890+100+30</f>
        <v>2444</v>
      </c>
      <c r="AI175" s="6">
        <f t="shared" si="218"/>
        <v>3.1147540983606559E-2</v>
      </c>
      <c r="AJ175" s="6">
        <f t="shared" si="219"/>
        <v>8.1104400345125109E-3</v>
      </c>
      <c r="AK175" s="6">
        <f t="shared" si="220"/>
        <v>1.6048317515099223E-2</v>
      </c>
      <c r="AL175" s="6">
        <f t="shared" si="221"/>
        <v>0.16548748921484038</v>
      </c>
      <c r="AM175" s="6">
        <f t="shared" si="222"/>
        <v>3.7963761863675587E-3</v>
      </c>
      <c r="AN175" s="6">
        <f t="shared" si="223"/>
        <v>1.0543572044866265</v>
      </c>
      <c r="AO175" s="7">
        <v>6</v>
      </c>
      <c r="AP175" s="7">
        <v>1</v>
      </c>
      <c r="AQ175" s="7">
        <v>0</v>
      </c>
      <c r="AR175" s="10">
        <v>0</v>
      </c>
      <c r="AS175" s="7">
        <v>0</v>
      </c>
      <c r="AT175" s="7">
        <v>0</v>
      </c>
      <c r="AU175" s="7">
        <v>0</v>
      </c>
      <c r="AV175" s="7">
        <v>0</v>
      </c>
      <c r="AW175" s="7">
        <v>31</v>
      </c>
      <c r="AX175" s="7">
        <v>1</v>
      </c>
      <c r="AY175" s="5">
        <v>6</v>
      </c>
      <c r="AZ175" s="7">
        <v>0</v>
      </c>
      <c r="BA175" s="7">
        <v>0</v>
      </c>
      <c r="BB175" s="7">
        <v>0</v>
      </c>
      <c r="BC175" s="7">
        <v>1</v>
      </c>
      <c r="BD175" s="7">
        <v>1</v>
      </c>
      <c r="BE175" s="7">
        <v>0</v>
      </c>
      <c r="BF175" s="7">
        <v>0</v>
      </c>
      <c r="BG175" s="7">
        <v>0</v>
      </c>
      <c r="BH175" s="7">
        <v>0</v>
      </c>
      <c r="BI175" s="7">
        <v>0</v>
      </c>
      <c r="BJ175" s="7">
        <v>1</v>
      </c>
      <c r="BK175" s="11">
        <v>1</v>
      </c>
      <c r="BL175" s="3" t="s">
        <v>985</v>
      </c>
      <c r="BM175" s="3">
        <v>0</v>
      </c>
    </row>
    <row r="176" spans="1:65" ht="20.100000000000001" customHeight="1" x14ac:dyDescent="0.3">
      <c r="A176" s="3" t="s">
        <v>18</v>
      </c>
      <c r="B176" s="3">
        <v>21</v>
      </c>
      <c r="C176" s="8">
        <v>44385</v>
      </c>
      <c r="D176" s="9">
        <v>0.34583333333333338</v>
      </c>
      <c r="E176" s="4">
        <v>72</v>
      </c>
      <c r="F176" s="3">
        <v>0</v>
      </c>
      <c r="G176" s="3">
        <v>0</v>
      </c>
      <c r="H176" s="3">
        <v>0</v>
      </c>
      <c r="I176" s="3">
        <v>0</v>
      </c>
      <c r="J176" s="9">
        <v>0.34722222222222227</v>
      </c>
      <c r="K176" s="3">
        <v>147.19999999999999</v>
      </c>
      <c r="L176" s="11">
        <f t="shared" ref="L176" si="314">K176-K175</f>
        <v>-1</v>
      </c>
      <c r="M176" s="5">
        <f t="shared" ref="M176" si="315">AB175</f>
        <v>2318</v>
      </c>
      <c r="N176" s="11">
        <v>31.5</v>
      </c>
      <c r="O176" s="11">
        <v>32.75</v>
      </c>
      <c r="P176" s="11">
        <v>10.875</v>
      </c>
      <c r="Q176" s="11">
        <v>10.75</v>
      </c>
      <c r="R176" s="11">
        <v>19.75</v>
      </c>
      <c r="S176" s="11">
        <v>20.239999999999998</v>
      </c>
      <c r="T176" s="11">
        <v>16</v>
      </c>
      <c r="U176" s="11">
        <v>15</v>
      </c>
      <c r="V176" s="11">
        <v>17</v>
      </c>
      <c r="W176" s="11">
        <v>17</v>
      </c>
      <c r="X176" s="11">
        <v>7</v>
      </c>
      <c r="Y176" s="11">
        <v>7</v>
      </c>
      <c r="Z176" s="3" t="s">
        <v>932</v>
      </c>
      <c r="AA176" s="10" t="s">
        <v>931</v>
      </c>
      <c r="AB176" s="5">
        <f>420+280+210+220+80+20+210</f>
        <v>1440</v>
      </c>
      <c r="AC176" s="6">
        <f>16+10+11+3+5+1.5+0</f>
        <v>46.5</v>
      </c>
      <c r="AD176" s="6">
        <f>4+0+9+0+3.5+1+0</f>
        <v>17.5</v>
      </c>
      <c r="AE176" s="6">
        <f>10+2+20+6+6+2+0</f>
        <v>46</v>
      </c>
      <c r="AF176" s="6">
        <f>62+48+7+40+1+0+51</f>
        <v>209</v>
      </c>
      <c r="AG176" s="6">
        <f>2+6+1+2+0+0+0</f>
        <v>11</v>
      </c>
      <c r="AH176" s="6">
        <f>640+280+450+380+190+100+60</f>
        <v>2100</v>
      </c>
      <c r="AI176" s="6">
        <f t="shared" si="218"/>
        <v>3.229166666666667E-2</v>
      </c>
      <c r="AJ176" s="6">
        <f t="shared" si="219"/>
        <v>1.2152777777777778E-2</v>
      </c>
      <c r="AK176" s="6">
        <f t="shared" si="220"/>
        <v>3.1944444444444442E-2</v>
      </c>
      <c r="AL176" s="6">
        <f t="shared" si="221"/>
        <v>0.1451388888888889</v>
      </c>
      <c r="AM176" s="6">
        <f t="shared" si="222"/>
        <v>7.6388888888888886E-3</v>
      </c>
      <c r="AN176" s="6">
        <f t="shared" si="223"/>
        <v>1.4583333333333333</v>
      </c>
      <c r="AO176" s="7">
        <v>5</v>
      </c>
      <c r="AP176" s="7">
        <v>1</v>
      </c>
      <c r="AQ176" s="7">
        <v>0</v>
      </c>
      <c r="AR176" s="10">
        <v>0</v>
      </c>
      <c r="AS176" s="7">
        <v>0</v>
      </c>
      <c r="AT176" s="7">
        <v>0</v>
      </c>
      <c r="AU176" s="7">
        <v>0</v>
      </c>
      <c r="AV176" s="7">
        <v>0</v>
      </c>
      <c r="AW176" s="7">
        <v>31</v>
      </c>
      <c r="AX176" s="7">
        <v>1</v>
      </c>
      <c r="AY176" s="5">
        <v>5.5</v>
      </c>
      <c r="AZ176" s="7">
        <v>0</v>
      </c>
      <c r="BA176" s="7">
        <v>0</v>
      </c>
      <c r="BB176" s="7">
        <v>0</v>
      </c>
      <c r="BC176" s="7">
        <v>1</v>
      </c>
      <c r="BD176" s="7">
        <v>1</v>
      </c>
      <c r="BE176" s="7">
        <v>0</v>
      </c>
      <c r="BF176" s="7">
        <v>0</v>
      </c>
      <c r="BG176" s="7">
        <v>0</v>
      </c>
      <c r="BH176" s="7">
        <v>0</v>
      </c>
      <c r="BI176" s="7">
        <v>0</v>
      </c>
      <c r="BJ176" s="7">
        <v>1</v>
      </c>
      <c r="BK176" s="11">
        <v>2</v>
      </c>
      <c r="BL176" s="3" t="s">
        <v>985</v>
      </c>
      <c r="BM176" s="3">
        <v>0</v>
      </c>
    </row>
    <row r="177" spans="1:65" ht="20.100000000000001" customHeight="1" x14ac:dyDescent="0.3">
      <c r="A177" s="3" t="s">
        <v>137</v>
      </c>
      <c r="B177" s="3">
        <v>22</v>
      </c>
      <c r="C177" s="8">
        <v>44386</v>
      </c>
      <c r="D177" s="9">
        <v>0.28958333333333336</v>
      </c>
      <c r="E177" s="4">
        <v>72</v>
      </c>
      <c r="F177" s="3">
        <v>0</v>
      </c>
      <c r="G177" s="3">
        <v>0</v>
      </c>
      <c r="H177" s="3">
        <v>0</v>
      </c>
      <c r="I177" s="3">
        <v>0</v>
      </c>
      <c r="J177" s="9">
        <v>0.30208333333333331</v>
      </c>
      <c r="K177" s="3">
        <v>147.19999999999999</v>
      </c>
      <c r="L177" s="11">
        <f t="shared" ref="L177" si="316">K177-K176</f>
        <v>0</v>
      </c>
      <c r="M177" s="5">
        <f t="shared" ref="M177" si="317">AB176</f>
        <v>1440</v>
      </c>
      <c r="N177" s="11">
        <v>31.25</v>
      </c>
      <c r="O177" s="11">
        <v>32.875</v>
      </c>
      <c r="P177" s="11">
        <v>10.875</v>
      </c>
      <c r="Q177" s="11">
        <v>11</v>
      </c>
      <c r="R177" s="11">
        <v>20.25</v>
      </c>
      <c r="S177" s="11">
        <v>20.25</v>
      </c>
      <c r="T177" s="11">
        <v>17</v>
      </c>
      <c r="U177" s="11">
        <v>17</v>
      </c>
      <c r="V177" s="11">
        <v>18</v>
      </c>
      <c r="W177" s="11">
        <v>17</v>
      </c>
      <c r="X177" s="11">
        <v>7</v>
      </c>
      <c r="Y177" s="11">
        <v>7</v>
      </c>
      <c r="Z177" s="3" t="s">
        <v>937</v>
      </c>
      <c r="AA177" s="10" t="s">
        <v>936</v>
      </c>
      <c r="AB177" s="5">
        <f>118.1+210+220+20+80+60+204+610+490+270</f>
        <v>2282.1</v>
      </c>
      <c r="AC177" s="6">
        <f>4.5+11+3+1.5+5+0+20.4+15.2+0+0</f>
        <v>60.599999999999994</v>
      </c>
      <c r="AD177" s="6">
        <f>1.13+9+0+1+3.5+0+12.8+3.2+0+0</f>
        <v>30.63</v>
      </c>
      <c r="AE177" s="6">
        <f>2.81+20+6+2+6+0+4.4+23.6+0+0</f>
        <v>64.81</v>
      </c>
      <c r="AF177" s="6">
        <f>17.4+7+40+0+1+16+1.6+93.9+119+75</f>
        <v>370.9</v>
      </c>
      <c r="AG177" s="6">
        <f>0.56+1+2+0+0+2+0+7+0+0</f>
        <v>12.56</v>
      </c>
      <c r="AH177" s="6">
        <f>180+450+380+100+190+300+172+1954+140+90</f>
        <v>3956</v>
      </c>
      <c r="AI177" s="6">
        <f t="shared" si="218"/>
        <v>2.6554489286183775E-2</v>
      </c>
      <c r="AJ177" s="6">
        <f t="shared" si="219"/>
        <v>1.3421848297620612E-2</v>
      </c>
      <c r="AK177" s="6">
        <f t="shared" si="220"/>
        <v>2.8399281363656284E-2</v>
      </c>
      <c r="AL177" s="6">
        <f t="shared" si="221"/>
        <v>0.16252574383243504</v>
      </c>
      <c r="AM177" s="6">
        <f t="shared" si="222"/>
        <v>5.5037027299417209E-3</v>
      </c>
      <c r="AN177" s="6">
        <f t="shared" si="223"/>
        <v>1.7334910827746375</v>
      </c>
      <c r="AO177" s="7">
        <v>4</v>
      </c>
      <c r="AP177" s="7">
        <v>2</v>
      </c>
      <c r="AQ177" s="7">
        <v>0</v>
      </c>
      <c r="AR177" s="10">
        <v>0</v>
      </c>
      <c r="AS177" s="7">
        <v>0</v>
      </c>
      <c r="AT177" s="7">
        <v>0</v>
      </c>
      <c r="AU177" s="7">
        <v>0</v>
      </c>
      <c r="AV177" s="7">
        <v>0</v>
      </c>
      <c r="AW177" s="7">
        <v>31</v>
      </c>
      <c r="AX177" s="7">
        <v>1</v>
      </c>
      <c r="AY177" s="5">
        <f>6.5+0.3</f>
        <v>6.8</v>
      </c>
      <c r="AZ177" s="7">
        <v>0</v>
      </c>
      <c r="BA177" s="7">
        <v>0</v>
      </c>
      <c r="BB177" s="7">
        <v>0</v>
      </c>
      <c r="BC177" s="7">
        <v>1</v>
      </c>
      <c r="BD177" s="7">
        <v>1</v>
      </c>
      <c r="BE177" s="7">
        <v>0</v>
      </c>
      <c r="BF177" s="7">
        <v>1</v>
      </c>
      <c r="BG177" s="7">
        <v>20</v>
      </c>
      <c r="BH177" s="7">
        <v>0</v>
      </c>
      <c r="BI177" s="7">
        <v>0</v>
      </c>
      <c r="BJ177" s="7">
        <v>1</v>
      </c>
      <c r="BK177" s="11">
        <v>1</v>
      </c>
      <c r="BL177" s="3" t="s">
        <v>985</v>
      </c>
      <c r="BM177" s="3">
        <v>0</v>
      </c>
    </row>
    <row r="178" spans="1:65" ht="20.100000000000001" customHeight="1" x14ac:dyDescent="0.3">
      <c r="A178" s="3" t="s">
        <v>19</v>
      </c>
      <c r="B178" s="3">
        <v>23</v>
      </c>
      <c r="C178" s="8">
        <v>44387</v>
      </c>
      <c r="D178" s="9">
        <v>0.24930555555555556</v>
      </c>
      <c r="E178" s="4">
        <v>71</v>
      </c>
      <c r="F178" s="3">
        <v>0</v>
      </c>
      <c r="G178" s="3">
        <v>0</v>
      </c>
      <c r="H178" s="3">
        <v>0</v>
      </c>
      <c r="I178" s="3">
        <v>0</v>
      </c>
      <c r="J178" s="9">
        <v>0.26944444444444443</v>
      </c>
      <c r="K178" s="3">
        <v>147</v>
      </c>
      <c r="L178" s="11">
        <f t="shared" ref="L178" si="318">K178-K177</f>
        <v>-0.19999999999998863</v>
      </c>
      <c r="M178" s="5">
        <f t="shared" ref="M178" si="319">AB177</f>
        <v>2282.1</v>
      </c>
      <c r="N178" s="11">
        <v>31.375</v>
      </c>
      <c r="O178" s="11">
        <v>32.375</v>
      </c>
      <c r="P178" s="11">
        <v>10.75</v>
      </c>
      <c r="Q178" s="11">
        <v>10.75</v>
      </c>
      <c r="R178" s="11">
        <v>19.875</v>
      </c>
      <c r="S178" s="11">
        <v>20.125</v>
      </c>
      <c r="T178" s="11">
        <v>17</v>
      </c>
      <c r="U178" s="11">
        <v>16</v>
      </c>
      <c r="V178" s="11">
        <v>17</v>
      </c>
      <c r="W178" s="11">
        <v>15</v>
      </c>
      <c r="X178" s="11">
        <v>7</v>
      </c>
      <c r="Y178" s="11">
        <v>7</v>
      </c>
      <c r="Z178" s="3" t="s">
        <v>938</v>
      </c>
      <c r="AA178" s="10" t="s">
        <v>941</v>
      </c>
      <c r="AB178" s="5">
        <f>160+440+40+160+1907+140+70</f>
        <v>2917</v>
      </c>
      <c r="AC178" s="6">
        <f>2+6+3+10+118+6+0</f>
        <v>145</v>
      </c>
      <c r="AD178" s="6">
        <f>0+0+2+7+19.4+0+0</f>
        <v>28.4</v>
      </c>
      <c r="AE178" s="6">
        <f>2+12+4+12+64.53+0+0</f>
        <v>94.53</v>
      </c>
      <c r="AF178" s="6">
        <f>32+80+0+2+143.8+20+17</f>
        <v>294.8</v>
      </c>
      <c r="AG178" s="6">
        <f>5+4+0+0+7.8+0+0</f>
        <v>16.8</v>
      </c>
      <c r="AH178" s="6">
        <f>200+760+200+380+1416+60+20</f>
        <v>3036</v>
      </c>
      <c r="AI178" s="6">
        <f t="shared" si="218"/>
        <v>4.9708604730887895E-2</v>
      </c>
      <c r="AJ178" s="6">
        <f t="shared" si="219"/>
        <v>9.7360301679808026E-3</v>
      </c>
      <c r="AK178" s="6">
        <f t="shared" si="220"/>
        <v>3.2406582104902298E-2</v>
      </c>
      <c r="AL178" s="6">
        <f t="shared" si="221"/>
        <v>0.10106273568735002</v>
      </c>
      <c r="AM178" s="6">
        <f t="shared" si="222"/>
        <v>5.7593417895097703E-3</v>
      </c>
      <c r="AN178" s="6">
        <f t="shared" si="223"/>
        <v>1.0407953376756942</v>
      </c>
      <c r="AO178" s="7">
        <v>5</v>
      </c>
      <c r="AP178" s="7">
        <v>2</v>
      </c>
      <c r="AQ178" s="7">
        <v>0</v>
      </c>
      <c r="AR178" s="10">
        <v>0</v>
      </c>
      <c r="AS178" s="7">
        <v>0</v>
      </c>
      <c r="AT178" s="7">
        <v>0</v>
      </c>
      <c r="AU178" s="7">
        <v>0</v>
      </c>
      <c r="AV178" s="7">
        <v>0</v>
      </c>
      <c r="AW178" s="7">
        <v>31</v>
      </c>
      <c r="AX178" s="7">
        <v>1</v>
      </c>
      <c r="AY178" s="5">
        <v>5</v>
      </c>
      <c r="AZ178" s="7">
        <v>0</v>
      </c>
      <c r="BA178" s="7">
        <v>0</v>
      </c>
      <c r="BB178" s="7">
        <v>0</v>
      </c>
      <c r="BC178" s="7">
        <v>1</v>
      </c>
      <c r="BD178" s="7">
        <v>1</v>
      </c>
      <c r="BE178" s="7">
        <v>0</v>
      </c>
      <c r="BF178" s="7">
        <v>0</v>
      </c>
      <c r="BG178" s="7">
        <v>0</v>
      </c>
      <c r="BH178" s="7">
        <v>0</v>
      </c>
      <c r="BI178" s="7">
        <v>0</v>
      </c>
      <c r="BJ178" s="7">
        <v>1</v>
      </c>
      <c r="BK178" s="11">
        <v>2</v>
      </c>
      <c r="BL178" s="3" t="s">
        <v>985</v>
      </c>
      <c r="BM178" s="3">
        <v>0</v>
      </c>
    </row>
    <row r="179" spans="1:65" ht="20.100000000000001" customHeight="1" x14ac:dyDescent="0.3">
      <c r="A179" s="3" t="s">
        <v>23</v>
      </c>
      <c r="B179" s="3">
        <v>24</v>
      </c>
      <c r="C179" s="8">
        <v>44388</v>
      </c>
      <c r="D179" s="9">
        <v>0.31597222222222221</v>
      </c>
      <c r="E179" s="4">
        <v>71</v>
      </c>
      <c r="F179" s="3">
        <v>0</v>
      </c>
      <c r="G179" s="3">
        <v>0</v>
      </c>
      <c r="H179" s="3">
        <v>0</v>
      </c>
      <c r="I179" s="3">
        <v>0</v>
      </c>
      <c r="J179" s="9">
        <v>0.31666666666666665</v>
      </c>
      <c r="K179" s="3">
        <v>147.80000000000001</v>
      </c>
      <c r="L179" s="11">
        <f t="shared" ref="L179" si="320">K179-K178</f>
        <v>0.80000000000001137</v>
      </c>
      <c r="M179" s="5">
        <f t="shared" ref="M179" si="321">AB178</f>
        <v>2917</v>
      </c>
      <c r="N179" s="11">
        <v>31.25</v>
      </c>
      <c r="O179" s="11">
        <v>32.75</v>
      </c>
      <c r="P179" s="11">
        <v>11</v>
      </c>
      <c r="Q179" s="11">
        <v>10.75</v>
      </c>
      <c r="R179" s="11">
        <v>20</v>
      </c>
      <c r="S179" s="11">
        <v>20</v>
      </c>
      <c r="T179" s="11">
        <v>16</v>
      </c>
      <c r="U179" s="11">
        <v>15</v>
      </c>
      <c r="V179" s="11">
        <v>18</v>
      </c>
      <c r="W179" s="11">
        <v>18</v>
      </c>
      <c r="X179" s="11">
        <v>7</v>
      </c>
      <c r="Y179" s="11">
        <v>7</v>
      </c>
      <c r="Z179" s="3" t="s">
        <v>948</v>
      </c>
      <c r="AA179" s="10" t="s">
        <v>949</v>
      </c>
      <c r="AB179" s="5">
        <f>953.67+992+84+45+80+280+150</f>
        <v>2584.67</v>
      </c>
      <c r="AC179" s="6">
        <f>59+62+2+1.8+5+12+9</f>
        <v>150.80000000000001</v>
      </c>
      <c r="AD179" s="6">
        <f>9.7+19.9+0.5+0.5+3.5+0+5</f>
        <v>39.099999999999994</v>
      </c>
      <c r="AE179" s="6">
        <f>32.3+26+2+1.5+6+0+2</f>
        <v>69.8</v>
      </c>
      <c r="AF179" s="6">
        <f>71.9+84.9+13.5+6+1+40+17</f>
        <v>234.3</v>
      </c>
      <c r="AG179" s="6">
        <f>3.9+6.8+0.5+1.5+0+0+1</f>
        <v>13.7</v>
      </c>
      <c r="AH179" s="6">
        <f>708+574+150.5+230+190+120+50</f>
        <v>2022.5</v>
      </c>
      <c r="AI179" s="6">
        <f t="shared" si="218"/>
        <v>5.834400523084185E-2</v>
      </c>
      <c r="AJ179" s="6">
        <f t="shared" si="219"/>
        <v>1.5127656528686445E-2</v>
      </c>
      <c r="AK179" s="6">
        <f t="shared" si="220"/>
        <v>2.7005381731516981E-2</v>
      </c>
      <c r="AL179" s="6">
        <f t="shared" si="221"/>
        <v>9.0649870196195262E-2</v>
      </c>
      <c r="AM179" s="6">
        <f t="shared" si="222"/>
        <v>5.3004832338364276E-3</v>
      </c>
      <c r="AN179" s="6">
        <f t="shared" si="223"/>
        <v>0.78249834601709312</v>
      </c>
      <c r="AO179" s="7">
        <v>5</v>
      </c>
      <c r="AP179" s="7">
        <v>3</v>
      </c>
      <c r="AQ179" s="7">
        <v>0</v>
      </c>
      <c r="AR179" s="10">
        <v>0</v>
      </c>
      <c r="AS179" s="7">
        <v>0</v>
      </c>
      <c r="AT179" s="7">
        <v>0</v>
      </c>
      <c r="AU179" s="7">
        <v>0</v>
      </c>
      <c r="AV179" s="7">
        <v>0</v>
      </c>
      <c r="AW179" s="7">
        <v>31</v>
      </c>
      <c r="AX179" s="7">
        <v>1</v>
      </c>
      <c r="AY179" s="5">
        <v>6</v>
      </c>
      <c r="AZ179" s="7">
        <v>0</v>
      </c>
      <c r="BA179" s="7">
        <v>0</v>
      </c>
      <c r="BB179" s="7">
        <v>0</v>
      </c>
      <c r="BC179" s="7">
        <v>1</v>
      </c>
      <c r="BD179" s="7">
        <v>1</v>
      </c>
      <c r="BE179" s="7">
        <v>0</v>
      </c>
      <c r="BF179" s="7">
        <v>0</v>
      </c>
      <c r="BG179" s="7">
        <v>0</v>
      </c>
      <c r="BH179" s="7">
        <v>0</v>
      </c>
      <c r="BI179" s="7">
        <v>0</v>
      </c>
      <c r="BJ179" s="7">
        <v>1</v>
      </c>
      <c r="BK179" s="11">
        <v>2</v>
      </c>
      <c r="BL179" s="3" t="s">
        <v>985</v>
      </c>
      <c r="BM179" s="3">
        <v>0</v>
      </c>
    </row>
    <row r="180" spans="1:65" ht="20.100000000000001" customHeight="1" x14ac:dyDescent="0.3">
      <c r="A180" s="3" t="s">
        <v>15</v>
      </c>
      <c r="B180" s="3">
        <v>0</v>
      </c>
      <c r="C180" s="8">
        <v>44389</v>
      </c>
      <c r="D180" s="9">
        <v>0.31319444444444444</v>
      </c>
      <c r="E180" s="4">
        <v>67</v>
      </c>
      <c r="F180" s="3">
        <v>0</v>
      </c>
      <c r="G180" s="3">
        <v>0</v>
      </c>
      <c r="H180" s="3">
        <v>0</v>
      </c>
      <c r="I180" s="3">
        <v>0</v>
      </c>
      <c r="J180" s="9">
        <v>0.36319444444444443</v>
      </c>
      <c r="K180" s="3">
        <v>147.80000000000001</v>
      </c>
      <c r="L180" s="11">
        <f t="shared" ref="L180" si="322">K180-K179</f>
        <v>0</v>
      </c>
      <c r="M180" s="5">
        <f t="shared" ref="M180" si="323">AB179</f>
        <v>2584.67</v>
      </c>
      <c r="N180" s="11">
        <v>31.75</v>
      </c>
      <c r="O180" s="11">
        <v>33.25</v>
      </c>
      <c r="P180" s="11">
        <v>10.75</v>
      </c>
      <c r="Q180" s="11">
        <v>11</v>
      </c>
      <c r="R180" s="11">
        <v>19.75</v>
      </c>
      <c r="S180" s="11">
        <v>20</v>
      </c>
      <c r="T180" s="11">
        <v>17</v>
      </c>
      <c r="U180" s="11">
        <v>15</v>
      </c>
      <c r="V180" s="11">
        <v>17</v>
      </c>
      <c r="W180" s="11">
        <v>16</v>
      </c>
      <c r="X180" s="11">
        <v>7</v>
      </c>
      <c r="Y180" s="11">
        <v>7</v>
      </c>
      <c r="Z180" s="3" t="s">
        <v>950</v>
      </c>
      <c r="AA180" s="10" t="s">
        <v>951</v>
      </c>
      <c r="AB180" s="5">
        <f>1707+80+480+90+90+140</f>
        <v>2587</v>
      </c>
      <c r="AC180" s="6">
        <f>80.29+5+24+6+6+6</f>
        <v>127.29</v>
      </c>
      <c r="AD180" s="6">
        <f>18+3.5+12+3.5+3.5+0</f>
        <v>40.5</v>
      </c>
      <c r="AE180" s="6">
        <f>104.55+6+4+7+7+0</f>
        <v>128.55000000000001</v>
      </c>
      <c r="AF180" s="6">
        <f>163.28+1+62+2+2+20</f>
        <v>250.28</v>
      </c>
      <c r="AG180" s="6">
        <f>31.88+0+0+0+0+0</f>
        <v>31.88</v>
      </c>
      <c r="AH180" s="6">
        <f>1050+190+440+200+200+60</f>
        <v>2140</v>
      </c>
      <c r="AI180" s="6">
        <f t="shared" si="218"/>
        <v>4.9203710862002321E-2</v>
      </c>
      <c r="AJ180" s="6">
        <f t="shared" si="219"/>
        <v>1.5655199072284499E-2</v>
      </c>
      <c r="AK180" s="6">
        <f t="shared" si="220"/>
        <v>4.9690761499806731E-2</v>
      </c>
      <c r="AL180" s="6">
        <f t="shared" si="221"/>
        <v>9.6745264785465787E-2</v>
      </c>
      <c r="AM180" s="6">
        <f t="shared" si="222"/>
        <v>1.2323154232701972E-2</v>
      </c>
      <c r="AN180" s="6">
        <f t="shared" si="223"/>
        <v>0.82721298801700816</v>
      </c>
      <c r="AO180" s="7">
        <v>5</v>
      </c>
      <c r="AP180" s="7">
        <v>3</v>
      </c>
      <c r="AQ180" s="7">
        <v>1</v>
      </c>
      <c r="AR180" s="10">
        <v>0</v>
      </c>
      <c r="AS180" s="7">
        <v>0</v>
      </c>
      <c r="AT180" s="7">
        <v>0</v>
      </c>
      <c r="AU180" s="7">
        <v>0</v>
      </c>
      <c r="AV180" s="7">
        <v>0</v>
      </c>
      <c r="AW180" s="7">
        <v>31</v>
      </c>
      <c r="AX180" s="7">
        <v>1</v>
      </c>
      <c r="AY180" s="5">
        <v>6.25</v>
      </c>
      <c r="AZ180" s="7">
        <v>0</v>
      </c>
      <c r="BA180" s="7">
        <v>0</v>
      </c>
      <c r="BB180" s="7">
        <v>0</v>
      </c>
      <c r="BC180" s="7">
        <v>1</v>
      </c>
      <c r="BD180" s="7">
        <v>1</v>
      </c>
      <c r="BE180" s="7">
        <v>0</v>
      </c>
      <c r="BF180" s="7">
        <v>1</v>
      </c>
      <c r="BG180" s="7">
        <v>15</v>
      </c>
      <c r="BH180" s="7">
        <v>0</v>
      </c>
      <c r="BI180" s="7">
        <v>0</v>
      </c>
      <c r="BJ180" s="7">
        <v>1</v>
      </c>
      <c r="BK180" s="11">
        <v>2</v>
      </c>
      <c r="BL180" s="3" t="s">
        <v>985</v>
      </c>
      <c r="BM180" s="3">
        <v>0</v>
      </c>
    </row>
    <row r="181" spans="1:65" ht="20.100000000000001" customHeight="1" x14ac:dyDescent="0.3">
      <c r="A181" s="3" t="s">
        <v>16</v>
      </c>
      <c r="B181" s="3">
        <v>1</v>
      </c>
      <c r="C181" s="8">
        <v>44390</v>
      </c>
      <c r="D181" s="9">
        <v>0.28125</v>
      </c>
      <c r="E181" s="4">
        <v>69</v>
      </c>
      <c r="F181" s="3">
        <v>0</v>
      </c>
      <c r="G181" s="3">
        <v>0</v>
      </c>
      <c r="H181" s="3">
        <v>0</v>
      </c>
      <c r="I181" s="3">
        <v>0</v>
      </c>
      <c r="J181" s="9">
        <v>0.31805555555555554</v>
      </c>
      <c r="K181" s="3">
        <v>144.4</v>
      </c>
      <c r="L181" s="11">
        <f t="shared" ref="L181" si="324">K181-K180</f>
        <v>-3.4000000000000057</v>
      </c>
      <c r="M181" s="5">
        <f t="shared" ref="M181" si="325">AB180</f>
        <v>2587</v>
      </c>
      <c r="N181" s="11">
        <v>30.5</v>
      </c>
      <c r="O181" s="11">
        <v>32.5</v>
      </c>
      <c r="P181" s="11">
        <v>10.875</v>
      </c>
      <c r="Q181" s="11">
        <v>10.875</v>
      </c>
      <c r="R181" s="11">
        <v>19.875</v>
      </c>
      <c r="S181" s="11">
        <v>20.125</v>
      </c>
      <c r="T181" s="11">
        <v>17</v>
      </c>
      <c r="U181" s="11">
        <v>17</v>
      </c>
      <c r="V181" s="11">
        <v>17</v>
      </c>
      <c r="W181" s="11">
        <v>16</v>
      </c>
      <c r="X181" s="11">
        <v>7</v>
      </c>
      <c r="Y181" s="11">
        <v>7</v>
      </c>
      <c r="Z181" s="3" t="s">
        <v>953</v>
      </c>
      <c r="AA181" s="10" t="s">
        <v>952</v>
      </c>
      <c r="AB181" s="5">
        <f>569+90+110+90+210+164+569+90</f>
        <v>1892</v>
      </c>
      <c r="AC181" s="6">
        <f>26.76+6+1.5+6+11+13.5+26.76+6</f>
        <v>97.52000000000001</v>
      </c>
      <c r="AD181" s="6">
        <f>6+3.5+0+3.5+9+2.5+6+3.5</f>
        <v>34</v>
      </c>
      <c r="AE181" s="6">
        <f>34.85+7+3+7+20+4.7+34.85+7</f>
        <v>118.4</v>
      </c>
      <c r="AF181" s="6">
        <f>54.43+2+20+2+7+8.4+54.43+2</f>
        <v>150.26000000000002</v>
      </c>
      <c r="AG181" s="6">
        <f>10.63+0+1+0+0+0.9+10.63+0</f>
        <v>23.160000000000004</v>
      </c>
      <c r="AH181" s="6">
        <f>350+200+190+200+450+4+350+200</f>
        <v>1944</v>
      </c>
      <c r="AI181" s="6">
        <f t="shared" si="218"/>
        <v>5.1543340380549689E-2</v>
      </c>
      <c r="AJ181" s="6">
        <f t="shared" si="219"/>
        <v>1.7970401691331923E-2</v>
      </c>
      <c r="AK181" s="6">
        <f t="shared" si="220"/>
        <v>6.2579281183932356E-2</v>
      </c>
      <c r="AL181" s="6">
        <f t="shared" si="221"/>
        <v>7.9418604651162794E-2</v>
      </c>
      <c r="AM181" s="6">
        <f t="shared" si="222"/>
        <v>1.2241014799154336E-2</v>
      </c>
      <c r="AN181" s="6">
        <f t="shared" si="223"/>
        <v>1.0274841437632136</v>
      </c>
      <c r="AO181" s="7">
        <v>4</v>
      </c>
      <c r="AP181" s="7">
        <v>1</v>
      </c>
      <c r="AQ181" s="7">
        <v>1</v>
      </c>
      <c r="AR181" s="10">
        <v>0</v>
      </c>
      <c r="AS181" s="7">
        <v>0</v>
      </c>
      <c r="AT181" s="7">
        <v>0</v>
      </c>
      <c r="AU181" s="7">
        <v>0</v>
      </c>
      <c r="AV181" s="7">
        <v>0</v>
      </c>
      <c r="AW181" s="7">
        <v>31</v>
      </c>
      <c r="AX181" s="7">
        <v>1</v>
      </c>
      <c r="AY181" s="5">
        <v>6</v>
      </c>
      <c r="AZ181" s="7">
        <v>0</v>
      </c>
      <c r="BA181" s="7">
        <v>0</v>
      </c>
      <c r="BB181" s="7">
        <v>0</v>
      </c>
      <c r="BC181" s="7">
        <v>1</v>
      </c>
      <c r="BD181" s="7">
        <v>1</v>
      </c>
      <c r="BE181" s="7">
        <v>0</v>
      </c>
      <c r="BF181" s="7">
        <v>0</v>
      </c>
      <c r="BG181" s="7">
        <v>0</v>
      </c>
      <c r="BH181" s="7">
        <v>0</v>
      </c>
      <c r="BI181" s="7">
        <v>0</v>
      </c>
      <c r="BJ181" s="7">
        <v>1</v>
      </c>
      <c r="BK181" s="11">
        <v>2</v>
      </c>
      <c r="BL181" s="3" t="s">
        <v>976</v>
      </c>
      <c r="BM181" s="3">
        <v>0</v>
      </c>
    </row>
    <row r="182" spans="1:65" ht="19.95" customHeight="1" x14ac:dyDescent="0.3">
      <c r="A182" s="3" t="s">
        <v>17</v>
      </c>
      <c r="B182" s="3">
        <v>2</v>
      </c>
      <c r="C182" s="8">
        <v>44391</v>
      </c>
      <c r="D182" s="9">
        <v>0.31875000000000003</v>
      </c>
      <c r="E182" s="4">
        <v>71</v>
      </c>
      <c r="F182" s="3">
        <v>0</v>
      </c>
      <c r="G182" s="3">
        <v>0</v>
      </c>
      <c r="H182" s="3">
        <v>0</v>
      </c>
      <c r="I182" s="3">
        <v>0</v>
      </c>
      <c r="J182" s="9">
        <v>0.31944444444444448</v>
      </c>
      <c r="K182" s="3">
        <v>145</v>
      </c>
      <c r="L182" s="11">
        <f t="shared" ref="L182" si="326">K182-K181</f>
        <v>0.59999999999999432</v>
      </c>
      <c r="M182" s="5">
        <f t="shared" ref="M182" si="327">AB181</f>
        <v>1892</v>
      </c>
      <c r="N182" s="11">
        <v>31.125</v>
      </c>
      <c r="O182" s="11">
        <v>32.625</v>
      </c>
      <c r="P182" s="11">
        <v>11</v>
      </c>
      <c r="Q182" s="11">
        <v>11</v>
      </c>
      <c r="R182" s="11">
        <v>20.25</v>
      </c>
      <c r="S182" s="11">
        <v>20.375</v>
      </c>
      <c r="T182" s="11">
        <v>15</v>
      </c>
      <c r="U182" s="11">
        <v>16</v>
      </c>
      <c r="V182" s="11">
        <v>17</v>
      </c>
      <c r="W182" s="11">
        <v>15</v>
      </c>
      <c r="X182" s="11">
        <v>7</v>
      </c>
      <c r="Y182" s="11">
        <v>7</v>
      </c>
      <c r="Z182" s="3" t="s">
        <v>957</v>
      </c>
      <c r="AA182" s="10" t="s">
        <v>956</v>
      </c>
      <c r="AB182" s="5">
        <f>1713.75+240</f>
        <v>1953.75</v>
      </c>
      <c r="AC182" s="6">
        <f>90.44+15</f>
        <v>105.44</v>
      </c>
      <c r="AD182" s="6">
        <f>19.91+10.5</f>
        <v>30.41</v>
      </c>
      <c r="AE182" s="6">
        <f>109.65+18</f>
        <v>127.65</v>
      </c>
      <c r="AF182" s="6">
        <f>140.55+3</f>
        <v>143.55000000000001</v>
      </c>
      <c r="AG182" s="6">
        <f>28.43+0</f>
        <v>28.43</v>
      </c>
      <c r="AH182" s="6">
        <f>1075.52+570</f>
        <v>1645.52</v>
      </c>
      <c r="AI182" s="6">
        <f t="shared" si="218"/>
        <v>5.3968010236724248E-2</v>
      </c>
      <c r="AJ182" s="6">
        <f t="shared" si="219"/>
        <v>1.5564939219449776E-2</v>
      </c>
      <c r="AK182" s="6">
        <f t="shared" si="220"/>
        <v>6.5335892514395394E-2</v>
      </c>
      <c r="AL182" s="6">
        <f t="shared" si="221"/>
        <v>7.3474088291746648E-2</v>
      </c>
      <c r="AM182" s="6">
        <f t="shared" si="222"/>
        <v>1.455150351887396E-2</v>
      </c>
      <c r="AN182" s="6">
        <f t="shared" si="223"/>
        <v>0.84223672424824059</v>
      </c>
      <c r="AO182" s="7">
        <v>4</v>
      </c>
      <c r="AP182" s="7">
        <v>0</v>
      </c>
      <c r="AQ182" s="7">
        <v>1</v>
      </c>
      <c r="AR182" s="10">
        <v>0</v>
      </c>
      <c r="AS182" s="7">
        <v>0</v>
      </c>
      <c r="AT182" s="7">
        <v>0</v>
      </c>
      <c r="AU182" s="7">
        <v>0</v>
      </c>
      <c r="AV182" s="7">
        <v>0</v>
      </c>
      <c r="AW182" s="7">
        <v>0</v>
      </c>
      <c r="AX182" s="7">
        <v>1</v>
      </c>
      <c r="AY182" s="5">
        <v>6</v>
      </c>
      <c r="AZ182" s="7">
        <v>1</v>
      </c>
      <c r="BA182" s="7">
        <v>0</v>
      </c>
      <c r="BB182" s="7">
        <v>0</v>
      </c>
      <c r="BC182" s="7">
        <v>1</v>
      </c>
      <c r="BD182" s="7">
        <v>1</v>
      </c>
      <c r="BE182" s="7">
        <v>0</v>
      </c>
      <c r="BF182" s="7">
        <v>0</v>
      </c>
      <c r="BG182" s="7">
        <v>0</v>
      </c>
      <c r="BH182" s="7">
        <v>0</v>
      </c>
      <c r="BI182" s="7">
        <v>0</v>
      </c>
      <c r="BJ182" s="7">
        <v>1</v>
      </c>
      <c r="BK182" s="11">
        <v>1</v>
      </c>
      <c r="BL182" s="3" t="s">
        <v>976</v>
      </c>
      <c r="BM182" s="3">
        <v>0</v>
      </c>
    </row>
    <row r="183" spans="1:65" ht="19.95" customHeight="1" x14ac:dyDescent="0.3">
      <c r="A183" s="3" t="s">
        <v>18</v>
      </c>
      <c r="B183" s="3">
        <v>3</v>
      </c>
      <c r="C183" s="8">
        <v>44392</v>
      </c>
      <c r="D183" s="9">
        <v>0.3298611111111111</v>
      </c>
      <c r="E183" s="4">
        <v>70</v>
      </c>
      <c r="F183" s="3">
        <v>0</v>
      </c>
      <c r="G183" s="3">
        <v>0</v>
      </c>
      <c r="H183" s="3">
        <v>0</v>
      </c>
      <c r="I183" s="3">
        <v>0</v>
      </c>
      <c r="J183" s="9">
        <v>0.33055555555555555</v>
      </c>
      <c r="K183" s="3">
        <v>141.6</v>
      </c>
      <c r="L183" s="11">
        <f t="shared" ref="L183" si="328">K183-K182</f>
        <v>-3.4000000000000057</v>
      </c>
      <c r="M183" s="5">
        <f t="shared" ref="M183" si="329">AB182</f>
        <v>1953.75</v>
      </c>
      <c r="N183" s="11">
        <v>31.375</v>
      </c>
      <c r="O183" s="11">
        <v>32.625</v>
      </c>
      <c r="P183" s="11">
        <v>10.875</v>
      </c>
      <c r="Q183" s="11">
        <v>11</v>
      </c>
      <c r="R183" s="11">
        <v>20</v>
      </c>
      <c r="S183" s="11">
        <v>20</v>
      </c>
      <c r="T183" s="11">
        <v>15</v>
      </c>
      <c r="U183" s="11">
        <v>15</v>
      </c>
      <c r="V183" s="11">
        <v>18</v>
      </c>
      <c r="W183" s="11">
        <v>16</v>
      </c>
      <c r="X183" s="11">
        <v>7</v>
      </c>
      <c r="Y183" s="11">
        <v>7</v>
      </c>
      <c r="Z183" s="3" t="s">
        <v>960</v>
      </c>
      <c r="AA183" s="10" t="s">
        <v>959</v>
      </c>
      <c r="AB183" s="5">
        <f>571.25+80+210+31+473.67</f>
        <v>1365.92</v>
      </c>
      <c r="AC183" s="6">
        <f>30.15+5+11+0.34+28.7</f>
        <v>75.19</v>
      </c>
      <c r="AD183" s="6">
        <f>6.64+3.5+9+0.04+7.51</f>
        <v>26.689999999999998</v>
      </c>
      <c r="AE183" s="6">
        <f>36.55+6+20+3+29.53</f>
        <v>95.08</v>
      </c>
      <c r="AF183" s="6">
        <f>46.85+1+7+6+26.37</f>
        <v>87.22</v>
      </c>
      <c r="AG183" s="6">
        <f>9.48+0+1+2+6.13</f>
        <v>18.61</v>
      </c>
      <c r="AH183" s="6">
        <f>358.51+190+450+30.03+478.01</f>
        <v>1506.55</v>
      </c>
      <c r="AI183" s="6">
        <f t="shared" si="218"/>
        <v>5.5047147709968366E-2</v>
      </c>
      <c r="AJ183" s="6">
        <f t="shared" si="219"/>
        <v>1.9539943774159539E-2</v>
      </c>
      <c r="AK183" s="6">
        <f t="shared" si="220"/>
        <v>6.9608761860138216E-2</v>
      </c>
      <c r="AL183" s="6">
        <f t="shared" si="221"/>
        <v>6.3854398500644255E-2</v>
      </c>
      <c r="AM183" s="6">
        <f t="shared" si="222"/>
        <v>1.3624516809183553E-2</v>
      </c>
      <c r="AN183" s="6">
        <f t="shared" si="223"/>
        <v>1.1029562492678926</v>
      </c>
      <c r="AO183" s="7">
        <v>4</v>
      </c>
      <c r="AP183" s="7">
        <v>1</v>
      </c>
      <c r="AQ183" s="7">
        <v>1</v>
      </c>
      <c r="AR183" s="10">
        <v>0</v>
      </c>
      <c r="AS183" s="7">
        <v>0</v>
      </c>
      <c r="AT183" s="7">
        <v>0</v>
      </c>
      <c r="AU183" s="7">
        <v>0</v>
      </c>
      <c r="AV183" s="7">
        <v>0</v>
      </c>
      <c r="AW183" s="7">
        <v>31</v>
      </c>
      <c r="AX183" s="7">
        <v>1</v>
      </c>
      <c r="AY183" s="5">
        <v>7</v>
      </c>
      <c r="AZ183" s="7">
        <v>1</v>
      </c>
      <c r="BA183" s="7">
        <v>0</v>
      </c>
      <c r="BB183" s="7">
        <v>0</v>
      </c>
      <c r="BC183" s="7">
        <v>1</v>
      </c>
      <c r="BD183" s="7">
        <v>1</v>
      </c>
      <c r="BE183" s="7">
        <v>0</v>
      </c>
      <c r="BF183" s="7">
        <v>0</v>
      </c>
      <c r="BG183" s="7">
        <v>0</v>
      </c>
      <c r="BH183" s="7">
        <v>0</v>
      </c>
      <c r="BI183" s="7">
        <v>0</v>
      </c>
      <c r="BJ183" s="7">
        <v>1</v>
      </c>
      <c r="BK183" s="11">
        <v>2</v>
      </c>
      <c r="BL183" s="3" t="s">
        <v>976</v>
      </c>
      <c r="BM183" s="3">
        <v>0</v>
      </c>
    </row>
    <row r="184" spans="1:65" ht="19.95" customHeight="1" x14ac:dyDescent="0.3">
      <c r="A184" s="3" t="s">
        <v>137</v>
      </c>
      <c r="B184" s="3">
        <v>4</v>
      </c>
      <c r="C184" s="8">
        <v>44393</v>
      </c>
      <c r="D184" s="9">
        <v>0.27777777777777779</v>
      </c>
      <c r="E184" s="4">
        <v>66</v>
      </c>
      <c r="F184" s="3">
        <v>0</v>
      </c>
      <c r="G184" s="3">
        <v>0</v>
      </c>
      <c r="H184" s="3">
        <v>0</v>
      </c>
      <c r="I184" s="3">
        <v>0</v>
      </c>
      <c r="J184" s="9">
        <v>0.28125</v>
      </c>
      <c r="K184" s="3">
        <v>141</v>
      </c>
      <c r="L184" s="11">
        <f t="shared" ref="L184" si="330">K184-K183</f>
        <v>-0.59999999999999432</v>
      </c>
      <c r="M184" s="5">
        <f t="shared" ref="M184" si="331">AB183</f>
        <v>1365.92</v>
      </c>
      <c r="N184" s="11">
        <v>30.125</v>
      </c>
      <c r="O184" s="11">
        <v>32.375</v>
      </c>
      <c r="P184" s="11">
        <v>10.625</v>
      </c>
      <c r="Q184" s="11">
        <v>10.625</v>
      </c>
      <c r="R184" s="11">
        <v>19.875</v>
      </c>
      <c r="S184" s="11">
        <v>19.75</v>
      </c>
      <c r="T184" s="11">
        <v>16</v>
      </c>
      <c r="U184" s="11">
        <v>15</v>
      </c>
      <c r="V184" s="11">
        <v>17</v>
      </c>
      <c r="W184" s="11">
        <v>17</v>
      </c>
      <c r="X184" s="11">
        <v>7</v>
      </c>
      <c r="Y184" s="11">
        <v>7</v>
      </c>
      <c r="Z184" s="3" t="s">
        <v>961</v>
      </c>
      <c r="AA184" s="10" t="s">
        <v>962</v>
      </c>
      <c r="AB184" s="5">
        <f>947.33</f>
        <v>947.33</v>
      </c>
      <c r="AC184" s="6">
        <f>57.43</f>
        <v>57.43</v>
      </c>
      <c r="AD184" s="6">
        <f>15.03</f>
        <v>15.03</v>
      </c>
      <c r="AE184" s="6">
        <f>59.07</f>
        <v>59.07</v>
      </c>
      <c r="AF184" s="6">
        <f>52.73</f>
        <v>52.73</v>
      </c>
      <c r="AG184" s="6">
        <f>12.27</f>
        <v>12.27</v>
      </c>
      <c r="AH184" s="6">
        <f>956.02</f>
        <v>956.02</v>
      </c>
      <c r="AI184" s="6">
        <f t="shared" si="218"/>
        <v>6.0623014155574084E-2</v>
      </c>
      <c r="AJ184" s="6">
        <f t="shared" si="219"/>
        <v>1.5865643439983954E-2</v>
      </c>
      <c r="AK184" s="6">
        <f t="shared" si="220"/>
        <v>6.23541954757054E-2</v>
      </c>
      <c r="AL184" s="6">
        <f t="shared" si="221"/>
        <v>5.5661701835685549E-2</v>
      </c>
      <c r="AM184" s="6">
        <f t="shared" si="222"/>
        <v>1.295219195000686E-2</v>
      </c>
      <c r="AN184" s="6">
        <f t="shared" si="223"/>
        <v>1.0091731497999641</v>
      </c>
      <c r="AO184" s="7">
        <v>4</v>
      </c>
      <c r="AP184" s="7">
        <v>0</v>
      </c>
      <c r="AQ184" s="7">
        <v>1</v>
      </c>
      <c r="AR184" s="10">
        <v>0</v>
      </c>
      <c r="AS184" s="7">
        <v>0</v>
      </c>
      <c r="AT184" s="7">
        <v>0</v>
      </c>
      <c r="AU184" s="7">
        <v>0</v>
      </c>
      <c r="AV184" s="7">
        <v>0</v>
      </c>
      <c r="AW184" s="7">
        <v>31</v>
      </c>
      <c r="AX184" s="7">
        <v>1</v>
      </c>
      <c r="AY184" s="5">
        <v>5</v>
      </c>
      <c r="AZ184" s="7">
        <v>1</v>
      </c>
      <c r="BA184" s="7">
        <v>1</v>
      </c>
      <c r="BB184" s="7">
        <v>0</v>
      </c>
      <c r="BC184" s="7">
        <v>1</v>
      </c>
      <c r="BD184" s="7">
        <v>1</v>
      </c>
      <c r="BE184" s="7">
        <v>0</v>
      </c>
      <c r="BF184" s="7">
        <v>0</v>
      </c>
      <c r="BG184" s="7">
        <v>0</v>
      </c>
      <c r="BH184" s="7">
        <v>0</v>
      </c>
      <c r="BI184" s="7">
        <v>0</v>
      </c>
      <c r="BJ184" s="7">
        <v>1</v>
      </c>
      <c r="BK184" s="11">
        <v>0</v>
      </c>
      <c r="BL184" s="7">
        <v>0</v>
      </c>
      <c r="BM184" s="3">
        <v>0</v>
      </c>
    </row>
    <row r="185" spans="1:65" ht="19.95" customHeight="1" x14ac:dyDescent="0.3">
      <c r="A185" s="3" t="s">
        <v>19</v>
      </c>
      <c r="B185" s="3">
        <v>5</v>
      </c>
      <c r="C185" s="8">
        <v>44394</v>
      </c>
      <c r="D185" s="9">
        <v>0.29166666666666669</v>
      </c>
      <c r="E185" s="4">
        <v>66</v>
      </c>
      <c r="F185" s="3">
        <v>0</v>
      </c>
      <c r="G185" s="3">
        <v>0</v>
      </c>
      <c r="H185" s="3">
        <v>0</v>
      </c>
      <c r="I185" s="3">
        <v>0</v>
      </c>
      <c r="J185" s="9">
        <v>0.28611111111111115</v>
      </c>
      <c r="K185" s="3">
        <v>140.6</v>
      </c>
      <c r="L185" s="11">
        <f t="shared" ref="L185" si="332">K185-K184</f>
        <v>-0.40000000000000568</v>
      </c>
      <c r="M185" s="5">
        <f t="shared" ref="M185" si="333">AB184</f>
        <v>947.33</v>
      </c>
      <c r="N185" s="11">
        <v>30</v>
      </c>
      <c r="O185" s="11">
        <v>32</v>
      </c>
      <c r="P185" s="11">
        <v>10.875</v>
      </c>
      <c r="Q185" s="11">
        <v>10.75</v>
      </c>
      <c r="R185" s="11">
        <v>20</v>
      </c>
      <c r="S185" s="11">
        <v>20</v>
      </c>
      <c r="T185" s="11">
        <v>16</v>
      </c>
      <c r="U185" s="11">
        <v>15</v>
      </c>
      <c r="V185" s="11">
        <v>15</v>
      </c>
      <c r="W185" s="11">
        <v>16</v>
      </c>
      <c r="X185" s="11">
        <v>7</v>
      </c>
      <c r="Y185" s="11">
        <v>7</v>
      </c>
      <c r="Z185" s="3" t="s">
        <v>993</v>
      </c>
      <c r="AA185" s="10" t="s">
        <v>992</v>
      </c>
      <c r="AB185" s="5">
        <f>300+240+969+20</f>
        <v>1529</v>
      </c>
      <c r="AC185" s="6">
        <f>3+15+46.23+1.5</f>
        <v>65.72999999999999</v>
      </c>
      <c r="AD185" s="6">
        <f>0+10.5+8.83+0</f>
        <v>19.329999999999998</v>
      </c>
      <c r="AE185" s="6">
        <f>6+18+32.88+0.5</f>
        <v>57.38</v>
      </c>
      <c r="AF185" s="6">
        <f>63+3+104.95+1</f>
        <v>171.95</v>
      </c>
      <c r="AG185" s="6">
        <f>6+0+8.13+0.5</f>
        <v>14.63</v>
      </c>
      <c r="AH185" s="6">
        <f>60+570+969.5+90</f>
        <v>1689.5</v>
      </c>
      <c r="AI185" s="6">
        <f t="shared" si="218"/>
        <v>4.2988881621975138E-2</v>
      </c>
      <c r="AJ185" s="6">
        <f t="shared" si="219"/>
        <v>1.2642249836494439E-2</v>
      </c>
      <c r="AK185" s="6">
        <f t="shared" si="220"/>
        <v>3.7527795945062135E-2</v>
      </c>
      <c r="AL185" s="6">
        <f t="shared" si="221"/>
        <v>0.11245912361020274</v>
      </c>
      <c r="AM185" s="6">
        <f t="shared" si="222"/>
        <v>9.5683453237410069E-3</v>
      </c>
      <c r="AN185" s="6">
        <f t="shared" si="223"/>
        <v>1.1049705689993459</v>
      </c>
      <c r="AO185" s="7">
        <v>4</v>
      </c>
      <c r="AP185" s="7">
        <v>1</v>
      </c>
      <c r="AQ185" s="7">
        <v>1</v>
      </c>
      <c r="AR185" s="10">
        <v>0</v>
      </c>
      <c r="AS185" s="7">
        <v>0</v>
      </c>
      <c r="AT185" s="7">
        <v>0</v>
      </c>
      <c r="AU185" s="7">
        <v>0</v>
      </c>
      <c r="AV185" s="7">
        <v>0</v>
      </c>
      <c r="AW185" s="7">
        <v>30</v>
      </c>
      <c r="AX185" s="7">
        <v>1</v>
      </c>
      <c r="AY185" s="5">
        <v>3.5</v>
      </c>
      <c r="AZ185" s="7">
        <v>1</v>
      </c>
      <c r="BA185" s="7">
        <v>0</v>
      </c>
      <c r="BB185" s="7">
        <v>0</v>
      </c>
      <c r="BC185" s="7">
        <v>1</v>
      </c>
      <c r="BD185" s="7">
        <v>1</v>
      </c>
      <c r="BE185" s="7">
        <v>0</v>
      </c>
      <c r="BF185" s="7">
        <v>0</v>
      </c>
      <c r="BG185" s="7">
        <v>0</v>
      </c>
      <c r="BH185" s="7">
        <v>0</v>
      </c>
      <c r="BI185" s="7">
        <v>0</v>
      </c>
      <c r="BJ185" s="7">
        <v>1</v>
      </c>
      <c r="BK185" s="11">
        <v>1</v>
      </c>
      <c r="BL185" s="3" t="s">
        <v>976</v>
      </c>
      <c r="BM185" s="3">
        <v>0</v>
      </c>
    </row>
    <row r="186" spans="1:65" ht="19.95" customHeight="1" x14ac:dyDescent="0.3">
      <c r="A186" s="3" t="s">
        <v>23</v>
      </c>
      <c r="B186" s="3">
        <v>6</v>
      </c>
      <c r="C186" s="8">
        <v>44395</v>
      </c>
      <c r="D186" s="9">
        <v>0.27430555555555552</v>
      </c>
      <c r="E186" s="4">
        <v>72</v>
      </c>
      <c r="F186" s="3">
        <v>0</v>
      </c>
      <c r="G186" s="3">
        <v>0</v>
      </c>
      <c r="H186" s="3">
        <v>0</v>
      </c>
      <c r="I186" s="3">
        <v>0</v>
      </c>
      <c r="J186" s="9">
        <v>0.3</v>
      </c>
      <c r="K186" s="3">
        <v>140.80000000000001</v>
      </c>
      <c r="L186" s="11">
        <f t="shared" ref="L186" si="334">K186-K185</f>
        <v>0.20000000000001705</v>
      </c>
      <c r="M186" s="5">
        <f t="shared" ref="M186" si="335">AB185</f>
        <v>1529</v>
      </c>
      <c r="N186" s="11">
        <v>30.375</v>
      </c>
      <c r="O186" s="11">
        <v>32.125</v>
      </c>
      <c r="P186" s="11">
        <v>10.625</v>
      </c>
      <c r="Q186" s="11">
        <v>10.625</v>
      </c>
      <c r="R186" s="11">
        <v>19.75</v>
      </c>
      <c r="S186" s="11">
        <v>19.875</v>
      </c>
      <c r="T186" s="11">
        <v>17</v>
      </c>
      <c r="U186" s="11">
        <v>15</v>
      </c>
      <c r="V186" s="11">
        <v>17</v>
      </c>
      <c r="W186" s="11">
        <v>17</v>
      </c>
      <c r="X186" s="11">
        <v>7</v>
      </c>
      <c r="Y186" s="11">
        <v>7</v>
      </c>
      <c r="Z186" s="3" t="s">
        <v>1000</v>
      </c>
      <c r="AA186" s="10" t="s">
        <v>999</v>
      </c>
      <c r="AB186" s="5">
        <f>100+120+75+397.33+401+260+336+106.67+159.33</f>
        <v>1955.33</v>
      </c>
      <c r="AC186" s="6">
        <f>0+14+1.5+0+14.63+17+8+6.67+9</f>
        <v>70.800000000000011</v>
      </c>
      <c r="AD186" s="6">
        <f>0+2+0+0+9.23+11+2+4.67+6</f>
        <v>34.9</v>
      </c>
      <c r="AE186" s="6">
        <f>25+0+3+0+16.13+2+8+8+2</f>
        <v>64.13</v>
      </c>
      <c r="AF186" s="6">
        <f>0+0+10.5+98.33+47.2+26+54+1.33+20</f>
        <v>257.36</v>
      </c>
      <c r="AG186" s="6">
        <f>0+0+3+0+2.53+1+2+0+2</f>
        <v>10.53</v>
      </c>
      <c r="AH186" s="6">
        <f>150+0+390+53.33+314.67+200+602+253.33+40</f>
        <v>2003.33</v>
      </c>
      <c r="AI186" s="6">
        <f t="shared" si="218"/>
        <v>3.6208721801435056E-2</v>
      </c>
      <c r="AJ186" s="6">
        <f t="shared" si="219"/>
        <v>1.78486495885605E-2</v>
      </c>
      <c r="AK186" s="6">
        <f t="shared" si="220"/>
        <v>3.2797532897260305E-2</v>
      </c>
      <c r="AL186" s="6">
        <f t="shared" si="221"/>
        <v>0.13161972659346505</v>
      </c>
      <c r="AM186" s="6">
        <f t="shared" si="222"/>
        <v>5.3852802340269923E-3</v>
      </c>
      <c r="AN186" s="6">
        <f t="shared" si="223"/>
        <v>1.0245482859670747</v>
      </c>
      <c r="AO186" s="7">
        <v>5</v>
      </c>
      <c r="AP186" s="7">
        <v>2</v>
      </c>
      <c r="AQ186" s="7">
        <v>0</v>
      </c>
      <c r="AR186" s="10">
        <v>0</v>
      </c>
      <c r="AS186" s="7">
        <v>0</v>
      </c>
      <c r="AT186" s="7">
        <v>0</v>
      </c>
      <c r="AU186" s="7">
        <v>0</v>
      </c>
      <c r="AV186" s="7">
        <v>0</v>
      </c>
      <c r="AW186" s="7">
        <v>31</v>
      </c>
      <c r="AX186" s="7">
        <v>1</v>
      </c>
      <c r="AY186" s="5">
        <v>7.5</v>
      </c>
      <c r="AZ186" s="7">
        <v>0</v>
      </c>
      <c r="BA186" s="7">
        <v>0</v>
      </c>
      <c r="BB186" s="7">
        <v>0</v>
      </c>
      <c r="BC186" s="7">
        <v>1</v>
      </c>
      <c r="BD186" s="7">
        <v>1</v>
      </c>
      <c r="BE186" s="7">
        <v>0</v>
      </c>
      <c r="BF186" s="7">
        <v>0</v>
      </c>
      <c r="BG186" s="7">
        <v>0</v>
      </c>
      <c r="BH186" s="7">
        <v>0</v>
      </c>
      <c r="BI186" s="7">
        <v>0</v>
      </c>
      <c r="BJ186" s="7">
        <v>1</v>
      </c>
      <c r="BK186" s="11">
        <v>1</v>
      </c>
      <c r="BL186" s="3" t="s">
        <v>976</v>
      </c>
      <c r="BM186" s="3">
        <v>0</v>
      </c>
    </row>
    <row r="187" spans="1:65" ht="19.95" customHeight="1" x14ac:dyDescent="0.3">
      <c r="A187" s="3" t="s">
        <v>15</v>
      </c>
      <c r="B187" s="3">
        <v>7</v>
      </c>
      <c r="C187" s="8">
        <v>44396</v>
      </c>
      <c r="D187" s="9">
        <v>0.37777777777777777</v>
      </c>
      <c r="E187" s="4">
        <v>77</v>
      </c>
      <c r="F187" s="3">
        <v>0</v>
      </c>
      <c r="G187" s="3">
        <v>0</v>
      </c>
      <c r="H187" s="3">
        <v>0</v>
      </c>
      <c r="I187" s="3">
        <v>0</v>
      </c>
      <c r="J187" s="9">
        <v>0.3840277777777778</v>
      </c>
      <c r="K187" s="3">
        <v>140</v>
      </c>
      <c r="L187" s="11">
        <f t="shared" ref="L187" si="336">K187-K186</f>
        <v>-0.80000000000001137</v>
      </c>
      <c r="M187" s="5">
        <f t="shared" ref="M187" si="337">AB186</f>
        <v>1955.33</v>
      </c>
      <c r="N187" s="11">
        <v>30.5</v>
      </c>
      <c r="O187" s="11">
        <v>32.25</v>
      </c>
      <c r="P187" s="11">
        <v>10.625</v>
      </c>
      <c r="Q187" s="11">
        <v>10.625</v>
      </c>
      <c r="R187" s="11">
        <v>19.625</v>
      </c>
      <c r="S187" s="11">
        <v>19.75</v>
      </c>
      <c r="T187" s="11">
        <v>17</v>
      </c>
      <c r="U187" s="11">
        <v>17</v>
      </c>
      <c r="V187" s="11">
        <v>17</v>
      </c>
      <c r="W187" s="11">
        <v>15</v>
      </c>
      <c r="X187" s="11">
        <v>7</v>
      </c>
      <c r="Y187" s="11">
        <v>7</v>
      </c>
      <c r="Z187" s="3" t="s">
        <v>1003</v>
      </c>
      <c r="AA187" s="10" t="s">
        <v>1002</v>
      </c>
      <c r="AB187" s="5">
        <f>601.5+180</f>
        <v>781.5</v>
      </c>
      <c r="AC187" s="6">
        <f>21.95+0</f>
        <v>21.95</v>
      </c>
      <c r="AD187" s="6">
        <f>13.85+0</f>
        <v>13.85</v>
      </c>
      <c r="AE187" s="6">
        <f>24.2+0</f>
        <v>24.2</v>
      </c>
      <c r="AF187" s="6">
        <f>70.8+44</f>
        <v>114.8</v>
      </c>
      <c r="AG187" s="6">
        <f>3.8+4</f>
        <v>7.8</v>
      </c>
      <c r="AH187" s="6">
        <f>472+0</f>
        <v>472</v>
      </c>
      <c r="AI187" s="6">
        <f t="shared" si="218"/>
        <v>2.8087012156110043E-2</v>
      </c>
      <c r="AJ187" s="6">
        <f t="shared" si="219"/>
        <v>1.7722328854766475E-2</v>
      </c>
      <c r="AK187" s="6">
        <f t="shared" si="220"/>
        <v>3.0966090850927701E-2</v>
      </c>
      <c r="AL187" s="6">
        <f t="shared" si="221"/>
        <v>0.14689699296225209</v>
      </c>
      <c r="AM187" s="6">
        <f t="shared" si="222"/>
        <v>9.9808061420345491E-3</v>
      </c>
      <c r="AN187" s="6">
        <f t="shared" si="223"/>
        <v>0.60396673064619322</v>
      </c>
      <c r="AO187" s="7">
        <v>3</v>
      </c>
      <c r="AP187" s="7">
        <v>1</v>
      </c>
      <c r="AQ187" s="7">
        <v>0</v>
      </c>
      <c r="AR187" s="10">
        <v>0</v>
      </c>
      <c r="AS187" s="7">
        <v>0</v>
      </c>
      <c r="AT187" s="7">
        <v>0</v>
      </c>
      <c r="AU187" s="7">
        <v>0</v>
      </c>
      <c r="AV187" s="7">
        <v>0</v>
      </c>
      <c r="AW187" s="7">
        <v>30</v>
      </c>
      <c r="AX187" s="7">
        <v>1</v>
      </c>
      <c r="AY187" s="5">
        <f>7+3</f>
        <v>10</v>
      </c>
      <c r="AZ187" s="7">
        <v>0</v>
      </c>
      <c r="BA187" s="7">
        <v>1</v>
      </c>
      <c r="BB187" s="7">
        <v>0</v>
      </c>
      <c r="BC187" s="7">
        <v>1</v>
      </c>
      <c r="BD187" s="7">
        <v>1</v>
      </c>
      <c r="BE187" s="7">
        <v>0</v>
      </c>
      <c r="BF187" s="7">
        <v>2</v>
      </c>
      <c r="BG187" s="3">
        <f>15+160</f>
        <v>175</v>
      </c>
      <c r="BH187" s="7">
        <v>0</v>
      </c>
      <c r="BI187" s="7">
        <v>1</v>
      </c>
      <c r="BJ187" s="7">
        <v>1</v>
      </c>
      <c r="BK187" s="11">
        <v>0</v>
      </c>
      <c r="BL187" s="3">
        <v>0</v>
      </c>
      <c r="BM187" s="3">
        <v>0</v>
      </c>
    </row>
    <row r="188" spans="1:65" ht="19.95" customHeight="1" x14ac:dyDescent="0.3">
      <c r="A188" s="3" t="s">
        <v>16</v>
      </c>
      <c r="B188" s="3">
        <v>8</v>
      </c>
      <c r="C188" s="8">
        <v>44397</v>
      </c>
      <c r="D188" s="9">
        <v>0.32222222222222224</v>
      </c>
      <c r="E188" s="4">
        <v>73</v>
      </c>
      <c r="F188" s="3">
        <v>0</v>
      </c>
      <c r="G188" s="3">
        <v>0</v>
      </c>
      <c r="H188" s="3">
        <v>0</v>
      </c>
      <c r="I188" s="3">
        <v>0</v>
      </c>
      <c r="J188" s="9">
        <v>0.31666666666666665</v>
      </c>
      <c r="K188" s="3">
        <v>139.6</v>
      </c>
      <c r="L188" s="11">
        <f t="shared" ref="L188" si="338">K188-K187</f>
        <v>-0.40000000000000568</v>
      </c>
      <c r="M188" s="5">
        <f t="shared" ref="M188" si="339">AB187</f>
        <v>781.5</v>
      </c>
      <c r="N188" s="11">
        <v>30.375</v>
      </c>
      <c r="O188" s="11">
        <v>32</v>
      </c>
      <c r="P188" s="11">
        <v>10.875</v>
      </c>
      <c r="Q188" s="11">
        <v>10.625</v>
      </c>
      <c r="R188" s="11">
        <v>19.625</v>
      </c>
      <c r="S188" s="11">
        <v>20.125</v>
      </c>
      <c r="T188" s="11">
        <v>17</v>
      </c>
      <c r="U188" s="11">
        <v>15</v>
      </c>
      <c r="V188" s="11">
        <v>17</v>
      </c>
      <c r="W188" s="11">
        <v>15</v>
      </c>
      <c r="X188" s="11">
        <v>7</v>
      </c>
      <c r="Y188" s="11">
        <v>7</v>
      </c>
      <c r="Z188" s="3" t="s">
        <v>1004</v>
      </c>
      <c r="AA188" s="10" t="s">
        <v>1006</v>
      </c>
      <c r="AB188" s="5">
        <f>210+280+160+90+10+496</f>
        <v>1246</v>
      </c>
      <c r="AC188" s="6">
        <f>11+4+10+0+0.75+31</f>
        <v>56.75</v>
      </c>
      <c r="AD188" s="6">
        <f>9+0+7+0+0+9.95</f>
        <v>25.95</v>
      </c>
      <c r="AE188" s="6">
        <f>20+12+12+0+0.25+12.85</f>
        <v>57.1</v>
      </c>
      <c r="AF188" s="6">
        <f>7+52+2+22+0.5+42.45</f>
        <v>125.95</v>
      </c>
      <c r="AG188" s="6">
        <f>1+8+0+2+0.25+3.4</f>
        <v>14.65</v>
      </c>
      <c r="AH188" s="6">
        <f>450+420+380+0+45+287</f>
        <v>1582</v>
      </c>
      <c r="AI188" s="6">
        <f t="shared" si="218"/>
        <v>4.5545746388443019E-2</v>
      </c>
      <c r="AJ188" s="6">
        <f t="shared" si="219"/>
        <v>2.082664526484751E-2</v>
      </c>
      <c r="AK188" s="6">
        <f t="shared" si="220"/>
        <v>4.5826645264847511E-2</v>
      </c>
      <c r="AL188" s="6">
        <f t="shared" si="221"/>
        <v>0.10108346709470305</v>
      </c>
      <c r="AM188" s="6">
        <f t="shared" si="222"/>
        <v>1.1757624398073837E-2</v>
      </c>
      <c r="AN188" s="6">
        <f t="shared" si="223"/>
        <v>1.2696629213483146</v>
      </c>
      <c r="AO188" s="7">
        <v>4</v>
      </c>
      <c r="AP188" s="7">
        <v>0</v>
      </c>
      <c r="AQ188" s="7">
        <v>0</v>
      </c>
      <c r="AR188" s="10">
        <v>0</v>
      </c>
      <c r="AS188" s="7">
        <v>0</v>
      </c>
      <c r="AT188" s="7">
        <v>0</v>
      </c>
      <c r="AU188" s="7">
        <v>0</v>
      </c>
      <c r="AV188" s="7">
        <v>0</v>
      </c>
      <c r="AW188" s="7">
        <v>31</v>
      </c>
      <c r="AX188" s="7">
        <v>1</v>
      </c>
      <c r="AY188" s="5">
        <v>8</v>
      </c>
      <c r="AZ188" s="7">
        <v>0</v>
      </c>
      <c r="BA188" s="7">
        <v>0</v>
      </c>
      <c r="BB188" s="7">
        <v>0</v>
      </c>
      <c r="BC188" s="7">
        <v>1</v>
      </c>
      <c r="BD188" s="7">
        <v>1</v>
      </c>
      <c r="BE188" s="7">
        <v>0</v>
      </c>
      <c r="BF188" s="7">
        <v>0</v>
      </c>
      <c r="BG188" s="7">
        <v>0</v>
      </c>
      <c r="BH188" s="7">
        <v>0</v>
      </c>
      <c r="BI188" s="7">
        <v>0</v>
      </c>
      <c r="BJ188" s="7">
        <v>1</v>
      </c>
      <c r="BK188" s="11">
        <v>0.75</v>
      </c>
      <c r="BL188" s="3" t="s">
        <v>976</v>
      </c>
      <c r="BM188" s="3">
        <v>0</v>
      </c>
    </row>
    <row r="189" spans="1:65" ht="19.95" customHeight="1" x14ac:dyDescent="0.3">
      <c r="A189" s="3" t="s">
        <v>17</v>
      </c>
      <c r="B189" s="3">
        <v>9</v>
      </c>
      <c r="C189" s="8">
        <v>44398</v>
      </c>
      <c r="D189" s="9">
        <v>0.31388888888888888</v>
      </c>
      <c r="E189" s="4">
        <v>76</v>
      </c>
      <c r="F189" s="3">
        <v>0</v>
      </c>
      <c r="G189" s="3">
        <v>0</v>
      </c>
      <c r="H189" s="3">
        <v>0</v>
      </c>
      <c r="I189" s="3">
        <v>0</v>
      </c>
      <c r="J189" s="9">
        <v>0.31111111111111112</v>
      </c>
      <c r="K189" s="3">
        <v>140</v>
      </c>
      <c r="L189" s="11">
        <f t="shared" ref="L189" si="340">K189-K188</f>
        <v>0.40000000000000568</v>
      </c>
      <c r="M189" s="5">
        <f t="shared" ref="M189" si="341">AB188</f>
        <v>1246</v>
      </c>
      <c r="N189" s="11">
        <v>30.5</v>
      </c>
      <c r="O189" s="11">
        <v>32.25</v>
      </c>
      <c r="P189" s="11">
        <v>10.5</v>
      </c>
      <c r="Q189" s="11">
        <v>10.625</v>
      </c>
      <c r="R189" s="11">
        <v>19.625</v>
      </c>
      <c r="S189" s="11">
        <v>19.75</v>
      </c>
      <c r="T189" s="11">
        <v>17</v>
      </c>
      <c r="U189" s="11">
        <v>15</v>
      </c>
      <c r="V189" s="11">
        <v>17</v>
      </c>
      <c r="W189" s="11">
        <v>15</v>
      </c>
      <c r="X189" s="11">
        <v>7</v>
      </c>
      <c r="Y189" s="11">
        <v>7</v>
      </c>
      <c r="Z189" s="3" t="s">
        <v>1007</v>
      </c>
      <c r="AA189" s="10" t="s">
        <v>1008</v>
      </c>
      <c r="AB189" s="5">
        <f>225+420+160+210+150</f>
        <v>1165</v>
      </c>
      <c r="AC189" s="6">
        <f>0+6+10+11+9</f>
        <v>36</v>
      </c>
      <c r="AD189" s="6">
        <f>0+0+7+9+5</f>
        <v>21</v>
      </c>
      <c r="AE189" s="6">
        <f>0+18+12+20+3</f>
        <v>53</v>
      </c>
      <c r="AF189" s="6">
        <f>55+78+2+7+17</f>
        <v>159</v>
      </c>
      <c r="AG189" s="6">
        <f>5+12+0+1+1</f>
        <v>19</v>
      </c>
      <c r="AH189" s="6">
        <f>0+630+380+450+50</f>
        <v>1510</v>
      </c>
      <c r="AI189" s="6">
        <f t="shared" si="218"/>
        <v>3.0901287553648068E-2</v>
      </c>
      <c r="AJ189" s="6">
        <f t="shared" si="219"/>
        <v>1.8025751072961373E-2</v>
      </c>
      <c r="AK189" s="6">
        <f t="shared" si="220"/>
        <v>4.5493562231759654E-2</v>
      </c>
      <c r="AL189" s="6">
        <f t="shared" si="221"/>
        <v>0.13648068669527896</v>
      </c>
      <c r="AM189" s="6">
        <f t="shared" si="222"/>
        <v>1.6309012875536481E-2</v>
      </c>
      <c r="AN189" s="6">
        <f t="shared" si="223"/>
        <v>1.296137339055794</v>
      </c>
      <c r="AO189" s="7">
        <v>5</v>
      </c>
      <c r="AP189" s="7">
        <v>1</v>
      </c>
      <c r="AQ189" s="7">
        <v>0</v>
      </c>
      <c r="AR189" s="10">
        <v>0</v>
      </c>
      <c r="AS189" s="7">
        <v>0</v>
      </c>
      <c r="AT189" s="7">
        <v>0</v>
      </c>
      <c r="AU189" s="7">
        <v>0</v>
      </c>
      <c r="AV189" s="7">
        <v>0</v>
      </c>
      <c r="AW189" s="7">
        <v>0</v>
      </c>
      <c r="AX189" s="7">
        <v>1</v>
      </c>
      <c r="AY189" s="5">
        <v>6</v>
      </c>
      <c r="AZ189" s="7">
        <v>0</v>
      </c>
      <c r="BA189" s="7">
        <v>1</v>
      </c>
      <c r="BB189" s="7">
        <v>0</v>
      </c>
      <c r="BC189" s="7">
        <v>1</v>
      </c>
      <c r="BD189" s="7">
        <v>1</v>
      </c>
      <c r="BE189" s="7">
        <v>0</v>
      </c>
      <c r="BF189" s="7">
        <v>0</v>
      </c>
      <c r="BG189" s="7">
        <v>0</v>
      </c>
      <c r="BH189" s="7">
        <v>0</v>
      </c>
      <c r="BI189" s="7">
        <v>0</v>
      </c>
      <c r="BJ189" s="7">
        <v>1</v>
      </c>
      <c r="BK189" s="11">
        <v>0</v>
      </c>
      <c r="BL189" s="7">
        <v>0</v>
      </c>
      <c r="BM189" s="3">
        <v>0</v>
      </c>
    </row>
    <row r="190" spans="1:65" ht="19.95" customHeight="1" x14ac:dyDescent="0.3">
      <c r="A190" s="3" t="s">
        <v>18</v>
      </c>
      <c r="B190" s="3">
        <v>10</v>
      </c>
      <c r="C190" s="8">
        <v>44399</v>
      </c>
      <c r="D190" s="9">
        <v>0.32222222222222224</v>
      </c>
      <c r="E190" s="4">
        <v>73</v>
      </c>
      <c r="F190" s="3">
        <v>0</v>
      </c>
      <c r="G190" s="3">
        <v>0</v>
      </c>
      <c r="H190" s="3">
        <v>0</v>
      </c>
      <c r="I190" s="3">
        <v>0</v>
      </c>
      <c r="J190" s="9">
        <v>0.32291666666666669</v>
      </c>
      <c r="K190" s="3">
        <v>139.80000000000001</v>
      </c>
      <c r="L190" s="11">
        <f t="shared" ref="L190" si="342">K190-K189</f>
        <v>-0.19999999999998863</v>
      </c>
      <c r="M190" s="5">
        <f t="shared" ref="M190" si="343">AB189</f>
        <v>1165</v>
      </c>
      <c r="N190" s="11">
        <v>30.5</v>
      </c>
      <c r="O190" s="11">
        <v>32.25</v>
      </c>
      <c r="P190" s="11">
        <v>10.75</v>
      </c>
      <c r="Q190" s="11">
        <v>10.625</v>
      </c>
      <c r="R190" s="11">
        <v>19.625</v>
      </c>
      <c r="S190" s="11">
        <v>19.625</v>
      </c>
      <c r="T190" s="11">
        <v>14</v>
      </c>
      <c r="U190" s="11">
        <v>12</v>
      </c>
      <c r="V190" s="11">
        <v>17</v>
      </c>
      <c r="W190" s="11">
        <v>13</v>
      </c>
      <c r="X190" s="11">
        <v>7</v>
      </c>
      <c r="Y190" s="11">
        <v>7</v>
      </c>
      <c r="Z190" s="3" t="s">
        <v>1013</v>
      </c>
      <c r="AA190" s="10" t="s">
        <v>1012</v>
      </c>
      <c r="AB190" s="5">
        <f>720+570+30+240+165+90+120</f>
        <v>1935</v>
      </c>
      <c r="AC190" s="6">
        <f>42+6+0+15+9.75+0+3</f>
        <v>75.75</v>
      </c>
      <c r="AD190" s="6">
        <f>24+1.5+0+10.5+6+0+0</f>
        <v>42</v>
      </c>
      <c r="AE190" s="6">
        <f>57+18+0+18+2.25+0+2</f>
        <v>97.25</v>
      </c>
      <c r="AF190" s="6">
        <f>27+108+8+3+19.5+22+20</f>
        <v>207.5</v>
      </c>
      <c r="AG190" s="6">
        <f>9+3+1+0+0.75+2+1</f>
        <v>16.75</v>
      </c>
      <c r="AH190" s="6">
        <f>1110+1140+150+570+26.25+0+120</f>
        <v>3116.25</v>
      </c>
      <c r="AI190" s="6">
        <f t="shared" si="218"/>
        <v>3.9147286821705429E-2</v>
      </c>
      <c r="AJ190" s="6">
        <f t="shared" si="219"/>
        <v>2.1705426356589147E-2</v>
      </c>
      <c r="AK190" s="6">
        <f t="shared" si="220"/>
        <v>5.0258397932816536E-2</v>
      </c>
      <c r="AL190" s="6">
        <f t="shared" si="221"/>
        <v>0.10723514211886305</v>
      </c>
      <c r="AM190" s="6">
        <f t="shared" si="222"/>
        <v>8.6563307493540045E-3</v>
      </c>
      <c r="AN190" s="6">
        <f t="shared" si="223"/>
        <v>1.6104651162790697</v>
      </c>
      <c r="AO190" s="7">
        <v>4</v>
      </c>
      <c r="AP190" s="7">
        <v>1</v>
      </c>
      <c r="AQ190" s="7">
        <v>0</v>
      </c>
      <c r="AR190" s="10">
        <v>0</v>
      </c>
      <c r="AS190" s="7">
        <v>0</v>
      </c>
      <c r="AT190" s="7">
        <v>0</v>
      </c>
      <c r="AU190" s="7">
        <v>0</v>
      </c>
      <c r="AV190" s="7">
        <v>0</v>
      </c>
      <c r="AW190" s="7">
        <v>31</v>
      </c>
      <c r="AX190" s="7">
        <v>1</v>
      </c>
      <c r="AY190" s="5">
        <v>6.5</v>
      </c>
      <c r="AZ190" s="7">
        <v>0</v>
      </c>
      <c r="BA190" s="7">
        <v>0</v>
      </c>
      <c r="BB190" s="7">
        <v>0</v>
      </c>
      <c r="BC190" s="7">
        <v>1</v>
      </c>
      <c r="BD190" s="7">
        <v>1</v>
      </c>
      <c r="BE190" s="7">
        <v>0</v>
      </c>
      <c r="BF190" s="7">
        <v>0</v>
      </c>
      <c r="BG190" s="7">
        <v>0</v>
      </c>
      <c r="BH190" s="7">
        <v>0</v>
      </c>
      <c r="BI190" s="7">
        <v>0</v>
      </c>
      <c r="BJ190" s="7">
        <v>1</v>
      </c>
      <c r="BK190" s="11">
        <v>2</v>
      </c>
      <c r="BL190" s="3" t="s">
        <v>976</v>
      </c>
      <c r="BM190" s="3">
        <v>0</v>
      </c>
    </row>
    <row r="191" spans="1:65" ht="19.95" customHeight="1" x14ac:dyDescent="0.3">
      <c r="A191" s="3" t="s">
        <v>137</v>
      </c>
      <c r="B191" s="3">
        <v>11</v>
      </c>
      <c r="C191" s="8">
        <v>44400</v>
      </c>
      <c r="D191" s="9">
        <v>0.31666666666666665</v>
      </c>
      <c r="E191" s="4">
        <v>71</v>
      </c>
      <c r="F191" s="3">
        <v>0</v>
      </c>
      <c r="G191" s="3">
        <v>0</v>
      </c>
      <c r="H191" s="3">
        <v>0</v>
      </c>
      <c r="I191" s="3">
        <v>0</v>
      </c>
      <c r="J191" s="9">
        <v>0.31736111111111115</v>
      </c>
      <c r="K191" s="3">
        <v>140.4</v>
      </c>
      <c r="L191" s="11">
        <f t="shared" ref="L191" si="344">K191-K190</f>
        <v>0.59999999999999432</v>
      </c>
      <c r="M191" s="5">
        <f t="shared" ref="M191" si="345">AB190</f>
        <v>1935</v>
      </c>
      <c r="N191" s="11">
        <v>31</v>
      </c>
      <c r="O191" s="11">
        <v>32.625</v>
      </c>
      <c r="P191" s="11">
        <v>10.75</v>
      </c>
      <c r="Q191" s="11">
        <v>10.625</v>
      </c>
      <c r="R191" s="11">
        <v>19.625</v>
      </c>
      <c r="S191" s="11">
        <v>19.75</v>
      </c>
      <c r="T191" s="11">
        <v>15</v>
      </c>
      <c r="U191" s="11">
        <v>14</v>
      </c>
      <c r="V191" s="11">
        <v>17</v>
      </c>
      <c r="W191" s="11">
        <v>17</v>
      </c>
      <c r="X191" s="11">
        <v>7</v>
      </c>
      <c r="Y191" s="11">
        <v>7</v>
      </c>
      <c r="Z191" s="3" t="s">
        <v>1019</v>
      </c>
      <c r="AA191" s="10" t="s">
        <v>1018</v>
      </c>
      <c r="AB191" s="5">
        <f>159.33+190+80+240+50+190+280+677.33+120</f>
        <v>1986.6599999999999</v>
      </c>
      <c r="AC191" s="6">
        <f>9+2+5+14+0+16+4+17.73+3</f>
        <v>70.73</v>
      </c>
      <c r="AD191" s="6">
        <f>6+0.5+3.5+8+0+3.5+0+4.63+0</f>
        <v>26.13</v>
      </c>
      <c r="AE191" s="6">
        <f>2+6+6+19+0+7+12+29.81+2</f>
        <v>83.81</v>
      </c>
      <c r="AF191" s="6">
        <f>20+36+1+9+13+8+52+98.38+20</f>
        <v>257.38</v>
      </c>
      <c r="AG191" s="6">
        <f>2+1+0+3+0+2+8+7.73+1</f>
        <v>24.73</v>
      </c>
      <c r="AH191" s="6">
        <f>40+380+190+370+10+140+420+888.17+120</f>
        <v>2558.17</v>
      </c>
      <c r="AI191" s="6">
        <f t="shared" si="218"/>
        <v>3.5602468464659281E-2</v>
      </c>
      <c r="AJ191" s="6">
        <f t="shared" si="219"/>
        <v>1.3152728700431882E-2</v>
      </c>
      <c r="AK191" s="6">
        <f t="shared" si="220"/>
        <v>4.2186383175782473E-2</v>
      </c>
      <c r="AL191" s="6">
        <f t="shared" si="221"/>
        <v>0.12955412602055713</v>
      </c>
      <c r="AM191" s="6">
        <f t="shared" si="222"/>
        <v>1.2448028349088421E-2</v>
      </c>
      <c r="AN191" s="6">
        <f t="shared" si="223"/>
        <v>1.2876737841402153</v>
      </c>
      <c r="AO191" s="7">
        <v>4</v>
      </c>
      <c r="AP191" s="7">
        <v>1</v>
      </c>
      <c r="AQ191" s="7">
        <v>0</v>
      </c>
      <c r="AR191" s="10">
        <v>0</v>
      </c>
      <c r="AS191" s="7">
        <v>0</v>
      </c>
      <c r="AT191" s="7">
        <v>0</v>
      </c>
      <c r="AU191" s="7">
        <v>0</v>
      </c>
      <c r="AV191" s="7">
        <v>0</v>
      </c>
      <c r="AW191" s="7">
        <v>31</v>
      </c>
      <c r="AX191" s="7">
        <v>1</v>
      </c>
      <c r="AY191" s="5">
        <v>6</v>
      </c>
      <c r="AZ191" s="7">
        <v>0</v>
      </c>
      <c r="BA191" s="7">
        <v>0</v>
      </c>
      <c r="BB191" s="7">
        <v>0</v>
      </c>
      <c r="BC191" s="7">
        <v>1</v>
      </c>
      <c r="BD191" s="7">
        <v>1</v>
      </c>
      <c r="BE191" s="7">
        <v>0</v>
      </c>
      <c r="BF191" s="7">
        <v>0</v>
      </c>
      <c r="BG191" s="7">
        <v>0</v>
      </c>
      <c r="BH191" s="7">
        <v>0</v>
      </c>
      <c r="BI191" s="7">
        <v>0</v>
      </c>
      <c r="BJ191" s="7">
        <v>1</v>
      </c>
      <c r="BK191" s="11">
        <v>2</v>
      </c>
      <c r="BL191" s="7" t="s">
        <v>976</v>
      </c>
      <c r="BM191" s="3">
        <v>0</v>
      </c>
    </row>
    <row r="192" spans="1:65" ht="19.95" customHeight="1" x14ac:dyDescent="0.3">
      <c r="A192" s="3" t="s">
        <v>19</v>
      </c>
      <c r="B192" s="3">
        <v>12</v>
      </c>
      <c r="C192" s="8">
        <v>44401</v>
      </c>
      <c r="D192" s="9">
        <v>0.625</v>
      </c>
      <c r="E192" s="4">
        <v>90</v>
      </c>
      <c r="F192" s="3">
        <v>0</v>
      </c>
      <c r="G192" s="3">
        <v>0</v>
      </c>
      <c r="H192" s="3">
        <v>0</v>
      </c>
      <c r="I192" s="3">
        <v>1</v>
      </c>
      <c r="J192" s="9">
        <v>0.27569444444444446</v>
      </c>
      <c r="K192" s="3">
        <v>141.4</v>
      </c>
      <c r="L192" s="11">
        <f t="shared" ref="L192" si="346">K192-K191</f>
        <v>1</v>
      </c>
      <c r="M192" s="5">
        <f t="shared" ref="M192" si="347">AB191</f>
        <v>1986.6599999999999</v>
      </c>
      <c r="N192" s="11">
        <v>30.75</v>
      </c>
      <c r="O192" s="11">
        <v>32.25</v>
      </c>
      <c r="P192" s="11">
        <v>10.625</v>
      </c>
      <c r="Q192" s="11">
        <v>10.75</v>
      </c>
      <c r="R192" s="11">
        <v>19.75</v>
      </c>
      <c r="S192" s="11">
        <v>20</v>
      </c>
      <c r="T192" s="11">
        <v>15</v>
      </c>
      <c r="U192" s="11">
        <v>13</v>
      </c>
      <c r="V192" s="11">
        <v>17</v>
      </c>
      <c r="W192" s="11">
        <v>15</v>
      </c>
      <c r="X192" s="11">
        <v>7</v>
      </c>
      <c r="Y192" s="11">
        <v>7</v>
      </c>
      <c r="Z192" s="3" t="s">
        <v>1020</v>
      </c>
      <c r="AA192" s="10" t="s">
        <v>1024</v>
      </c>
      <c r="AB192" s="5">
        <f>1617+280+190+80+239+220+103</f>
        <v>2729</v>
      </c>
      <c r="AC192" s="6">
        <f>86.7+4+2+5+13.5+13+0.2</f>
        <v>124.4</v>
      </c>
      <c r="AD192" s="6">
        <f>22.9+0+0.5+3.5+9+8+0.1</f>
        <v>44</v>
      </c>
      <c r="AE192" s="6">
        <f>90.9+12+6+6+3+3+0.7</f>
        <v>121.60000000000001</v>
      </c>
      <c r="AF192" s="6">
        <f>132.7+52+36+1+30+26+27.5</f>
        <v>305.2</v>
      </c>
      <c r="AG192" s="6">
        <f>32.2+8+1+0+3+1+5.5</f>
        <v>50.7</v>
      </c>
      <c r="AH192" s="6">
        <f>1420.4+420+380+190+60+35+2</f>
        <v>2507.4</v>
      </c>
      <c r="AI192" s="6">
        <f t="shared" si="218"/>
        <v>4.5584463173323563E-2</v>
      </c>
      <c r="AJ192" s="6">
        <f t="shared" si="219"/>
        <v>1.6123122022718945E-2</v>
      </c>
      <c r="AK192" s="6">
        <f t="shared" si="220"/>
        <v>4.4558446317332356E-2</v>
      </c>
      <c r="AL192" s="6">
        <f t="shared" si="221"/>
        <v>0.1118358373030414</v>
      </c>
      <c r="AM192" s="6">
        <f t="shared" si="222"/>
        <v>1.8578233785269332E-2</v>
      </c>
      <c r="AN192" s="6">
        <f t="shared" si="223"/>
        <v>0.91879809454012462</v>
      </c>
      <c r="AO192" s="7">
        <v>4</v>
      </c>
      <c r="AP192" s="7">
        <v>1</v>
      </c>
      <c r="AQ192" s="7">
        <v>0</v>
      </c>
      <c r="AR192" s="10" t="s">
        <v>1021</v>
      </c>
      <c r="AS192" s="7">
        <v>0</v>
      </c>
      <c r="AT192" s="7">
        <v>0</v>
      </c>
      <c r="AU192" s="7">
        <v>0</v>
      </c>
      <c r="AV192" s="7">
        <v>0</v>
      </c>
      <c r="AW192" s="7">
        <v>31</v>
      </c>
      <c r="AX192" s="7">
        <v>1</v>
      </c>
      <c r="AY192" s="5">
        <v>6.5</v>
      </c>
      <c r="AZ192" s="7">
        <v>0</v>
      </c>
      <c r="BA192" s="7">
        <v>0</v>
      </c>
      <c r="BB192" s="7">
        <v>0</v>
      </c>
      <c r="BC192" s="7">
        <v>1</v>
      </c>
      <c r="BD192" s="7">
        <v>1</v>
      </c>
      <c r="BE192" s="7">
        <v>0</v>
      </c>
      <c r="BF192" s="7">
        <v>0</v>
      </c>
      <c r="BG192" s="7">
        <v>0</v>
      </c>
      <c r="BH192" s="7">
        <v>0</v>
      </c>
      <c r="BI192" s="7">
        <v>0</v>
      </c>
      <c r="BJ192" s="7">
        <v>1</v>
      </c>
      <c r="BK192" s="11">
        <v>2</v>
      </c>
      <c r="BL192" s="7" t="s">
        <v>1022</v>
      </c>
      <c r="BM192" s="3">
        <v>0</v>
      </c>
    </row>
    <row r="193" spans="1:65" ht="19.95" customHeight="1" x14ac:dyDescent="0.3">
      <c r="A193" s="3" t="s">
        <v>23</v>
      </c>
      <c r="B193" s="3">
        <v>13</v>
      </c>
      <c r="C193" s="8">
        <v>44402</v>
      </c>
      <c r="D193" s="9">
        <v>0.27777777777777779</v>
      </c>
      <c r="E193" s="4">
        <v>66</v>
      </c>
      <c r="F193" s="3">
        <v>0</v>
      </c>
      <c r="G193" s="3">
        <v>0</v>
      </c>
      <c r="H193" s="3">
        <v>0</v>
      </c>
      <c r="I193" s="3">
        <v>0</v>
      </c>
      <c r="J193" s="9">
        <v>0.27777777777777779</v>
      </c>
      <c r="K193" s="3">
        <v>141.19999999999999</v>
      </c>
      <c r="L193" s="11">
        <f t="shared" ref="L193" si="348">K193-K192</f>
        <v>-0.20000000000001705</v>
      </c>
      <c r="M193" s="5">
        <f t="shared" ref="M193" si="349">AB192</f>
        <v>2729</v>
      </c>
      <c r="N193" s="11">
        <v>30.5</v>
      </c>
      <c r="O193" s="11">
        <v>32.25</v>
      </c>
      <c r="P193" s="11">
        <v>10.75</v>
      </c>
      <c r="Q193" s="11">
        <v>10.75</v>
      </c>
      <c r="R193" s="11">
        <v>19.75</v>
      </c>
      <c r="S193" s="11">
        <v>20</v>
      </c>
      <c r="T193" s="11">
        <v>16</v>
      </c>
      <c r="U193" s="11">
        <v>14</v>
      </c>
      <c r="V193" s="11">
        <v>17</v>
      </c>
      <c r="W193" s="11">
        <v>15</v>
      </c>
      <c r="X193" s="11">
        <v>7</v>
      </c>
      <c r="Y193" s="11">
        <v>7</v>
      </c>
      <c r="Z193" s="3" t="s">
        <v>1025</v>
      </c>
      <c r="AA193" s="10" t="s">
        <v>1026</v>
      </c>
      <c r="AB193" s="5">
        <f>1514+280+120+6.25+5.25+120+13.38+220</f>
        <v>2278.88</v>
      </c>
      <c r="AC193" s="6">
        <f>86.5+20+0+0+0+0+0+11</f>
        <v>117.5</v>
      </c>
      <c r="AD193" s="6">
        <f>22.8+6+0+0+0+0+0+7</f>
        <v>35.799999999999997</v>
      </c>
      <c r="AE193" s="6">
        <f>90.2+24+0+0+0.13+0+0.13+3</f>
        <v>117.46</v>
      </c>
      <c r="AF193" s="6">
        <f>105.2+0+29+1.5+1.63+34+3.5+29</f>
        <v>203.82999999999998</v>
      </c>
      <c r="AG193" s="6">
        <f>26.7+0+0+0.25+0.25+0+0.38+0</f>
        <v>27.58</v>
      </c>
      <c r="AH193" s="6">
        <f>1418.4+280+16+0+0.13+0+0.38+75</f>
        <v>1789.9100000000003</v>
      </c>
      <c r="AI193" s="6">
        <f t="shared" ref="AI193" si="350">$AC193/$AB193</f>
        <v>5.1560415642771883E-2</v>
      </c>
      <c r="AJ193" s="6">
        <f t="shared" ref="AJ193" si="351">$AD193/$AB193</f>
        <v>1.570947131924454E-2</v>
      </c>
      <c r="AK193" s="6">
        <f t="shared" ref="AK193" si="352">$AE193/$AB193</f>
        <v>5.1542863160850938E-2</v>
      </c>
      <c r="AL193" s="6">
        <f t="shared" ref="AL193" si="353">$AF193/$AB193</f>
        <v>8.9443059748648454E-2</v>
      </c>
      <c r="AM193" s="6">
        <f t="shared" ref="AM193" si="354">$AG193/$AB193</f>
        <v>1.2102436284490625E-2</v>
      </c>
      <c r="AN193" s="6">
        <f t="shared" ref="AN193" si="355">$AH193/$AB193</f>
        <v>0.78543407287790501</v>
      </c>
      <c r="AO193" s="7">
        <v>5</v>
      </c>
      <c r="AP193" s="7">
        <v>1</v>
      </c>
      <c r="AQ193" s="7">
        <v>0</v>
      </c>
      <c r="AR193" s="10">
        <v>0</v>
      </c>
      <c r="AS193" s="7">
        <v>0</v>
      </c>
      <c r="AT193" s="7">
        <v>0</v>
      </c>
      <c r="AU193" s="7">
        <v>0</v>
      </c>
      <c r="AV193" s="7">
        <v>0</v>
      </c>
      <c r="AW193" s="7">
        <v>31</v>
      </c>
      <c r="AX193" s="7">
        <v>1</v>
      </c>
      <c r="AY193" s="5">
        <v>7</v>
      </c>
      <c r="AZ193" s="7">
        <v>0</v>
      </c>
      <c r="BA193" s="7">
        <v>1</v>
      </c>
      <c r="BB193" s="7">
        <v>0</v>
      </c>
      <c r="BC193" s="7">
        <v>1</v>
      </c>
      <c r="BD193" s="7">
        <v>1</v>
      </c>
      <c r="BE193" s="7">
        <v>0</v>
      </c>
      <c r="BF193" s="7">
        <v>0</v>
      </c>
      <c r="BG193" s="7">
        <v>0</v>
      </c>
      <c r="BH193" s="7">
        <v>0</v>
      </c>
      <c r="BI193" s="7">
        <v>0</v>
      </c>
      <c r="BJ193" s="7">
        <v>1</v>
      </c>
      <c r="BK193" s="11">
        <v>0</v>
      </c>
      <c r="BL193" s="3">
        <v>0</v>
      </c>
      <c r="BM193" s="3">
        <v>0</v>
      </c>
    </row>
    <row r="194" spans="1:65" ht="19.95" customHeight="1" x14ac:dyDescent="0.3">
      <c r="A194" s="3" t="s">
        <v>15</v>
      </c>
      <c r="B194" s="3">
        <v>14</v>
      </c>
      <c r="C194" s="8">
        <v>44403</v>
      </c>
      <c r="D194" s="9">
        <v>0.31944444444444448</v>
      </c>
      <c r="E194" s="4">
        <v>69</v>
      </c>
      <c r="F194" s="3">
        <v>0</v>
      </c>
      <c r="G194" s="3">
        <v>0</v>
      </c>
      <c r="H194" s="3">
        <v>0</v>
      </c>
      <c r="I194" s="3">
        <v>0</v>
      </c>
      <c r="J194" s="9">
        <v>0.32847222222222222</v>
      </c>
      <c r="K194" s="3">
        <v>141.4</v>
      </c>
      <c r="L194" s="11">
        <f t="shared" ref="L194" si="356">K194-K193</f>
        <v>0.20000000000001705</v>
      </c>
      <c r="M194" s="5">
        <f t="shared" ref="M194" si="357">AB193</f>
        <v>2278.88</v>
      </c>
      <c r="N194" s="11">
        <v>30.5</v>
      </c>
      <c r="O194" s="11">
        <v>31.75</v>
      </c>
      <c r="P194" s="11">
        <v>10.5</v>
      </c>
      <c r="Q194" s="11">
        <v>10.625</v>
      </c>
      <c r="R194" s="11">
        <v>19.75</v>
      </c>
      <c r="S194" s="11">
        <v>19.75</v>
      </c>
      <c r="T194" s="11">
        <v>17</v>
      </c>
      <c r="U194" s="11">
        <v>15</v>
      </c>
      <c r="V194" s="11">
        <v>16</v>
      </c>
      <c r="W194" s="11">
        <v>15</v>
      </c>
      <c r="X194" s="11">
        <v>7</v>
      </c>
      <c r="Y194" s="11">
        <v>7</v>
      </c>
      <c r="Z194" s="3" t="s">
        <v>1032</v>
      </c>
      <c r="AA194" s="10" t="s">
        <v>1030</v>
      </c>
      <c r="AB194" s="5">
        <f>140+220+100+8+120+120+12+41+520+440+180</f>
        <v>1901</v>
      </c>
      <c r="AC194" s="6">
        <f>10+4+6+0.4+4+3+0.6+3.38+36+8+6</f>
        <v>81.38</v>
      </c>
      <c r="AD194" s="6">
        <f>3+0+4+0.4+2+0+0.6+0.63+10+0+3</f>
        <v>23.630000000000003</v>
      </c>
      <c r="AE194" s="6">
        <f>12+8+8+1.2+9.33+2+1.8+1.18+40+16+14</f>
        <v>113.50999999999999</v>
      </c>
      <c r="AF194" s="6">
        <f>0+38+2+0.8+12.67+20+1.2+2.1+10+76+19</f>
        <v>181.76999999999998</v>
      </c>
      <c r="AG194" s="6">
        <f>0+4+0+0.4+0+1+0.6+0.23+4+8+0</f>
        <v>18.23</v>
      </c>
      <c r="AH194" s="6">
        <f>140+270+280+4+33.33+120+6+1+7+540+50</f>
        <v>1451.33</v>
      </c>
      <c r="AI194" s="6">
        <f t="shared" si="218"/>
        <v>4.2809047869542344E-2</v>
      </c>
      <c r="AJ194" s="6">
        <f t="shared" si="219"/>
        <v>1.2430299842188323E-2</v>
      </c>
      <c r="AK194" s="6">
        <f t="shared" si="220"/>
        <v>5.9710678590215671E-2</v>
      </c>
      <c r="AL194" s="6">
        <f t="shared" si="221"/>
        <v>9.5618095739084683E-2</v>
      </c>
      <c r="AM194" s="6">
        <f t="shared" si="222"/>
        <v>9.58968963703314E-3</v>
      </c>
      <c r="AN194" s="6">
        <f t="shared" si="223"/>
        <v>0.76345607574960539</v>
      </c>
      <c r="AO194" s="7">
        <v>5</v>
      </c>
      <c r="AP194" s="7">
        <v>1</v>
      </c>
      <c r="AQ194" s="7">
        <v>0</v>
      </c>
      <c r="AR194" s="10">
        <v>0</v>
      </c>
      <c r="AS194" s="7">
        <v>0</v>
      </c>
      <c r="AT194" s="7">
        <v>0</v>
      </c>
      <c r="AU194" s="7">
        <v>0</v>
      </c>
      <c r="AV194" s="7">
        <v>0</v>
      </c>
      <c r="AW194" s="7">
        <v>31</v>
      </c>
      <c r="AX194" s="7">
        <v>1</v>
      </c>
      <c r="AY194" s="5">
        <v>7</v>
      </c>
      <c r="AZ194" s="7">
        <v>0</v>
      </c>
      <c r="BA194" s="7">
        <v>0</v>
      </c>
      <c r="BB194" s="7">
        <v>0</v>
      </c>
      <c r="BC194" s="7">
        <v>1</v>
      </c>
      <c r="BD194" s="7">
        <v>1</v>
      </c>
      <c r="BE194" s="7">
        <v>0</v>
      </c>
      <c r="BF194" s="7">
        <v>0</v>
      </c>
      <c r="BG194" s="7">
        <v>0</v>
      </c>
      <c r="BH194" s="7">
        <v>0</v>
      </c>
      <c r="BI194" s="7">
        <v>0</v>
      </c>
      <c r="BJ194" s="7">
        <v>1</v>
      </c>
      <c r="BK194" s="11">
        <v>2</v>
      </c>
      <c r="BL194" s="3" t="s">
        <v>1031</v>
      </c>
      <c r="BM194" s="3">
        <v>0</v>
      </c>
    </row>
    <row r="195" spans="1:65" ht="19.95" customHeight="1" x14ac:dyDescent="0.3">
      <c r="A195" s="3" t="s">
        <v>16</v>
      </c>
      <c r="B195" s="3">
        <v>0</v>
      </c>
      <c r="C195" s="8">
        <v>44404</v>
      </c>
      <c r="D195" s="9">
        <v>0.32291666666666669</v>
      </c>
      <c r="E195" s="4">
        <v>71</v>
      </c>
      <c r="F195" s="3">
        <v>0</v>
      </c>
      <c r="G195" s="3">
        <v>0</v>
      </c>
      <c r="H195" s="3">
        <v>0</v>
      </c>
      <c r="I195" s="3">
        <v>0</v>
      </c>
      <c r="J195" s="9">
        <v>0.46736111111111112</v>
      </c>
      <c r="K195" s="3">
        <v>140.6</v>
      </c>
      <c r="L195" s="11">
        <f t="shared" ref="L195" si="358">K195-K194</f>
        <v>-0.80000000000001137</v>
      </c>
      <c r="M195" s="5">
        <f t="shared" ref="M195" si="359">AB194</f>
        <v>1901</v>
      </c>
      <c r="N195" s="11">
        <v>29.75</v>
      </c>
      <c r="O195" s="11">
        <v>31.625</v>
      </c>
      <c r="P195" s="11">
        <v>10.5</v>
      </c>
      <c r="Q195" s="11">
        <v>10.5</v>
      </c>
      <c r="R195" s="11">
        <v>19.75</v>
      </c>
      <c r="S195" s="11">
        <v>19.75</v>
      </c>
      <c r="T195" s="11">
        <v>15</v>
      </c>
      <c r="U195" s="11">
        <v>15</v>
      </c>
      <c r="V195" s="11">
        <v>15</v>
      </c>
      <c r="W195" s="11">
        <v>16</v>
      </c>
      <c r="X195" s="11">
        <v>7</v>
      </c>
      <c r="Y195" s="11">
        <v>7</v>
      </c>
      <c r="Z195" s="3" t="s">
        <v>1038</v>
      </c>
      <c r="AA195" s="10" t="s">
        <v>1037</v>
      </c>
      <c r="AB195" s="5">
        <f>450+152+180+450+80+110+10+120+210+220+100+180</f>
        <v>2262</v>
      </c>
      <c r="AC195" s="6">
        <f>11+11.6+6+11+6+9+0.5+3+11+4+6+6</f>
        <v>85.1</v>
      </c>
      <c r="AD195" s="6">
        <f>2+5.2+3+2+3+5+0.5+0+9+0+4+3</f>
        <v>36.700000000000003</v>
      </c>
      <c r="AE195" s="6">
        <f>9+5.8+14+9+7+6+1.5+2+20+8+8+14</f>
        <v>104.3</v>
      </c>
      <c r="AF195" s="6">
        <f>80+6+19+80+2+1+1+20+7+38+2+19</f>
        <v>275</v>
      </c>
      <c r="AG195" s="6">
        <f>3+0.4+0+3+0+0+0.5+1+1+4+0+0</f>
        <v>12.9</v>
      </c>
      <c r="AH195" s="6">
        <f>360+722+50+360+190+180+5+120+450+270+280+50</f>
        <v>3037</v>
      </c>
      <c r="AI195" s="6">
        <f t="shared" si="218"/>
        <v>3.7621573828470381E-2</v>
      </c>
      <c r="AJ195" s="6">
        <f t="shared" si="219"/>
        <v>1.6224580017683468E-2</v>
      </c>
      <c r="AK195" s="6">
        <f t="shared" si="220"/>
        <v>4.6109637488947836E-2</v>
      </c>
      <c r="AL195" s="6">
        <f t="shared" si="221"/>
        <v>0.12157382847038019</v>
      </c>
      <c r="AM195" s="6">
        <f t="shared" si="222"/>
        <v>5.7029177718832891E-3</v>
      </c>
      <c r="AN195" s="6">
        <f t="shared" si="223"/>
        <v>1.3426171529619806</v>
      </c>
      <c r="AO195" s="7">
        <v>5</v>
      </c>
      <c r="AP195" s="7">
        <v>1</v>
      </c>
      <c r="AQ195" s="7">
        <v>1</v>
      </c>
      <c r="AR195" s="10">
        <v>0</v>
      </c>
      <c r="AS195" s="7">
        <v>0</v>
      </c>
      <c r="AT195" s="7">
        <v>0</v>
      </c>
      <c r="AU195" s="7">
        <v>0</v>
      </c>
      <c r="AV195" s="7">
        <v>0</v>
      </c>
      <c r="AW195" s="7">
        <v>31</v>
      </c>
      <c r="AX195" s="7">
        <v>1</v>
      </c>
      <c r="AY195" s="5">
        <v>5</v>
      </c>
      <c r="AZ195" s="7">
        <v>0</v>
      </c>
      <c r="BA195" s="7">
        <v>1</v>
      </c>
      <c r="BB195" s="7">
        <v>0</v>
      </c>
      <c r="BC195" s="7">
        <v>0</v>
      </c>
      <c r="BD195" s="7">
        <v>1</v>
      </c>
      <c r="BE195" s="7">
        <v>0</v>
      </c>
      <c r="BF195" s="7">
        <v>0</v>
      </c>
      <c r="BG195" s="7">
        <v>0</v>
      </c>
      <c r="BH195" s="7">
        <v>0</v>
      </c>
      <c r="BI195" s="7">
        <v>0</v>
      </c>
      <c r="BJ195" s="7">
        <v>1</v>
      </c>
      <c r="BK195" s="11">
        <v>0</v>
      </c>
      <c r="BL195" s="7">
        <v>0</v>
      </c>
      <c r="BM195" s="3">
        <v>0</v>
      </c>
    </row>
    <row r="196" spans="1:65" ht="19.95" customHeight="1" x14ac:dyDescent="0.3">
      <c r="A196" s="3" t="s">
        <v>17</v>
      </c>
      <c r="B196" s="3">
        <v>1</v>
      </c>
      <c r="C196" s="8">
        <v>44405</v>
      </c>
      <c r="D196" s="9">
        <v>0.32291666666666669</v>
      </c>
      <c r="E196" s="4">
        <v>71</v>
      </c>
      <c r="F196" s="3">
        <v>0</v>
      </c>
      <c r="G196" s="3">
        <v>0</v>
      </c>
      <c r="H196" s="3">
        <v>0</v>
      </c>
      <c r="I196" s="3">
        <v>0</v>
      </c>
      <c r="J196" s="9">
        <v>0.31944444444444448</v>
      </c>
      <c r="K196" s="3">
        <v>140</v>
      </c>
      <c r="L196" s="11">
        <f t="shared" ref="L196" si="360">K196-K195</f>
        <v>-0.59999999999999432</v>
      </c>
      <c r="M196" s="5">
        <f t="shared" ref="M196" si="361">AB195</f>
        <v>2262</v>
      </c>
      <c r="N196" s="11">
        <v>30.125</v>
      </c>
      <c r="O196" s="11">
        <v>31.75</v>
      </c>
      <c r="P196" s="11">
        <v>10.5</v>
      </c>
      <c r="Q196" s="11">
        <v>10.5</v>
      </c>
      <c r="R196" s="11">
        <v>19.5</v>
      </c>
      <c r="S196" s="11">
        <v>19.625</v>
      </c>
      <c r="T196" s="11">
        <v>13</v>
      </c>
      <c r="U196" s="11">
        <v>13</v>
      </c>
      <c r="V196" s="11">
        <v>15</v>
      </c>
      <c r="W196" s="11">
        <v>15</v>
      </c>
      <c r="X196" s="11">
        <v>7</v>
      </c>
      <c r="Y196" s="11">
        <v>7</v>
      </c>
      <c r="Z196" s="3" t="s">
        <v>1041</v>
      </c>
      <c r="AA196" s="10" t="s">
        <v>1042</v>
      </c>
      <c r="AB196" s="5">
        <f>550+275+110+80+41+210+240+107+20+140+180+70+200+120+70</f>
        <v>2413</v>
      </c>
      <c r="AC196" s="6">
        <f>10+22.5+9+6+3.38+11+14+0+1+10+6+0+12+3+5</f>
        <v>112.88</v>
      </c>
      <c r="AD196" s="6">
        <f>0+12.5+5+3+0.63+9+8+0+1+3+3+0+8+0+3.5</f>
        <v>56.629999999999995</v>
      </c>
      <c r="AE196" s="6">
        <f>20+17.5+6+7+1.18+20+19+1+3+12+14+0+16+2+1</f>
        <v>139.68</v>
      </c>
      <c r="AF196" s="6">
        <f>95+0+1+2+2.1+7+9+28+2+0+19+14+4+20+4</f>
        <v>207.1</v>
      </c>
      <c r="AG196" s="6">
        <f>10+0+0+0+0.23+1+3+3+1+0+0+0+0+1+0</f>
        <v>19.23</v>
      </c>
      <c r="AH196" s="6">
        <f>675+425+180+190+1+450+370+3+10+140+50+0+560+120+20</f>
        <v>3194</v>
      </c>
      <c r="AI196" s="6">
        <f t="shared" si="218"/>
        <v>4.6779941980936594E-2</v>
      </c>
      <c r="AJ196" s="6">
        <f t="shared" si="219"/>
        <v>2.3468711147948611E-2</v>
      </c>
      <c r="AK196" s="6">
        <f t="shared" si="220"/>
        <v>5.7886448404475759E-2</v>
      </c>
      <c r="AL196" s="6">
        <f t="shared" si="221"/>
        <v>8.5826771653543299E-2</v>
      </c>
      <c r="AM196" s="6">
        <f t="shared" si="222"/>
        <v>7.9693327807708256E-3</v>
      </c>
      <c r="AN196" s="6">
        <f t="shared" si="223"/>
        <v>1.3236634894322421</v>
      </c>
      <c r="AO196" s="7">
        <v>5</v>
      </c>
      <c r="AP196" s="7">
        <v>1</v>
      </c>
      <c r="AQ196" s="7">
        <v>1</v>
      </c>
      <c r="AR196" s="10">
        <v>0</v>
      </c>
      <c r="AS196" s="7">
        <v>0</v>
      </c>
      <c r="AT196" s="7">
        <v>0</v>
      </c>
      <c r="AU196" s="7">
        <v>0</v>
      </c>
      <c r="AV196" s="7">
        <v>0</v>
      </c>
      <c r="AW196" s="7">
        <v>31</v>
      </c>
      <c r="AX196" s="7">
        <v>1</v>
      </c>
      <c r="AY196" s="5">
        <v>7</v>
      </c>
      <c r="AZ196" s="7">
        <v>0</v>
      </c>
      <c r="BA196" s="7">
        <v>0</v>
      </c>
      <c r="BB196" s="7">
        <v>0</v>
      </c>
      <c r="BC196" s="7">
        <v>1</v>
      </c>
      <c r="BD196" s="7">
        <v>1</v>
      </c>
      <c r="BE196" s="7">
        <v>0</v>
      </c>
      <c r="BF196" s="7">
        <v>1</v>
      </c>
      <c r="BG196" s="7">
        <v>10</v>
      </c>
      <c r="BH196" s="7">
        <v>0</v>
      </c>
      <c r="BI196" s="7">
        <v>0</v>
      </c>
      <c r="BJ196" s="7">
        <v>1</v>
      </c>
      <c r="BK196" s="11">
        <v>2</v>
      </c>
      <c r="BL196" s="7" t="s">
        <v>1040</v>
      </c>
      <c r="BM196" s="3">
        <v>0</v>
      </c>
    </row>
    <row r="197" spans="1:65" ht="19.95" customHeight="1" x14ac:dyDescent="0.3">
      <c r="A197" s="3" t="s">
        <v>18</v>
      </c>
      <c r="B197" s="3">
        <v>2</v>
      </c>
      <c r="C197" s="8">
        <v>44406</v>
      </c>
      <c r="D197" s="9">
        <v>0.41180555555555554</v>
      </c>
      <c r="E197" s="4">
        <v>83</v>
      </c>
      <c r="F197" s="3">
        <v>0</v>
      </c>
      <c r="G197" s="3">
        <v>0</v>
      </c>
      <c r="H197" s="3">
        <v>0</v>
      </c>
      <c r="I197" s="3">
        <v>0</v>
      </c>
      <c r="J197" s="9">
        <v>0.41319444444444442</v>
      </c>
      <c r="K197" s="3">
        <v>138.6</v>
      </c>
      <c r="L197" s="11">
        <f t="shared" ref="L197" si="362">K197-K196</f>
        <v>-1.4000000000000057</v>
      </c>
      <c r="M197" s="5">
        <f t="shared" ref="M197" si="363">AB196</f>
        <v>2413</v>
      </c>
      <c r="N197" s="11">
        <v>30.25</v>
      </c>
      <c r="O197" s="11">
        <v>31.625</v>
      </c>
      <c r="P197" s="11">
        <v>10.625</v>
      </c>
      <c r="Q197" s="11">
        <v>10.625</v>
      </c>
      <c r="R197" s="11">
        <v>19.75</v>
      </c>
      <c r="S197" s="11">
        <v>19.75</v>
      </c>
      <c r="T197" s="11">
        <v>15</v>
      </c>
      <c r="U197" s="11">
        <v>14</v>
      </c>
      <c r="V197" s="11">
        <v>15</v>
      </c>
      <c r="W197" s="11">
        <v>15</v>
      </c>
      <c r="X197" s="11">
        <v>7</v>
      </c>
      <c r="Y197" s="11">
        <v>7</v>
      </c>
      <c r="Z197" s="3" t="s">
        <v>1044</v>
      </c>
      <c r="AA197" s="10" t="s">
        <v>1045</v>
      </c>
      <c r="AB197" s="5">
        <f>440+200+240+220+180+140+25+53.5+280+41+110</f>
        <v>1929.5</v>
      </c>
      <c r="AC197" s="6">
        <f>8+12+14+18+6+10+0+0+20+3.38+9</f>
        <v>100.38</v>
      </c>
      <c r="AD197" s="6">
        <f>0+8+8+10+3+7+0+0+6+0.63+5</f>
        <v>47.63</v>
      </c>
      <c r="AE197" s="6">
        <f>16+16+19+14+14+2+0+0.5+24+1.18+6</f>
        <v>112.68</v>
      </c>
      <c r="AF197" s="6">
        <f>76+4+9+0+19+8+6+14+0+2.1+1</f>
        <v>139.1</v>
      </c>
      <c r="AG197" s="6">
        <f>8+0+3+0+0+0+1+1.5+0+0.23+0</f>
        <v>13.73</v>
      </c>
      <c r="AH197" s="6">
        <f>540+560+370+340+50+40+0+1.5+280+1+180</f>
        <v>2362.5</v>
      </c>
      <c r="AI197" s="6">
        <f t="shared" si="218"/>
        <v>5.2023840373153662E-2</v>
      </c>
      <c r="AJ197" s="6">
        <f t="shared" si="219"/>
        <v>2.468515159367712E-2</v>
      </c>
      <c r="AK197" s="6">
        <f t="shared" si="220"/>
        <v>5.8398548846851521E-2</v>
      </c>
      <c r="AL197" s="6">
        <f t="shared" si="221"/>
        <v>7.2091215340761849E-2</v>
      </c>
      <c r="AM197" s="6">
        <f t="shared" si="222"/>
        <v>7.1158331173879243E-3</v>
      </c>
      <c r="AN197" s="6">
        <f t="shared" si="223"/>
        <v>1.2244104690334283</v>
      </c>
      <c r="AO197" s="7">
        <v>5</v>
      </c>
      <c r="AP197" s="7">
        <v>1</v>
      </c>
      <c r="AQ197" s="7">
        <v>1</v>
      </c>
      <c r="AR197" s="10">
        <v>0</v>
      </c>
      <c r="AS197" s="7">
        <v>0</v>
      </c>
      <c r="AT197" s="7">
        <v>0</v>
      </c>
      <c r="AU197" s="7">
        <v>0</v>
      </c>
      <c r="AV197" s="7">
        <v>0</v>
      </c>
      <c r="AW197" s="7">
        <v>31</v>
      </c>
      <c r="AX197" s="7">
        <v>0</v>
      </c>
      <c r="AY197" s="5">
        <v>6</v>
      </c>
      <c r="AZ197" s="7">
        <v>0</v>
      </c>
      <c r="BA197" s="7">
        <v>0</v>
      </c>
      <c r="BB197" s="7">
        <v>0</v>
      </c>
      <c r="BC197" s="7">
        <v>1</v>
      </c>
      <c r="BD197" s="7">
        <v>1</v>
      </c>
      <c r="BE197" s="7">
        <v>0</v>
      </c>
      <c r="BF197" s="7">
        <v>0</v>
      </c>
      <c r="BG197" s="7">
        <v>0</v>
      </c>
      <c r="BH197" s="7">
        <v>0</v>
      </c>
      <c r="BI197" s="7">
        <v>0</v>
      </c>
      <c r="BJ197" s="7">
        <v>1</v>
      </c>
      <c r="BK197" s="11">
        <v>5</v>
      </c>
      <c r="BL197" s="11" t="s">
        <v>1043</v>
      </c>
      <c r="BM197" s="3">
        <v>0</v>
      </c>
    </row>
    <row r="198" spans="1:65" ht="19.95" customHeight="1" x14ac:dyDescent="0.3">
      <c r="A198" s="3" t="s">
        <v>137</v>
      </c>
      <c r="B198" s="3">
        <v>3</v>
      </c>
      <c r="C198" s="8">
        <v>44407</v>
      </c>
      <c r="D198" s="9">
        <v>0.27777777777777779</v>
      </c>
      <c r="E198" s="4">
        <v>70</v>
      </c>
      <c r="F198" s="3">
        <v>0</v>
      </c>
      <c r="G198" s="3">
        <v>0</v>
      </c>
      <c r="H198" s="3">
        <v>0</v>
      </c>
      <c r="I198" s="3">
        <v>0</v>
      </c>
      <c r="J198" s="9">
        <v>0.29722222222222222</v>
      </c>
      <c r="K198" s="3">
        <v>139.80000000000001</v>
      </c>
      <c r="L198" s="11">
        <f t="shared" ref="L198" si="364">K198-K197</f>
        <v>1.2000000000000171</v>
      </c>
      <c r="M198" s="5">
        <f t="shared" ref="M198" si="365">AB197</f>
        <v>1929.5</v>
      </c>
      <c r="N198" s="11">
        <v>30.5</v>
      </c>
      <c r="O198" s="11">
        <v>31.875</v>
      </c>
      <c r="P198" s="11">
        <v>10.875</v>
      </c>
      <c r="Q198" s="11">
        <v>10.875</v>
      </c>
      <c r="R198" s="11">
        <v>19.75</v>
      </c>
      <c r="S198" s="11">
        <v>20</v>
      </c>
      <c r="T198" s="11">
        <v>15</v>
      </c>
      <c r="U198" s="11">
        <v>15</v>
      </c>
      <c r="V198" s="11">
        <v>17</v>
      </c>
      <c r="W198" s="11">
        <v>15</v>
      </c>
      <c r="X198" s="11">
        <v>7</v>
      </c>
      <c r="Y198" s="11">
        <v>7</v>
      </c>
      <c r="Z198" s="3" t="s">
        <v>1047</v>
      </c>
      <c r="AA198" s="10" t="s">
        <v>1046</v>
      </c>
      <c r="AB198" s="5">
        <f>420+440+20+25+53.5+120+180+80+110+100+35+100+120+25+110</f>
        <v>1938.5</v>
      </c>
      <c r="AC198" s="6">
        <f>22+6+1.5+0+0+3+6+6+9+6+0+6+4+0+9</f>
        <v>78.5</v>
      </c>
      <c r="AD198" s="6">
        <f>18+0+1+0+0+0+3+3+5+4+0+4+2+0+5</f>
        <v>45</v>
      </c>
      <c r="AE198" s="6">
        <f>40+12+2+0+0.5+2+14+7+6+8+0+8+9.33+0+6</f>
        <v>114.83</v>
      </c>
      <c r="AF198" s="6">
        <f>14+80+0+6+14+20+19+2+1+2+7+2+12.67+6+1</f>
        <v>186.67</v>
      </c>
      <c r="AG198" s="6">
        <f>2+4+0+1+1.5+1+0+0+0+0+0+0+0+1+0</f>
        <v>10.5</v>
      </c>
      <c r="AH198" s="6">
        <f>900+760+100+0+1.5+120+50+190+180+280+0+280+33.33+0+180</f>
        <v>3074.83</v>
      </c>
      <c r="AI198" s="6">
        <f t="shared" si="218"/>
        <v>4.049522826928037E-2</v>
      </c>
      <c r="AJ198" s="6">
        <f t="shared" si="219"/>
        <v>2.321382512251741E-2</v>
      </c>
      <c r="AK198" s="6">
        <f t="shared" si="220"/>
        <v>5.9236523084859424E-2</v>
      </c>
      <c r="AL198" s="6">
        <f t="shared" si="221"/>
        <v>9.6296105236007221E-2</v>
      </c>
      <c r="AM198" s="6">
        <f t="shared" si="222"/>
        <v>5.4165591952540625E-3</v>
      </c>
      <c r="AN198" s="6">
        <f t="shared" si="223"/>
        <v>1.5861903533660047</v>
      </c>
      <c r="AO198" s="7">
        <v>5</v>
      </c>
      <c r="AP198" s="7">
        <v>1</v>
      </c>
      <c r="AQ198" s="7">
        <v>1</v>
      </c>
      <c r="AR198" s="10">
        <v>0</v>
      </c>
      <c r="AS198" s="7">
        <v>0</v>
      </c>
      <c r="AT198" s="7">
        <v>0</v>
      </c>
      <c r="AU198" s="7">
        <v>0</v>
      </c>
      <c r="AV198" s="7">
        <v>0</v>
      </c>
      <c r="AW198" s="7">
        <v>31</v>
      </c>
      <c r="AX198" s="7">
        <v>1</v>
      </c>
      <c r="AY198" s="5">
        <v>7</v>
      </c>
      <c r="AZ198" s="7">
        <v>0</v>
      </c>
      <c r="BA198" s="7">
        <v>0</v>
      </c>
      <c r="BB198" s="7">
        <v>0</v>
      </c>
      <c r="BC198" s="7">
        <v>1</v>
      </c>
      <c r="BD198" s="7">
        <v>1</v>
      </c>
      <c r="BE198" s="7">
        <v>0</v>
      </c>
      <c r="BF198" s="7">
        <v>0</v>
      </c>
      <c r="BG198" s="7">
        <v>0</v>
      </c>
      <c r="BH198" s="7">
        <v>0</v>
      </c>
      <c r="BI198" s="7">
        <v>0</v>
      </c>
      <c r="BJ198" s="7">
        <v>1</v>
      </c>
      <c r="BK198" s="11">
        <v>2</v>
      </c>
      <c r="BL198" s="3" t="s">
        <v>1048</v>
      </c>
      <c r="BM198" s="3">
        <v>0</v>
      </c>
    </row>
    <row r="199" spans="1:65" ht="19.95" customHeight="1" x14ac:dyDescent="0.3">
      <c r="A199" s="3" t="s">
        <v>19</v>
      </c>
      <c r="B199" s="3">
        <v>4</v>
      </c>
      <c r="C199" s="8">
        <v>44408</v>
      </c>
      <c r="D199" s="9">
        <v>0.28402777777777777</v>
      </c>
      <c r="E199" s="4">
        <v>70</v>
      </c>
      <c r="F199" s="3">
        <v>0</v>
      </c>
      <c r="G199" s="3">
        <v>0</v>
      </c>
      <c r="H199" s="3">
        <v>0</v>
      </c>
      <c r="I199" s="3">
        <v>0</v>
      </c>
      <c r="J199" s="9">
        <v>0.28472222222222221</v>
      </c>
      <c r="K199" s="3">
        <v>141.6</v>
      </c>
      <c r="L199" s="11">
        <f t="shared" ref="L199" si="366">K199-K198</f>
        <v>1.7999999999999829</v>
      </c>
      <c r="M199" s="5">
        <f t="shared" ref="M199" si="367">AB198</f>
        <v>1938.5</v>
      </c>
      <c r="N199" s="11">
        <v>31</v>
      </c>
      <c r="O199" s="11">
        <v>32.625</v>
      </c>
      <c r="P199" s="11">
        <v>10.625</v>
      </c>
      <c r="Q199" s="11">
        <v>10.75</v>
      </c>
      <c r="R199" s="11">
        <v>19.625</v>
      </c>
      <c r="S199" s="11">
        <v>20</v>
      </c>
      <c r="T199" s="11">
        <v>15</v>
      </c>
      <c r="U199" s="11">
        <v>13</v>
      </c>
      <c r="V199" s="11">
        <v>17</v>
      </c>
      <c r="W199" s="11">
        <v>17</v>
      </c>
      <c r="X199" s="11">
        <v>7</v>
      </c>
      <c r="Y199" s="11">
        <v>7</v>
      </c>
      <c r="Z199" s="3" t="s">
        <v>1054</v>
      </c>
      <c r="AA199" s="10" t="s">
        <v>1053</v>
      </c>
      <c r="AB199" s="5">
        <f>450+110+330+240+220+100+220+100+123</f>
        <v>1893</v>
      </c>
      <c r="AC199" s="6">
        <f>15+9+18+18+4+6+4+6+8.02</f>
        <v>88.02</v>
      </c>
      <c r="AD199" s="6">
        <f>7.5+5+9+9+0+4+0+4+2.22</f>
        <v>40.72</v>
      </c>
      <c r="AE199" s="6">
        <f>35+6+6+21+8+8+8+8+9.22</f>
        <v>109.22</v>
      </c>
      <c r="AF199" s="6">
        <f>47.5+1+37.5+6+38+2+38+2+3.83</f>
        <v>175.83</v>
      </c>
      <c r="AG199" s="6">
        <f>0+0+1.5+0+4+0+4+0+1.33</f>
        <v>10.83</v>
      </c>
      <c r="AH199" s="6">
        <f>125+180+90+570+270+280+270+280+157.61</f>
        <v>2222.61</v>
      </c>
      <c r="AI199" s="6">
        <f t="shared" si="218"/>
        <v>4.6497622820919175E-2</v>
      </c>
      <c r="AJ199" s="6">
        <f t="shared" si="219"/>
        <v>2.1510829371368199E-2</v>
      </c>
      <c r="AK199" s="6">
        <f t="shared" si="220"/>
        <v>5.7696777601690438E-2</v>
      </c>
      <c r="AL199" s="6">
        <f t="shared" si="221"/>
        <v>9.2884310618066568E-2</v>
      </c>
      <c r="AM199" s="6">
        <f t="shared" si="222"/>
        <v>5.7210776545166403E-3</v>
      </c>
      <c r="AN199" s="6">
        <f t="shared" si="223"/>
        <v>1.1741204437400952</v>
      </c>
      <c r="AO199" s="7">
        <v>5</v>
      </c>
      <c r="AP199" s="7">
        <v>1</v>
      </c>
      <c r="AQ199" s="7">
        <v>0</v>
      </c>
      <c r="AR199" s="10">
        <v>0</v>
      </c>
      <c r="AS199" s="7">
        <v>0</v>
      </c>
      <c r="AT199" s="7">
        <v>0</v>
      </c>
      <c r="AU199" s="7">
        <v>0</v>
      </c>
      <c r="AV199" s="7">
        <v>0</v>
      </c>
      <c r="AW199" s="7">
        <v>31</v>
      </c>
      <c r="AX199" s="7">
        <v>1</v>
      </c>
      <c r="AY199" s="5">
        <v>6.5</v>
      </c>
      <c r="AZ199" s="7">
        <v>0</v>
      </c>
      <c r="BA199" s="7">
        <v>0</v>
      </c>
      <c r="BB199" s="7">
        <v>0</v>
      </c>
      <c r="BC199" s="7">
        <v>1</v>
      </c>
      <c r="BD199" s="7">
        <v>1</v>
      </c>
      <c r="BE199" s="7">
        <v>0</v>
      </c>
      <c r="BF199" s="7">
        <v>0</v>
      </c>
      <c r="BG199" s="7">
        <v>0</v>
      </c>
      <c r="BH199" s="7">
        <v>0</v>
      </c>
      <c r="BI199" s="7">
        <v>0</v>
      </c>
      <c r="BJ199" s="7">
        <v>1</v>
      </c>
      <c r="BK199" s="11">
        <v>3</v>
      </c>
      <c r="BL199" s="3" t="s">
        <v>1050</v>
      </c>
      <c r="BM199" s="3">
        <v>0</v>
      </c>
    </row>
    <row r="200" spans="1:65" ht="19.95" customHeight="1" x14ac:dyDescent="0.3">
      <c r="A200" s="3" t="s">
        <v>23</v>
      </c>
      <c r="B200" s="3">
        <v>5</v>
      </c>
      <c r="C200" s="8">
        <v>44409</v>
      </c>
      <c r="D200" s="9">
        <v>0.25694444444444448</v>
      </c>
      <c r="E200" s="4">
        <v>70</v>
      </c>
      <c r="F200" s="3">
        <v>0</v>
      </c>
      <c r="G200" s="3">
        <v>0</v>
      </c>
      <c r="H200" s="3">
        <v>0</v>
      </c>
      <c r="I200" s="3">
        <v>0</v>
      </c>
      <c r="J200" s="9">
        <v>0.25763888888888892</v>
      </c>
      <c r="K200" s="3">
        <v>140.6</v>
      </c>
      <c r="L200" s="11">
        <f t="shared" ref="L200" si="368">K200-K199</f>
        <v>-1</v>
      </c>
      <c r="M200" s="5">
        <f t="shared" ref="M200" si="369">AB199</f>
        <v>1893</v>
      </c>
      <c r="N200" s="11">
        <v>30.75</v>
      </c>
      <c r="O200" s="11">
        <v>32.5</v>
      </c>
      <c r="P200" s="11">
        <v>10.625</v>
      </c>
      <c r="Q200" s="11">
        <v>10.625</v>
      </c>
      <c r="R200" s="11">
        <v>19.5</v>
      </c>
      <c r="S200" s="11">
        <v>20</v>
      </c>
      <c r="T200" s="11">
        <v>15</v>
      </c>
      <c r="U200" s="11">
        <v>15</v>
      </c>
      <c r="V200" s="11">
        <v>17</v>
      </c>
      <c r="W200" s="11">
        <v>13</v>
      </c>
      <c r="X200" s="11">
        <v>7</v>
      </c>
      <c r="Y200" s="11">
        <v>7</v>
      </c>
      <c r="Z200" s="3" t="s">
        <v>1055</v>
      </c>
      <c r="AA200" s="10" t="s">
        <v>1059</v>
      </c>
      <c r="AB200" s="5">
        <f>220+100+150+738.3+452+448.5+120+199</f>
        <v>2427.8000000000002</v>
      </c>
      <c r="AC200" s="6">
        <f>4+6+1.5+48.11+16.6+18+3+0</f>
        <v>97.210000000000008</v>
      </c>
      <c r="AD200" s="6">
        <f>0+4+0+13.35+8.2+9.45+0+0</f>
        <v>35</v>
      </c>
      <c r="AE200" s="6">
        <f>8+8+3+55.33+25.8+7.8+2+0</f>
        <v>109.92999999999999</v>
      </c>
      <c r="AF200" s="6">
        <f>38+2+31.5+23+60.6+66+20+55.9</f>
        <v>297</v>
      </c>
      <c r="AG200" s="6">
        <f>4+0+3+8+13.4+7.8+1+0</f>
        <v>37.199999999999996</v>
      </c>
      <c r="AH200" s="6">
        <f>270+280+30+945.68+527.6+534+120+50</f>
        <v>2757.2799999999997</v>
      </c>
      <c r="AI200" s="6">
        <f t="shared" si="218"/>
        <v>4.0040365763242443E-2</v>
      </c>
      <c r="AJ200" s="6">
        <f t="shared" si="219"/>
        <v>1.4416344015157755E-2</v>
      </c>
      <c r="AK200" s="6">
        <f t="shared" si="220"/>
        <v>4.5279677073894055E-2</v>
      </c>
      <c r="AL200" s="6">
        <f t="shared" si="221"/>
        <v>0.12233297635719581</v>
      </c>
      <c r="AM200" s="6">
        <f t="shared" si="222"/>
        <v>1.5322514210396241E-2</v>
      </c>
      <c r="AN200" s="6">
        <f t="shared" si="223"/>
        <v>1.135711343603262</v>
      </c>
      <c r="AO200" s="7">
        <v>5</v>
      </c>
      <c r="AP200" s="7">
        <v>1</v>
      </c>
      <c r="AQ200" s="7">
        <v>0</v>
      </c>
      <c r="AR200" s="10">
        <v>0</v>
      </c>
      <c r="AS200" s="7">
        <v>0</v>
      </c>
      <c r="AT200" s="7">
        <v>0</v>
      </c>
      <c r="AU200" s="7">
        <v>0</v>
      </c>
      <c r="AV200" s="7">
        <v>0</v>
      </c>
      <c r="AW200" s="7">
        <v>30</v>
      </c>
      <c r="AX200" s="7">
        <v>1</v>
      </c>
      <c r="AY200" s="5">
        <v>7</v>
      </c>
      <c r="AZ200" s="7">
        <v>0</v>
      </c>
      <c r="BA200" s="7">
        <v>1</v>
      </c>
      <c r="BB200" s="7">
        <v>0</v>
      </c>
      <c r="BC200" s="7">
        <v>1</v>
      </c>
      <c r="BD200" s="7">
        <v>1</v>
      </c>
      <c r="BE200" s="7">
        <v>0</v>
      </c>
      <c r="BF200" s="7">
        <v>0</v>
      </c>
      <c r="BG200" s="7">
        <v>0</v>
      </c>
      <c r="BH200" s="7">
        <v>0</v>
      </c>
      <c r="BI200" s="7">
        <v>0</v>
      </c>
      <c r="BJ200" s="7">
        <v>1</v>
      </c>
      <c r="BK200" s="11">
        <v>0</v>
      </c>
      <c r="BL200" s="7">
        <v>0</v>
      </c>
      <c r="BM200" s="3">
        <v>0</v>
      </c>
    </row>
    <row r="201" spans="1:65" ht="19.95" customHeight="1" x14ac:dyDescent="0.3">
      <c r="A201" s="3" t="s">
        <v>15</v>
      </c>
      <c r="B201" s="3">
        <v>6</v>
      </c>
      <c r="C201" s="8">
        <v>44410</v>
      </c>
      <c r="D201" s="9">
        <v>0.32013888888888892</v>
      </c>
      <c r="E201" s="4">
        <v>66</v>
      </c>
      <c r="F201" s="3">
        <v>0</v>
      </c>
      <c r="G201" s="3">
        <v>0</v>
      </c>
      <c r="H201" s="3">
        <v>0</v>
      </c>
      <c r="I201" s="3">
        <v>0</v>
      </c>
      <c r="J201" s="9">
        <v>0.31666666666666665</v>
      </c>
      <c r="K201" s="3">
        <v>141</v>
      </c>
      <c r="L201" s="11">
        <f t="shared" ref="L201" si="370">K201-K200</f>
        <v>0.40000000000000568</v>
      </c>
      <c r="M201" s="5">
        <f t="shared" ref="M201" si="371">AB200</f>
        <v>2427.8000000000002</v>
      </c>
      <c r="N201" s="11">
        <v>31</v>
      </c>
      <c r="O201" s="11">
        <v>32.625</v>
      </c>
      <c r="P201" s="11">
        <v>10.625</v>
      </c>
      <c r="Q201" s="11">
        <v>10.875</v>
      </c>
      <c r="R201" s="11">
        <v>19.875</v>
      </c>
      <c r="S201" s="11">
        <v>20</v>
      </c>
      <c r="T201" s="11">
        <v>17</v>
      </c>
      <c r="U201" s="11">
        <v>15</v>
      </c>
      <c r="V201" s="11">
        <v>17</v>
      </c>
      <c r="W201" s="11">
        <v>15</v>
      </c>
      <c r="X201" s="11">
        <v>7</v>
      </c>
      <c r="Y201" s="11">
        <v>7</v>
      </c>
      <c r="Z201" s="3" t="s">
        <v>1073</v>
      </c>
      <c r="AA201" s="10" t="s">
        <v>1072</v>
      </c>
      <c r="AB201" s="5">
        <f>280+322+140+10+420+390+267</f>
        <v>1829</v>
      </c>
      <c r="AC201" s="6">
        <f>7+29+10+0.75+16+25+13.7</f>
        <v>101.45</v>
      </c>
      <c r="AD201" s="6">
        <f>1+4+3+0+9+8+1.8</f>
        <v>26.8</v>
      </c>
      <c r="AE201" s="6">
        <f>8+4+12+0.25+6+14+3.2</f>
        <v>47.45</v>
      </c>
      <c r="AF201" s="6">
        <f>42+17+0+0.5+64+28+32.7</f>
        <v>184.2</v>
      </c>
      <c r="AG201" s="6">
        <f>8+18+0+0.25+0+3+3</f>
        <v>32.25</v>
      </c>
      <c r="AH201" s="6">
        <f>360+14+140+45+210+15+247</f>
        <v>1031</v>
      </c>
      <c r="AI201" s="6">
        <f t="shared" si="218"/>
        <v>5.5467468562055769E-2</v>
      </c>
      <c r="AJ201" s="6">
        <f t="shared" si="219"/>
        <v>1.4652815746309458E-2</v>
      </c>
      <c r="AK201" s="6">
        <f t="shared" si="220"/>
        <v>2.5943138326954621E-2</v>
      </c>
      <c r="AL201" s="6">
        <f t="shared" si="221"/>
        <v>0.10071077091306724</v>
      </c>
      <c r="AM201" s="6">
        <f t="shared" si="222"/>
        <v>1.7632586112629852E-2</v>
      </c>
      <c r="AN201" s="6">
        <f t="shared" si="223"/>
        <v>0.56369600874794967</v>
      </c>
      <c r="AO201" s="7">
        <v>5</v>
      </c>
      <c r="AP201" s="7">
        <v>1</v>
      </c>
      <c r="AQ201" s="7">
        <v>0</v>
      </c>
      <c r="AR201" s="10">
        <v>0</v>
      </c>
      <c r="AS201" s="7">
        <v>0</v>
      </c>
      <c r="AT201" s="7">
        <v>0</v>
      </c>
      <c r="AU201" s="7">
        <v>0</v>
      </c>
      <c r="AV201" s="7">
        <v>0</v>
      </c>
      <c r="AW201" s="7">
        <v>30</v>
      </c>
      <c r="AX201" s="7">
        <v>1</v>
      </c>
      <c r="AY201" s="5">
        <v>6</v>
      </c>
      <c r="AZ201" s="7">
        <v>0</v>
      </c>
      <c r="BA201" s="7">
        <v>1</v>
      </c>
      <c r="BB201" s="7">
        <v>0</v>
      </c>
      <c r="BC201" s="7">
        <v>1</v>
      </c>
      <c r="BD201" s="7">
        <v>1</v>
      </c>
      <c r="BE201" s="7">
        <v>0</v>
      </c>
      <c r="BF201" s="7">
        <v>0</v>
      </c>
      <c r="BG201" s="7">
        <v>0</v>
      </c>
      <c r="BH201" s="7">
        <v>0</v>
      </c>
      <c r="BI201" s="7">
        <v>0</v>
      </c>
      <c r="BJ201" s="7">
        <v>1</v>
      </c>
      <c r="BK201" s="11">
        <v>0</v>
      </c>
      <c r="BL201" s="7">
        <v>0</v>
      </c>
      <c r="BM201" s="3">
        <v>0</v>
      </c>
    </row>
    <row r="202" spans="1:65" ht="19.95" customHeight="1" x14ac:dyDescent="0.3">
      <c r="A202" s="3" t="s">
        <v>16</v>
      </c>
      <c r="B202" s="3">
        <v>7</v>
      </c>
      <c r="C202" s="8">
        <v>44411</v>
      </c>
      <c r="D202" s="9">
        <v>0.28263888888888888</v>
      </c>
      <c r="E202" s="4">
        <v>64</v>
      </c>
      <c r="F202" s="3">
        <v>0</v>
      </c>
      <c r="G202" s="3">
        <v>0</v>
      </c>
      <c r="H202" s="3">
        <v>0</v>
      </c>
      <c r="I202" s="3">
        <v>0</v>
      </c>
      <c r="J202" s="9">
        <v>0.27569444444444446</v>
      </c>
      <c r="K202" s="3">
        <v>139.6</v>
      </c>
      <c r="L202" s="11">
        <f t="shared" ref="L202" si="372">K202-K201</f>
        <v>-1.4000000000000057</v>
      </c>
      <c r="M202" s="5">
        <f t="shared" ref="M202" si="373">AB201</f>
        <v>1829</v>
      </c>
      <c r="N202" s="11">
        <v>30.6</v>
      </c>
      <c r="O202" s="11">
        <v>32</v>
      </c>
      <c r="P202" s="11">
        <v>10.75</v>
      </c>
      <c r="Q202" s="11">
        <v>10.75</v>
      </c>
      <c r="R202" s="11">
        <v>20.125</v>
      </c>
      <c r="S202" s="11">
        <v>20.375</v>
      </c>
      <c r="T202" s="11">
        <v>15</v>
      </c>
      <c r="U202" s="11">
        <v>13</v>
      </c>
      <c r="V202" s="11">
        <v>17</v>
      </c>
      <c r="W202" s="11">
        <v>17</v>
      </c>
      <c r="X202" s="11">
        <v>7</v>
      </c>
      <c r="Y202" s="11">
        <v>7</v>
      </c>
      <c r="Z202" s="3" t="s">
        <v>1085</v>
      </c>
      <c r="AA202" s="10" t="s">
        <v>1094</v>
      </c>
      <c r="AB202" s="5">
        <f>577.5+660+180+230+537.5+360</f>
        <v>2545</v>
      </c>
      <c r="AC202" s="6">
        <f>30+27.75+3.5+13+0.13+13.5</f>
        <v>87.88</v>
      </c>
      <c r="AD202" s="6">
        <f>16.5+12.75+2+1.5+0+3</f>
        <v>35.75</v>
      </c>
      <c r="AE202" s="6">
        <f>11.75+9.75+3+3+0.5+6</f>
        <v>34</v>
      </c>
      <c r="AF202" s="6">
        <f>65.25+95.25+34+25+134.75+51</f>
        <v>405.25</v>
      </c>
      <c r="AG202" s="6">
        <f>3.75+1.5+0+2+3.25+3</f>
        <v>13.5</v>
      </c>
      <c r="AH202" s="6">
        <f>1060+855+100+180+25+600</f>
        <v>2820</v>
      </c>
      <c r="AI202" s="6">
        <f t="shared" si="218"/>
        <v>3.4530451866404716E-2</v>
      </c>
      <c r="AJ202" s="6">
        <f t="shared" si="219"/>
        <v>1.4047151277013753E-2</v>
      </c>
      <c r="AK202" s="6">
        <f t="shared" si="220"/>
        <v>1.3359528487229863E-2</v>
      </c>
      <c r="AL202" s="6">
        <f t="shared" si="221"/>
        <v>0.15923379174852653</v>
      </c>
      <c r="AM202" s="6">
        <f t="shared" si="222"/>
        <v>5.3045186640471509E-3</v>
      </c>
      <c r="AN202" s="6">
        <f t="shared" si="223"/>
        <v>1.1080550098231827</v>
      </c>
      <c r="AO202" s="7">
        <v>5</v>
      </c>
      <c r="AP202" s="7">
        <v>1</v>
      </c>
      <c r="AQ202" s="7">
        <v>0</v>
      </c>
      <c r="AR202" s="10">
        <v>0</v>
      </c>
      <c r="AS202" s="7">
        <v>0</v>
      </c>
      <c r="AT202" s="7">
        <v>0</v>
      </c>
      <c r="AU202" s="7">
        <v>0</v>
      </c>
      <c r="AV202" s="7">
        <v>0</v>
      </c>
      <c r="AW202" s="7">
        <v>31</v>
      </c>
      <c r="AX202" s="7">
        <v>1</v>
      </c>
      <c r="AY202" s="5">
        <v>6</v>
      </c>
      <c r="AZ202" s="7">
        <v>0</v>
      </c>
      <c r="BA202" s="7">
        <v>0</v>
      </c>
      <c r="BB202" s="7">
        <v>0</v>
      </c>
      <c r="BC202" s="7">
        <v>1</v>
      </c>
      <c r="BD202" s="7">
        <v>1</v>
      </c>
      <c r="BE202" s="7">
        <v>0</v>
      </c>
      <c r="BF202" s="7">
        <v>0</v>
      </c>
      <c r="BG202" s="7">
        <v>0</v>
      </c>
      <c r="BH202" s="7">
        <v>0</v>
      </c>
      <c r="BI202" s="7">
        <v>0</v>
      </c>
      <c r="BJ202" s="7">
        <v>1</v>
      </c>
      <c r="BK202" s="11">
        <v>2</v>
      </c>
      <c r="BL202" s="7" t="s">
        <v>1050</v>
      </c>
      <c r="BM202" s="3">
        <v>0</v>
      </c>
    </row>
    <row r="203" spans="1:65" ht="19.95" customHeight="1" x14ac:dyDescent="0.3">
      <c r="A203" s="3" t="s">
        <v>17</v>
      </c>
      <c r="B203" s="3">
        <v>8</v>
      </c>
      <c r="C203" s="8">
        <v>44412</v>
      </c>
      <c r="D203" s="9">
        <v>0.39583333333333331</v>
      </c>
      <c r="E203" s="4">
        <v>85</v>
      </c>
      <c r="F203" s="3">
        <v>0</v>
      </c>
      <c r="G203" s="3">
        <v>0</v>
      </c>
      <c r="H203" s="3">
        <v>0</v>
      </c>
      <c r="I203" s="3">
        <v>1</v>
      </c>
      <c r="J203" s="9">
        <v>0.34097222222222223</v>
      </c>
      <c r="K203" s="3">
        <v>142.80000000000001</v>
      </c>
      <c r="L203" s="11">
        <f t="shared" ref="L203" si="374">K203-K202</f>
        <v>3.2000000000000171</v>
      </c>
      <c r="M203" s="5">
        <f t="shared" ref="M203" si="375">AB202</f>
        <v>2545</v>
      </c>
      <c r="N203" s="11">
        <v>30.625</v>
      </c>
      <c r="O203" s="11">
        <v>32.5</v>
      </c>
      <c r="P203" s="11">
        <v>10.5</v>
      </c>
      <c r="Q203" s="11">
        <v>10.625</v>
      </c>
      <c r="R203" s="11">
        <v>20</v>
      </c>
      <c r="S203" s="11">
        <v>19.875</v>
      </c>
      <c r="T203" s="11">
        <v>14</v>
      </c>
      <c r="U203" s="11">
        <v>13</v>
      </c>
      <c r="V203" s="11">
        <v>18</v>
      </c>
      <c r="W203" s="11">
        <v>16</v>
      </c>
      <c r="X203" s="11">
        <v>7</v>
      </c>
      <c r="Y203" s="11">
        <v>7</v>
      </c>
      <c r="Z203" s="3" t="s">
        <v>1102</v>
      </c>
      <c r="AA203" s="10" t="s">
        <v>1101</v>
      </c>
      <c r="AB203" s="5">
        <f>1039+35+306+1160+240+420+360+1095</f>
        <v>4655</v>
      </c>
      <c r="AC203" s="6">
        <f>42.5+0.75+13.1+44+9+26+0+57.33</f>
        <v>192.68</v>
      </c>
      <c r="AD203" s="6">
        <f>9.5+0+6.1+24+2+10+0+9.23</f>
        <v>60.83</v>
      </c>
      <c r="AE203" s="6">
        <f>18.9+1.5+12.3+48+4+14+0+33.28</f>
        <v>131.98000000000002</v>
      </c>
      <c r="AF203" s="6">
        <f>132.3+5+34.2+144+34+32+100+116.75</f>
        <v>598.25</v>
      </c>
      <c r="AG203" s="6">
        <f>0+0.5+1.8+16+2+1+0+25.13</f>
        <v>46.43</v>
      </c>
      <c r="AH203" s="6">
        <f>2457+180+648+2200+400+780+120+601.5</f>
        <v>7386.5</v>
      </c>
      <c r="AI203" s="6">
        <f t="shared" si="218"/>
        <v>4.1392051557465094E-2</v>
      </c>
      <c r="AJ203" s="6">
        <f t="shared" si="219"/>
        <v>1.306766917293233E-2</v>
      </c>
      <c r="AK203" s="6">
        <f t="shared" si="220"/>
        <v>2.8352309344790553E-2</v>
      </c>
      <c r="AL203" s="6">
        <f t="shared" si="221"/>
        <v>0.12851772287862515</v>
      </c>
      <c r="AM203" s="6">
        <f t="shared" si="222"/>
        <v>9.9742212674543505E-3</v>
      </c>
      <c r="AN203" s="6">
        <f t="shared" si="223"/>
        <v>1.5867883995703544</v>
      </c>
      <c r="AO203" s="7">
        <v>5</v>
      </c>
      <c r="AP203" s="7">
        <v>2</v>
      </c>
      <c r="AQ203" s="7">
        <v>0</v>
      </c>
      <c r="AR203" s="10" t="s">
        <v>1095</v>
      </c>
      <c r="AS203" s="7">
        <v>0</v>
      </c>
      <c r="AT203" s="7">
        <v>0</v>
      </c>
      <c r="AU203" s="7">
        <v>0</v>
      </c>
      <c r="AV203" s="7">
        <v>0</v>
      </c>
      <c r="AW203" s="7">
        <v>0</v>
      </c>
      <c r="AX203" s="7">
        <v>0</v>
      </c>
      <c r="AY203" s="5">
        <v>7.5</v>
      </c>
      <c r="AZ203" s="7">
        <v>0</v>
      </c>
      <c r="BA203" s="7">
        <v>0</v>
      </c>
      <c r="BB203" s="7">
        <v>0</v>
      </c>
      <c r="BC203" s="7">
        <v>1</v>
      </c>
      <c r="BD203" s="7">
        <v>1</v>
      </c>
      <c r="BE203" s="7">
        <v>0</v>
      </c>
      <c r="BF203" s="7">
        <v>0</v>
      </c>
      <c r="BG203" s="7">
        <v>0</v>
      </c>
      <c r="BH203" s="7">
        <v>0</v>
      </c>
      <c r="BI203" s="7">
        <v>0</v>
      </c>
      <c r="BJ203" s="7">
        <v>1</v>
      </c>
      <c r="BK203" s="11">
        <v>3</v>
      </c>
      <c r="BL203" s="7" t="s">
        <v>1050</v>
      </c>
      <c r="BM203" s="3">
        <v>0</v>
      </c>
    </row>
    <row r="204" spans="1:65" ht="19.95" customHeight="1" x14ac:dyDescent="0.3">
      <c r="A204" s="3" t="s">
        <v>18</v>
      </c>
      <c r="B204" s="3">
        <v>9</v>
      </c>
      <c r="C204" s="8">
        <v>44413</v>
      </c>
      <c r="D204" s="9">
        <v>0.32291666666666669</v>
      </c>
      <c r="E204" s="4">
        <v>70</v>
      </c>
      <c r="F204" s="3">
        <v>0</v>
      </c>
      <c r="G204" s="3">
        <v>0</v>
      </c>
      <c r="H204" s="3">
        <v>0</v>
      </c>
      <c r="I204" s="3">
        <v>0</v>
      </c>
      <c r="J204" s="9">
        <v>0.31875000000000003</v>
      </c>
      <c r="K204" s="3">
        <v>145.80000000000001</v>
      </c>
      <c r="L204" s="11">
        <f t="shared" ref="L204" si="376">K204-K203</f>
        <v>3</v>
      </c>
      <c r="M204" s="5">
        <f t="shared" ref="M204" si="377">AB203</f>
        <v>4655</v>
      </c>
      <c r="N204" s="11">
        <v>31.5</v>
      </c>
      <c r="O204" s="11">
        <v>32.5</v>
      </c>
      <c r="P204" s="11">
        <v>10.5</v>
      </c>
      <c r="Q204" s="11">
        <v>10.75</v>
      </c>
      <c r="R204" s="11">
        <v>19.875</v>
      </c>
      <c r="S204" s="11">
        <v>20.125</v>
      </c>
      <c r="T204" s="11">
        <v>17</v>
      </c>
      <c r="U204" s="11">
        <v>15</v>
      </c>
      <c r="V204" s="11">
        <v>17</v>
      </c>
      <c r="W204" s="11">
        <v>15</v>
      </c>
      <c r="X204" s="11">
        <v>7</v>
      </c>
      <c r="Y204" s="11">
        <v>7</v>
      </c>
      <c r="Z204" s="3" t="s">
        <v>1105</v>
      </c>
      <c r="AA204" s="10" t="s">
        <v>1104</v>
      </c>
      <c r="AB204" s="5">
        <f>420+918+1160+70+120+420+1160</f>
        <v>4268</v>
      </c>
      <c r="AC204" s="6">
        <f>26+39.3+44+5+4+26+44</f>
        <v>188.3</v>
      </c>
      <c r="AD204" s="6">
        <f>10+18.3+24+3.5+2+10+24</f>
        <v>91.8</v>
      </c>
      <c r="AE204" s="6">
        <f>14+36.9+48+1+9.33+14+48</f>
        <v>171.23000000000002</v>
      </c>
      <c r="AF204" s="6">
        <f>32+102.6+144+4+12.67+32+144</f>
        <v>471.27000000000004</v>
      </c>
      <c r="AG204" s="6">
        <f>1+5.4+16+0+0+1+16</f>
        <v>39.4</v>
      </c>
      <c r="AH204" s="6">
        <f>780+1944+2200+15+33.33+780+2200</f>
        <v>7952.33</v>
      </c>
      <c r="AI204" s="6">
        <f t="shared" si="218"/>
        <v>4.4119025304592316E-2</v>
      </c>
      <c r="AJ204" s="6">
        <f t="shared" si="219"/>
        <v>2.1508903467666353E-2</v>
      </c>
      <c r="AK204" s="6">
        <f t="shared" si="220"/>
        <v>4.0119493908153704E-2</v>
      </c>
      <c r="AL204" s="6">
        <f t="shared" si="221"/>
        <v>0.11041940018744144</v>
      </c>
      <c r="AM204" s="6">
        <f t="shared" si="222"/>
        <v>9.2314901593252112E-3</v>
      </c>
      <c r="AN204" s="6">
        <f t="shared" si="223"/>
        <v>1.8632450796626054</v>
      </c>
      <c r="AO204" s="7">
        <v>5</v>
      </c>
      <c r="AP204" s="7">
        <v>2</v>
      </c>
      <c r="AQ204" s="7">
        <v>0</v>
      </c>
      <c r="AR204" s="10">
        <v>0</v>
      </c>
      <c r="AS204" s="7">
        <v>0</v>
      </c>
      <c r="AT204" s="7">
        <v>0</v>
      </c>
      <c r="AU204" s="7">
        <v>0</v>
      </c>
      <c r="AV204" s="7">
        <v>0</v>
      </c>
      <c r="AW204" s="7">
        <v>31</v>
      </c>
      <c r="AX204" s="7">
        <v>1</v>
      </c>
      <c r="AY204" s="5">
        <f>5+1+0.5</f>
        <v>6.5</v>
      </c>
      <c r="AZ204" s="7">
        <v>0</v>
      </c>
      <c r="BA204" s="7">
        <v>0</v>
      </c>
      <c r="BB204" s="7">
        <v>0</v>
      </c>
      <c r="BC204" s="7">
        <v>1</v>
      </c>
      <c r="BD204" s="7">
        <v>1</v>
      </c>
      <c r="BE204" s="7">
        <v>0</v>
      </c>
      <c r="BF204" s="7">
        <v>2</v>
      </c>
      <c r="BG204" s="7">
        <f>60+45</f>
        <v>105</v>
      </c>
      <c r="BH204" s="7">
        <v>0</v>
      </c>
      <c r="BI204" s="7">
        <v>0</v>
      </c>
      <c r="BJ204" s="7">
        <v>1</v>
      </c>
      <c r="BK204" s="11">
        <v>2</v>
      </c>
      <c r="BL204" s="7" t="s">
        <v>1050</v>
      </c>
      <c r="BM204" s="7">
        <v>1</v>
      </c>
    </row>
    <row r="205" spans="1:65" ht="19.95" customHeight="1" x14ac:dyDescent="0.3">
      <c r="A205" s="3" t="s">
        <v>137</v>
      </c>
      <c r="B205" s="3">
        <v>10</v>
      </c>
      <c r="C205" s="8">
        <v>44414</v>
      </c>
      <c r="D205" s="9">
        <v>0.3125</v>
      </c>
      <c r="E205" s="4">
        <v>67</v>
      </c>
      <c r="F205" s="3">
        <v>0</v>
      </c>
      <c r="G205" s="3">
        <v>0</v>
      </c>
      <c r="H205" s="3">
        <v>0</v>
      </c>
      <c r="I205" s="3">
        <v>0</v>
      </c>
      <c r="J205" s="9">
        <v>0.31111111111111112</v>
      </c>
      <c r="K205" s="3">
        <v>146.4</v>
      </c>
      <c r="L205" s="11">
        <f t="shared" ref="L205" si="378">K205-K204</f>
        <v>0.59999999999999432</v>
      </c>
      <c r="M205" s="5">
        <f t="shared" ref="M205" si="379">AB204</f>
        <v>4268</v>
      </c>
      <c r="N205" s="11">
        <v>31.25</v>
      </c>
      <c r="O205" s="11">
        <v>32.5</v>
      </c>
      <c r="P205" s="11">
        <v>10.875</v>
      </c>
      <c r="Q205" s="11">
        <v>10.875</v>
      </c>
      <c r="R205" s="11">
        <v>20.125</v>
      </c>
      <c r="S205" s="11">
        <v>20.375</v>
      </c>
      <c r="T205" s="11">
        <v>15</v>
      </c>
      <c r="U205" s="11">
        <v>15</v>
      </c>
      <c r="V205" s="11">
        <v>17</v>
      </c>
      <c r="W205" s="11">
        <v>17</v>
      </c>
      <c r="X205" s="11">
        <v>7</v>
      </c>
      <c r="Y205" s="11">
        <v>7</v>
      </c>
      <c r="Z205" s="3" t="s">
        <v>1107</v>
      </c>
      <c r="AA205" s="10" t="s">
        <v>1112</v>
      </c>
      <c r="AB205" s="5">
        <f>1160+120+105+260+190+100+17+4+59+480+180+280</f>
        <v>2955</v>
      </c>
      <c r="AC205" s="6">
        <f>44+3+4.5+18+2+9+0.1+0.1+5.6+23+0+20</f>
        <v>129.29999999999998</v>
      </c>
      <c r="AD205" s="6">
        <f>24+0+0+5+0.5+4.5+0.1+0.1+0.8+4+0+6</f>
        <v>45</v>
      </c>
      <c r="AE205" s="6">
        <f>48+0+20+6+2+1.3+0.2+0.2+7+0+24</f>
        <v>108.7</v>
      </c>
      <c r="AF205" s="6">
        <f>144+20+15+5+36+4+3.3+0.8+2.6+63+50+0</f>
        <v>343.70000000000005</v>
      </c>
      <c r="AG205" s="6">
        <f>16+1+0+2+1+0+0+0.2+0.1+6+0+0</f>
        <v>26.3</v>
      </c>
      <c r="AH205" s="6">
        <f>2200+120+45+350+380+115+27+1+138+370+60+280</f>
        <v>4086</v>
      </c>
      <c r="AI205" s="6">
        <f t="shared" si="218"/>
        <v>4.3756345177664968E-2</v>
      </c>
      <c r="AJ205" s="6">
        <f t="shared" si="219"/>
        <v>1.5228426395939087E-2</v>
      </c>
      <c r="AK205" s="6">
        <f t="shared" si="220"/>
        <v>3.6785109983079524E-2</v>
      </c>
      <c r="AL205" s="6">
        <f t="shared" si="221"/>
        <v>0.1163113367174281</v>
      </c>
      <c r="AM205" s="6">
        <f t="shared" si="222"/>
        <v>8.9001692047377332E-3</v>
      </c>
      <c r="AN205" s="6">
        <f t="shared" si="223"/>
        <v>1.3827411167512691</v>
      </c>
      <c r="AO205" s="7">
        <v>5</v>
      </c>
      <c r="AP205" s="7">
        <v>1</v>
      </c>
      <c r="AQ205" s="7">
        <v>0</v>
      </c>
      <c r="AR205" s="10">
        <v>0</v>
      </c>
      <c r="AS205" s="7">
        <v>0</v>
      </c>
      <c r="AT205" s="7">
        <v>0</v>
      </c>
      <c r="AU205" s="7">
        <v>0</v>
      </c>
      <c r="AV205" s="7">
        <v>0</v>
      </c>
      <c r="AW205" s="7">
        <v>31</v>
      </c>
      <c r="AX205" s="7">
        <v>0</v>
      </c>
      <c r="AY205" s="5">
        <v>7</v>
      </c>
      <c r="AZ205" s="7">
        <v>0</v>
      </c>
      <c r="BA205" s="7">
        <v>0</v>
      </c>
      <c r="BB205" s="7">
        <v>0</v>
      </c>
      <c r="BC205" s="7">
        <v>1</v>
      </c>
      <c r="BD205" s="7">
        <v>1</v>
      </c>
      <c r="BE205" s="7">
        <v>0</v>
      </c>
      <c r="BF205" s="7">
        <v>0</v>
      </c>
      <c r="BG205" s="7">
        <v>0</v>
      </c>
      <c r="BH205" s="7">
        <v>0</v>
      </c>
      <c r="BI205" s="7">
        <v>0</v>
      </c>
      <c r="BJ205" s="7">
        <v>1</v>
      </c>
      <c r="BK205" s="11">
        <v>2</v>
      </c>
      <c r="BL205" s="7" t="s">
        <v>1050</v>
      </c>
      <c r="BM205" s="7">
        <v>1</v>
      </c>
    </row>
    <row r="206" spans="1:65" ht="30" customHeight="1" x14ac:dyDescent="0.3">
      <c r="A206" s="3" t="s">
        <v>19</v>
      </c>
      <c r="B206" s="3">
        <v>0</v>
      </c>
      <c r="C206" s="8">
        <v>44415</v>
      </c>
      <c r="D206" s="9">
        <v>0.27430555555555552</v>
      </c>
      <c r="E206" s="4">
        <v>63</v>
      </c>
      <c r="F206" s="3">
        <v>0</v>
      </c>
      <c r="G206" s="3">
        <v>0</v>
      </c>
      <c r="H206" s="3">
        <v>0</v>
      </c>
      <c r="I206" s="3">
        <v>0</v>
      </c>
      <c r="J206" s="9">
        <v>0.27430555555555552</v>
      </c>
      <c r="K206" s="3">
        <v>147.80000000000001</v>
      </c>
      <c r="L206" s="11">
        <f t="shared" ref="L206" si="380">K206-K205</f>
        <v>1.4000000000000057</v>
      </c>
      <c r="M206" s="5">
        <f t="shared" ref="M206" si="381">AB205</f>
        <v>2955</v>
      </c>
      <c r="N206" s="11">
        <v>31.25</v>
      </c>
      <c r="O206" s="11">
        <v>33</v>
      </c>
      <c r="P206" s="11">
        <v>11</v>
      </c>
      <c r="Q206" s="11">
        <v>10.875</v>
      </c>
      <c r="R206" s="11">
        <v>20.5</v>
      </c>
      <c r="S206" s="11">
        <v>20.5</v>
      </c>
      <c r="T206" s="11">
        <v>17</v>
      </c>
      <c r="U206" s="11">
        <v>17</v>
      </c>
      <c r="V206" s="11">
        <v>17</v>
      </c>
      <c r="W206" s="11">
        <v>17</v>
      </c>
      <c r="X206" s="11">
        <v>7</v>
      </c>
      <c r="Y206" s="11">
        <v>7</v>
      </c>
      <c r="Z206" s="3" t="s">
        <v>1113</v>
      </c>
      <c r="AA206" s="10" t="s">
        <v>1115</v>
      </c>
      <c r="AB206" s="5">
        <f>315+550+300+13.3+240+285+280</f>
        <v>1983.3</v>
      </c>
      <c r="AC206" s="6">
        <f>16.5+10+18+0+8+13.5+20</f>
        <v>86</v>
      </c>
      <c r="AD206" s="6">
        <f>13.5+0+12+0+4+9+6</f>
        <v>44.5</v>
      </c>
      <c r="AE206" s="6">
        <f>30+20+24+1.3+18.67+4.5+24</f>
        <v>122.47</v>
      </c>
      <c r="AF206" s="6">
        <f>10.5+95+6+2.67+25.3+37.5+0</f>
        <v>176.97</v>
      </c>
      <c r="AG206" s="6">
        <f>1.5+10+0+2+0+0+0</f>
        <v>13.5</v>
      </c>
      <c r="AH206" s="6">
        <f>675+675+840+13.3+66.67+120+280</f>
        <v>2669.9700000000003</v>
      </c>
      <c r="AI206" s="6">
        <f t="shared" si="218"/>
        <v>4.336207331215651E-2</v>
      </c>
      <c r="AJ206" s="6">
        <f t="shared" si="219"/>
        <v>2.2437351888267031E-2</v>
      </c>
      <c r="AK206" s="6">
        <f t="shared" si="220"/>
        <v>6.1750617657439624E-2</v>
      </c>
      <c r="AL206" s="6">
        <f t="shared" si="221"/>
        <v>8.9230071093631833E-2</v>
      </c>
      <c r="AM206" s="6">
        <f t="shared" si="222"/>
        <v>6.8068370896989866E-3</v>
      </c>
      <c r="AN206" s="6">
        <f t="shared" si="223"/>
        <v>1.3462259869913782</v>
      </c>
      <c r="AO206" s="7">
        <v>5</v>
      </c>
      <c r="AP206" s="7">
        <v>2</v>
      </c>
      <c r="AQ206" s="7">
        <v>1</v>
      </c>
      <c r="AR206" s="10">
        <v>0</v>
      </c>
      <c r="AS206" s="7">
        <v>0</v>
      </c>
      <c r="AT206" s="7">
        <v>0</v>
      </c>
      <c r="AU206" s="7">
        <v>0</v>
      </c>
      <c r="AV206" s="7">
        <v>0</v>
      </c>
      <c r="AW206" s="7">
        <v>31</v>
      </c>
      <c r="AX206" s="7">
        <v>1</v>
      </c>
      <c r="AY206" s="5">
        <v>7.25</v>
      </c>
      <c r="AZ206" s="7">
        <v>0</v>
      </c>
      <c r="BA206" s="7">
        <v>0</v>
      </c>
      <c r="BB206" s="7">
        <v>0</v>
      </c>
      <c r="BC206" s="7">
        <v>1</v>
      </c>
      <c r="BD206" s="7">
        <v>1</v>
      </c>
      <c r="BE206" s="7">
        <v>0</v>
      </c>
      <c r="BF206" s="7">
        <v>1</v>
      </c>
      <c r="BG206" s="7">
        <v>15</v>
      </c>
      <c r="BH206" s="7">
        <v>0</v>
      </c>
      <c r="BI206" s="7">
        <v>0</v>
      </c>
      <c r="BJ206" s="7">
        <v>1</v>
      </c>
      <c r="BK206" s="11">
        <v>2</v>
      </c>
      <c r="BL206" s="7" t="s">
        <v>1050</v>
      </c>
      <c r="BM206" s="3">
        <v>1</v>
      </c>
    </row>
    <row r="207" spans="1:65" ht="19.95" customHeight="1" x14ac:dyDescent="0.3">
      <c r="A207" s="3" t="s">
        <v>23</v>
      </c>
      <c r="B207" s="3">
        <v>1</v>
      </c>
      <c r="C207" s="8">
        <v>44416</v>
      </c>
      <c r="D207" s="9">
        <v>0.27291666666666664</v>
      </c>
      <c r="E207" s="4">
        <v>64</v>
      </c>
      <c r="F207" s="3">
        <v>0</v>
      </c>
      <c r="G207" s="3">
        <v>0</v>
      </c>
      <c r="H207" s="3">
        <v>0</v>
      </c>
      <c r="I207" s="3">
        <v>0</v>
      </c>
      <c r="J207" s="9">
        <v>0.28055555555555556</v>
      </c>
      <c r="K207" s="3">
        <v>145.80000000000001</v>
      </c>
      <c r="L207" s="11">
        <f t="shared" ref="L207" si="382">K207-K206</f>
        <v>-2</v>
      </c>
      <c r="M207" s="5">
        <f t="shared" ref="M207" si="383">AB206</f>
        <v>1983.3</v>
      </c>
      <c r="N207" s="11">
        <v>31.9375</v>
      </c>
      <c r="O207" s="11">
        <v>33.25</v>
      </c>
      <c r="P207" s="11">
        <v>10.75</v>
      </c>
      <c r="Q207" s="11">
        <v>10.75</v>
      </c>
      <c r="R207" s="11">
        <v>20</v>
      </c>
      <c r="S207" s="11">
        <v>20</v>
      </c>
      <c r="T207" s="11">
        <v>15</v>
      </c>
      <c r="U207" s="11">
        <v>15</v>
      </c>
      <c r="V207" s="11">
        <v>17</v>
      </c>
      <c r="W207" s="11">
        <v>15</v>
      </c>
      <c r="X207" s="11">
        <v>7</v>
      </c>
      <c r="Y207" s="11">
        <v>7</v>
      </c>
      <c r="Z207" s="3" t="s">
        <v>1119</v>
      </c>
      <c r="AA207" s="10" t="s">
        <v>1118</v>
      </c>
      <c r="AB207" s="5">
        <f>315+330+300+240+280+210+350</f>
        <v>2025</v>
      </c>
      <c r="AC207" s="6">
        <f>16.5+6+18+8+20+9+9</f>
        <v>86.5</v>
      </c>
      <c r="AD207" s="6">
        <f>13.5+0+12+4+6+0+9</f>
        <v>44.5</v>
      </c>
      <c r="AE207" s="6">
        <f>30+12+24+18.67+24+0+2</f>
        <v>110.67</v>
      </c>
      <c r="AF207" s="6">
        <f>10.5+57+6+25.33+0+30+65</f>
        <v>193.82999999999998</v>
      </c>
      <c r="AG207" s="6">
        <f>1.5+6+0+0+0+0+10</f>
        <v>17.5</v>
      </c>
      <c r="AH207" s="6">
        <f>675+405+840+66.67+280+90+71</f>
        <v>2427.67</v>
      </c>
      <c r="AI207" s="6">
        <f t="shared" si="218"/>
        <v>4.2716049382716052E-2</v>
      </c>
      <c r="AJ207" s="6">
        <f t="shared" si="219"/>
        <v>2.1975308641975309E-2</v>
      </c>
      <c r="AK207" s="6">
        <f t="shared" si="220"/>
        <v>5.4651851851851854E-2</v>
      </c>
      <c r="AL207" s="6">
        <f t="shared" si="221"/>
        <v>9.5718518518518508E-2</v>
      </c>
      <c r="AM207" s="6">
        <f t="shared" si="222"/>
        <v>8.6419753086419745E-3</v>
      </c>
      <c r="AN207" s="6">
        <f t="shared" si="223"/>
        <v>1.1988493827160493</v>
      </c>
      <c r="AO207" s="7">
        <v>5</v>
      </c>
      <c r="AP207" s="7">
        <v>1</v>
      </c>
      <c r="AQ207" s="7">
        <v>1</v>
      </c>
      <c r="AR207" s="10">
        <v>0</v>
      </c>
      <c r="AS207" s="7">
        <v>0</v>
      </c>
      <c r="AT207" s="7">
        <v>0</v>
      </c>
      <c r="AU207" s="7">
        <v>0</v>
      </c>
      <c r="AV207" s="7">
        <v>0</v>
      </c>
      <c r="AW207" s="7">
        <v>31</v>
      </c>
      <c r="AX207" s="7">
        <v>1</v>
      </c>
      <c r="AY207" s="5">
        <v>7.5</v>
      </c>
      <c r="AZ207" s="7">
        <v>0</v>
      </c>
      <c r="BA207" s="7">
        <v>1</v>
      </c>
      <c r="BB207" s="7">
        <v>0</v>
      </c>
      <c r="BC207" s="7">
        <v>1</v>
      </c>
      <c r="BD207" s="7">
        <v>1</v>
      </c>
      <c r="BE207" s="7">
        <v>0</v>
      </c>
      <c r="BF207" s="7">
        <v>0</v>
      </c>
      <c r="BG207" s="7">
        <v>0</v>
      </c>
      <c r="BH207" s="7">
        <v>0</v>
      </c>
      <c r="BI207" s="7">
        <v>0</v>
      </c>
      <c r="BJ207" s="7">
        <v>1</v>
      </c>
      <c r="BK207" s="11">
        <v>0</v>
      </c>
      <c r="BL207" s="3">
        <v>0</v>
      </c>
      <c r="BM207" s="3">
        <v>1</v>
      </c>
    </row>
    <row r="208" spans="1:65" ht="19.95" customHeight="1" x14ac:dyDescent="0.3">
      <c r="A208" s="3" t="s">
        <v>15</v>
      </c>
      <c r="B208" s="3">
        <v>2</v>
      </c>
      <c r="C208" s="8">
        <v>44417</v>
      </c>
      <c r="D208" s="9">
        <v>0.37152777777777773</v>
      </c>
      <c r="E208" s="4">
        <v>70</v>
      </c>
      <c r="F208" s="3">
        <v>0</v>
      </c>
      <c r="G208" s="3">
        <v>0</v>
      </c>
      <c r="H208" s="3">
        <v>0</v>
      </c>
      <c r="I208" s="3">
        <v>0</v>
      </c>
      <c r="J208" s="9">
        <v>0.40277777777777773</v>
      </c>
      <c r="K208" s="3">
        <v>147.4</v>
      </c>
      <c r="L208" s="11">
        <f t="shared" ref="L208" si="384">K208-K207</f>
        <v>1.5999999999999943</v>
      </c>
      <c r="M208" s="5">
        <f t="shared" ref="M208" si="385">AB207</f>
        <v>2025</v>
      </c>
      <c r="N208" s="11">
        <v>31.5</v>
      </c>
      <c r="O208" s="11">
        <v>33</v>
      </c>
      <c r="P208" s="11">
        <v>10.75</v>
      </c>
      <c r="Q208" s="11">
        <v>10.75</v>
      </c>
      <c r="R208" s="11">
        <v>20</v>
      </c>
      <c r="S208" s="11">
        <v>20.5</v>
      </c>
      <c r="T208" s="11">
        <v>15</v>
      </c>
      <c r="U208" s="11">
        <v>14</v>
      </c>
      <c r="V208" s="11">
        <v>17</v>
      </c>
      <c r="W208" s="11">
        <v>15</v>
      </c>
      <c r="X208" s="11">
        <v>7</v>
      </c>
      <c r="Y208" s="11">
        <v>7</v>
      </c>
      <c r="Z208" s="3" t="s">
        <v>1120</v>
      </c>
      <c r="AA208" s="10" t="s">
        <v>1124</v>
      </c>
      <c r="AB208" s="5">
        <f>240+220+100+481+589+402.5</f>
        <v>2032.5</v>
      </c>
      <c r="AC208" s="6">
        <f>8+4+6+16.2+21+11.25</f>
        <v>66.45</v>
      </c>
      <c r="AD208" s="6">
        <f>4+0+4+8.7+4.1+11.25</f>
        <v>32.049999999999997</v>
      </c>
      <c r="AE208" s="6">
        <f>18.67+8+8+26.5+18.2+2.5</f>
        <v>81.87</v>
      </c>
      <c r="AF208" s="6">
        <f>25.33+38+2+57.1+85.2+72.75</f>
        <v>280.38</v>
      </c>
      <c r="AG208" s="6">
        <f>0+4+0+5.2+11.95+10</f>
        <v>31.15</v>
      </c>
      <c r="AH208" s="6">
        <f>66.67+270+280+928+381+83.5+440</f>
        <v>2449.17</v>
      </c>
      <c r="AI208" s="6">
        <f t="shared" si="218"/>
        <v>3.2693726937269373E-2</v>
      </c>
      <c r="AJ208" s="6">
        <f t="shared" si="219"/>
        <v>1.5768757687576875E-2</v>
      </c>
      <c r="AK208" s="6">
        <f t="shared" si="220"/>
        <v>4.0280442804428045E-2</v>
      </c>
      <c r="AL208" s="6">
        <f t="shared" si="221"/>
        <v>0.13794833948339483</v>
      </c>
      <c r="AM208" s="6">
        <f t="shared" si="222"/>
        <v>1.5325953259532595E-2</v>
      </c>
      <c r="AN208" s="6">
        <f t="shared" si="223"/>
        <v>1.2050036900369003</v>
      </c>
      <c r="AO208" s="7">
        <v>5</v>
      </c>
      <c r="AP208" s="7">
        <v>1</v>
      </c>
      <c r="AQ208" s="7">
        <v>1</v>
      </c>
      <c r="AR208" s="10">
        <v>0</v>
      </c>
      <c r="AS208" s="7">
        <v>0</v>
      </c>
      <c r="AT208" s="7">
        <v>0</v>
      </c>
      <c r="AU208" s="7">
        <v>0</v>
      </c>
      <c r="AV208" s="7">
        <v>0</v>
      </c>
      <c r="AW208" s="7">
        <v>31</v>
      </c>
      <c r="AX208" s="7">
        <v>1</v>
      </c>
      <c r="AY208" s="5">
        <v>6.75</v>
      </c>
      <c r="AZ208" s="7">
        <v>0</v>
      </c>
      <c r="BA208" s="7">
        <v>1</v>
      </c>
      <c r="BB208" s="7">
        <v>0</v>
      </c>
      <c r="BC208" s="7">
        <v>1</v>
      </c>
      <c r="BD208" s="7">
        <v>1</v>
      </c>
      <c r="BE208" s="7">
        <v>0</v>
      </c>
      <c r="BF208" s="7">
        <v>1</v>
      </c>
      <c r="BG208" s="7">
        <v>20</v>
      </c>
      <c r="BH208" s="7">
        <v>0</v>
      </c>
      <c r="BI208" s="7">
        <v>0</v>
      </c>
      <c r="BJ208" s="7">
        <v>1</v>
      </c>
      <c r="BK208" s="11">
        <v>0</v>
      </c>
      <c r="BL208" s="7">
        <v>0</v>
      </c>
      <c r="BM208" s="7">
        <v>1</v>
      </c>
    </row>
    <row r="209" spans="1:65" ht="19.95" customHeight="1" x14ac:dyDescent="0.3">
      <c r="A209" s="3" t="s">
        <v>16</v>
      </c>
      <c r="B209" s="3">
        <v>3</v>
      </c>
      <c r="C209" s="8">
        <v>44418</v>
      </c>
      <c r="D209" s="9">
        <v>0.29930555555555555</v>
      </c>
      <c r="E209" s="4">
        <v>69</v>
      </c>
      <c r="F209" s="3">
        <v>0</v>
      </c>
      <c r="G209" s="3">
        <v>0</v>
      </c>
      <c r="H209" s="3">
        <v>0</v>
      </c>
      <c r="I209" s="3">
        <v>0</v>
      </c>
      <c r="J209" s="9">
        <v>0.80555555555555547</v>
      </c>
      <c r="K209" s="3">
        <v>148.6</v>
      </c>
      <c r="L209" s="11">
        <f t="shared" ref="L209" si="386">K209-K208</f>
        <v>1.1999999999999886</v>
      </c>
      <c r="M209" s="5">
        <f t="shared" ref="M209" si="387">AB208</f>
        <v>2032.5</v>
      </c>
      <c r="N209" s="11">
        <v>31.625</v>
      </c>
      <c r="O209" s="11">
        <v>32.75</v>
      </c>
      <c r="P209" s="11">
        <v>10.625</v>
      </c>
      <c r="Q209" s="11">
        <v>10.625</v>
      </c>
      <c r="R209" s="11">
        <v>20.25</v>
      </c>
      <c r="S209" s="11">
        <v>20.375</v>
      </c>
      <c r="T209" s="11">
        <v>15</v>
      </c>
      <c r="U209" s="11">
        <v>15</v>
      </c>
      <c r="V209" s="11">
        <v>17</v>
      </c>
      <c r="W209" s="11">
        <v>15</v>
      </c>
      <c r="X209" s="11">
        <v>7</v>
      </c>
      <c r="Y209" s="11">
        <v>7</v>
      </c>
      <c r="Z209" s="3" t="s">
        <v>1127</v>
      </c>
      <c r="AA209" s="10" t="s">
        <v>1128</v>
      </c>
      <c r="AB209" s="5">
        <f>240+150+180+200+17.33+250+120+275+40.5+25+102</f>
        <v>1599.83</v>
      </c>
      <c r="AC209" s="6">
        <f>8+1.5+12+12+0+7+3+22.5+0+0+0.3</f>
        <v>66.3</v>
      </c>
      <c r="AD209" s="6">
        <f>4+0+7.5+8+0+4.5+0+12.5+0+0+0</f>
        <v>36.5</v>
      </c>
      <c r="AE209" s="6">
        <f>18.67+3+15+16+0.5+10+2+17.5+1+0+0.8</f>
        <v>84.47</v>
      </c>
      <c r="AF209" s="6">
        <f>25.33+31.5+3+4+3.83+35+20+0+10.5+6+24</f>
        <v>163.16</v>
      </c>
      <c r="AG209" s="6">
        <f>0+3+0+0+1+0+1+0+2+1+5</f>
        <v>13</v>
      </c>
      <c r="AH209" s="6">
        <f>66.67+30+420+560+1.17+150+120+425+1+0+2</f>
        <v>1775.8400000000001</v>
      </c>
      <c r="AI209" s="6">
        <f t="shared" si="218"/>
        <v>4.1441903202215233E-2</v>
      </c>
      <c r="AJ209" s="6">
        <f t="shared" si="219"/>
        <v>2.2814924085684106E-2</v>
      </c>
      <c r="AK209" s="6">
        <f t="shared" si="220"/>
        <v>5.2799359931992779E-2</v>
      </c>
      <c r="AL209" s="6">
        <f t="shared" si="221"/>
        <v>0.10198583599507448</v>
      </c>
      <c r="AM209" s="6">
        <f t="shared" si="222"/>
        <v>8.1258633729833791E-3</v>
      </c>
      <c r="AN209" s="6">
        <f t="shared" si="223"/>
        <v>1.1100179394060621</v>
      </c>
      <c r="AO209" s="7">
        <v>5</v>
      </c>
      <c r="AP209" s="7">
        <v>1</v>
      </c>
      <c r="AQ209" s="7">
        <v>1</v>
      </c>
      <c r="AR209" s="10">
        <v>0</v>
      </c>
      <c r="AS209" s="7">
        <v>0</v>
      </c>
      <c r="AT209" s="7">
        <v>0</v>
      </c>
      <c r="AU209" s="7">
        <v>0</v>
      </c>
      <c r="AV209" s="7">
        <v>0</v>
      </c>
      <c r="AW209" s="7">
        <v>31</v>
      </c>
      <c r="AX209" s="7">
        <v>1</v>
      </c>
      <c r="AY209" s="5">
        <v>6.5</v>
      </c>
      <c r="AZ209" s="7">
        <v>0</v>
      </c>
      <c r="BA209" s="7">
        <v>0</v>
      </c>
      <c r="BB209" s="7">
        <v>0</v>
      </c>
      <c r="BC209" s="7">
        <v>1</v>
      </c>
      <c r="BD209" s="7">
        <v>1</v>
      </c>
      <c r="BE209" s="7">
        <v>0</v>
      </c>
      <c r="BF209" s="7">
        <v>0</v>
      </c>
      <c r="BG209" s="7">
        <v>0</v>
      </c>
      <c r="BH209" s="7">
        <v>0</v>
      </c>
      <c r="BI209" s="7">
        <v>0</v>
      </c>
      <c r="BJ209" s="7">
        <v>1</v>
      </c>
      <c r="BK209" s="11">
        <v>2</v>
      </c>
      <c r="BL209" s="7" t="s">
        <v>1129</v>
      </c>
      <c r="BM209" s="7">
        <v>1</v>
      </c>
    </row>
    <row r="210" spans="1:65" ht="19.95" customHeight="1" x14ac:dyDescent="0.3">
      <c r="A210" s="3" t="s">
        <v>17</v>
      </c>
      <c r="B210" s="3">
        <v>4</v>
      </c>
      <c r="C210" s="8">
        <v>44419</v>
      </c>
      <c r="D210" s="9">
        <v>0.30833333333333335</v>
      </c>
      <c r="E210" s="4">
        <v>75</v>
      </c>
      <c r="F210" s="3">
        <v>0</v>
      </c>
      <c r="G210" s="3">
        <v>0</v>
      </c>
      <c r="H210" s="3">
        <v>0</v>
      </c>
      <c r="I210" s="3">
        <v>0</v>
      </c>
      <c r="J210" s="9">
        <v>0.30902777777777779</v>
      </c>
      <c r="K210" s="3">
        <v>147.6</v>
      </c>
      <c r="L210" s="11">
        <f t="shared" ref="L210" si="388">K210-K209</f>
        <v>-1</v>
      </c>
      <c r="M210" s="5">
        <f t="shared" ref="M210" si="389">AB209</f>
        <v>1599.83</v>
      </c>
      <c r="N210" s="11">
        <v>30.9375</v>
      </c>
      <c r="O210" s="11">
        <v>32.75</v>
      </c>
      <c r="P210" s="11">
        <v>10.3125</v>
      </c>
      <c r="Q210" s="11">
        <v>10.3125</v>
      </c>
      <c r="R210" s="11">
        <v>20.5</v>
      </c>
      <c r="S210" s="11">
        <v>20.5</v>
      </c>
      <c r="T210" s="11">
        <v>15</v>
      </c>
      <c r="U210" s="11">
        <v>13</v>
      </c>
      <c r="V210" s="11">
        <v>17</v>
      </c>
      <c r="W210" s="11">
        <v>15</v>
      </c>
      <c r="X210" s="11">
        <v>7</v>
      </c>
      <c r="Y210" s="11">
        <v>7</v>
      </c>
      <c r="Z210" s="3" t="s">
        <v>1134</v>
      </c>
      <c r="AA210" s="10" t="s">
        <v>1133</v>
      </c>
      <c r="AB210" s="5">
        <f>250+300+614.5+210+170+140</f>
        <v>1684.5</v>
      </c>
      <c r="AC210" s="6">
        <f>2.5+18+36+11+8+7</f>
        <v>82.5</v>
      </c>
      <c r="AD210" s="6">
        <f>0+12+10+7+5+1</f>
        <v>35</v>
      </c>
      <c r="AE210" s="6">
        <f>5+24+44.75+1+3+2</f>
        <v>79.75</v>
      </c>
      <c r="AF210" s="6">
        <f>52.5+6+30.25+57+22+18</f>
        <v>185.75</v>
      </c>
      <c r="AG210" s="6">
        <f>5+0+12.5+0+0+2</f>
        <v>19.5</v>
      </c>
      <c r="AH210" s="6">
        <f>50+840+734.25+370+65+90</f>
        <v>2149.25</v>
      </c>
      <c r="AI210" s="6">
        <f t="shared" si="218"/>
        <v>4.8975957257346395E-2</v>
      </c>
      <c r="AJ210" s="6">
        <f t="shared" si="219"/>
        <v>2.0777678836449986E-2</v>
      </c>
      <c r="AK210" s="6">
        <f t="shared" si="220"/>
        <v>4.7343425348768182E-2</v>
      </c>
      <c r="AL210" s="6">
        <f t="shared" si="221"/>
        <v>0.11027010982487385</v>
      </c>
      <c r="AM210" s="6">
        <f t="shared" si="222"/>
        <v>1.1576135351736421E-2</v>
      </c>
      <c r="AN210" s="6">
        <f t="shared" si="223"/>
        <v>1.275897892549718</v>
      </c>
      <c r="AO210" s="7">
        <v>5</v>
      </c>
      <c r="AP210" s="7">
        <v>2</v>
      </c>
      <c r="AQ210" s="7">
        <v>1</v>
      </c>
      <c r="AR210" s="10">
        <v>0</v>
      </c>
      <c r="AS210" s="7">
        <v>0</v>
      </c>
      <c r="AT210" s="7">
        <v>0</v>
      </c>
      <c r="AU210" s="7">
        <v>0</v>
      </c>
      <c r="AV210" s="7">
        <v>0</v>
      </c>
      <c r="AW210" s="7">
        <v>31</v>
      </c>
      <c r="AX210" s="7">
        <v>1</v>
      </c>
      <c r="AY210" s="5">
        <v>6</v>
      </c>
      <c r="AZ210" s="7">
        <v>0</v>
      </c>
      <c r="BA210" s="7">
        <v>0</v>
      </c>
      <c r="BB210" s="7">
        <v>0</v>
      </c>
      <c r="BC210" s="7">
        <v>1</v>
      </c>
      <c r="BD210" s="7">
        <v>1</v>
      </c>
      <c r="BE210" s="7">
        <v>0</v>
      </c>
      <c r="BF210" s="7">
        <v>0</v>
      </c>
      <c r="BG210" s="7">
        <v>0</v>
      </c>
      <c r="BH210" s="7">
        <v>0</v>
      </c>
      <c r="BI210" s="7">
        <v>0</v>
      </c>
      <c r="BJ210" s="7">
        <v>1</v>
      </c>
      <c r="BK210" s="11">
        <v>2</v>
      </c>
      <c r="BL210" s="7" t="s">
        <v>1129</v>
      </c>
      <c r="BM210" s="7">
        <v>1</v>
      </c>
    </row>
    <row r="211" spans="1:65" ht="19.95" customHeight="1" x14ac:dyDescent="0.3">
      <c r="A211" s="3" t="s">
        <v>18</v>
      </c>
      <c r="B211" s="3">
        <v>5</v>
      </c>
      <c r="C211" s="8">
        <v>44420</v>
      </c>
      <c r="D211" s="9">
        <v>0.31319444444444444</v>
      </c>
      <c r="E211" s="4">
        <v>74</v>
      </c>
      <c r="F211" s="3">
        <v>0</v>
      </c>
      <c r="G211" s="3">
        <v>0</v>
      </c>
      <c r="H211" s="3">
        <v>0</v>
      </c>
      <c r="I211" s="3">
        <v>0</v>
      </c>
      <c r="J211" s="9">
        <v>0.31458333333333333</v>
      </c>
      <c r="K211" s="3">
        <v>148.19999999999999</v>
      </c>
      <c r="L211" s="11">
        <f t="shared" ref="L211" si="390">K211-K210</f>
        <v>0.59999999999999432</v>
      </c>
      <c r="M211" s="5">
        <f t="shared" ref="M211" si="391">AB210</f>
        <v>1684.5</v>
      </c>
      <c r="N211" s="11">
        <v>31.625</v>
      </c>
      <c r="O211" s="11">
        <v>32.9375</v>
      </c>
      <c r="P211" s="11">
        <v>10.625</v>
      </c>
      <c r="Q211" s="11">
        <v>10.625</v>
      </c>
      <c r="R211" s="11">
        <v>20</v>
      </c>
      <c r="S211" s="11">
        <v>20.5</v>
      </c>
      <c r="T211" s="11">
        <v>17</v>
      </c>
      <c r="U211" s="11">
        <v>15</v>
      </c>
      <c r="V211" s="11">
        <v>17</v>
      </c>
      <c r="W211" s="11">
        <v>15</v>
      </c>
      <c r="X211" s="11">
        <v>7</v>
      </c>
      <c r="Y211" s="11">
        <v>7</v>
      </c>
      <c r="Z211" s="3" t="s">
        <v>1141</v>
      </c>
      <c r="AA211" s="10" t="s">
        <v>1140</v>
      </c>
      <c r="AB211" s="5">
        <f>240+120+7.5+110+261.33+261.3+210+200</f>
        <v>1410.1299999999999</v>
      </c>
      <c r="AC211" s="6">
        <f>8+0+0.625+6+9+9+10.5+12</f>
        <v>55.125</v>
      </c>
      <c r="AD211" s="6">
        <f>4+0+0+3.5+4+4+0.75+8</f>
        <v>24.25</v>
      </c>
      <c r="AE211" s="6">
        <f>18.67+0+0.25+1+22+22+3+16</f>
        <v>82.92</v>
      </c>
      <c r="AF211" s="6">
        <f>25.33+32+0.25+14+21+21+24+4</f>
        <v>141.57999999999998</v>
      </c>
      <c r="AG211" s="6">
        <f>0+0+0.25+0+3.67+3.67+1.5+0</f>
        <v>9.09</v>
      </c>
      <c r="AH211" s="6">
        <f>66.67+0+42.5+25+452.67+452.67+120+560</f>
        <v>1719.51</v>
      </c>
      <c r="AI211" s="6">
        <f t="shared" si="218"/>
        <v>3.9092140440952258E-2</v>
      </c>
      <c r="AJ211" s="6">
        <f t="shared" si="219"/>
        <v>1.7196996021643395E-2</v>
      </c>
      <c r="AK211" s="6">
        <f t="shared" si="220"/>
        <v>5.8803089076893626E-2</v>
      </c>
      <c r="AL211" s="6">
        <f t="shared" si="221"/>
        <v>0.10040209058739265</v>
      </c>
      <c r="AM211" s="6">
        <f t="shared" si="222"/>
        <v>6.4462141788345761E-3</v>
      </c>
      <c r="AN211" s="6">
        <f t="shared" si="223"/>
        <v>1.2193982115124138</v>
      </c>
      <c r="AO211" s="7">
        <v>5</v>
      </c>
      <c r="AP211" s="7">
        <v>1</v>
      </c>
      <c r="AQ211" s="7">
        <v>1</v>
      </c>
      <c r="AR211" s="10">
        <v>0</v>
      </c>
      <c r="AS211" s="7">
        <v>0</v>
      </c>
      <c r="AT211" s="7">
        <v>0</v>
      </c>
      <c r="AU211" s="7">
        <v>0</v>
      </c>
      <c r="AV211" s="7">
        <v>0</v>
      </c>
      <c r="AW211" s="7">
        <v>31</v>
      </c>
      <c r="AX211" s="7">
        <v>1</v>
      </c>
      <c r="AY211" s="5">
        <v>6.5</v>
      </c>
      <c r="AZ211" s="7">
        <v>0</v>
      </c>
      <c r="BA211" s="7">
        <v>0</v>
      </c>
      <c r="BB211" s="7">
        <v>0</v>
      </c>
      <c r="BC211" s="7">
        <v>1</v>
      </c>
      <c r="BD211" s="7">
        <v>1</v>
      </c>
      <c r="BE211" s="7">
        <v>0</v>
      </c>
      <c r="BF211" s="7">
        <v>0</v>
      </c>
      <c r="BG211" s="7">
        <v>0</v>
      </c>
      <c r="BH211" s="7">
        <v>0</v>
      </c>
      <c r="BI211" s="7">
        <v>0</v>
      </c>
      <c r="BJ211" s="7">
        <v>1</v>
      </c>
      <c r="BK211" s="11">
        <v>4</v>
      </c>
      <c r="BL211" s="7" t="s">
        <v>1129</v>
      </c>
      <c r="BM211" s="7">
        <v>1</v>
      </c>
    </row>
    <row r="212" spans="1:65" ht="30" customHeight="1" x14ac:dyDescent="0.3">
      <c r="A212" s="3" t="s">
        <v>137</v>
      </c>
      <c r="B212" s="3">
        <v>6</v>
      </c>
      <c r="C212" s="8">
        <v>44421</v>
      </c>
      <c r="D212" s="9">
        <v>0.28680555555555554</v>
      </c>
      <c r="E212" s="4">
        <v>69</v>
      </c>
      <c r="F212" s="3">
        <v>0</v>
      </c>
      <c r="G212" s="3">
        <v>0</v>
      </c>
      <c r="H212" s="3">
        <v>0</v>
      </c>
      <c r="I212" s="3">
        <v>0</v>
      </c>
      <c r="J212" s="9">
        <v>0.30208333333333331</v>
      </c>
      <c r="K212" s="3">
        <v>147</v>
      </c>
      <c r="L212" s="11">
        <f t="shared" ref="L212" si="392">K212-K211</f>
        <v>-1.1999999999999886</v>
      </c>
      <c r="M212" s="5">
        <f t="shared" ref="M212" si="393">AB211</f>
        <v>1410.1299999999999</v>
      </c>
      <c r="N212" s="11">
        <v>31.75</v>
      </c>
      <c r="O212" s="11">
        <v>32.75</v>
      </c>
      <c r="P212" s="11">
        <v>10.75</v>
      </c>
      <c r="Q212" s="11">
        <v>10.75</v>
      </c>
      <c r="R212" s="11">
        <v>20</v>
      </c>
      <c r="S212" s="11">
        <v>20.25</v>
      </c>
      <c r="T212" s="11">
        <v>16</v>
      </c>
      <c r="U212" s="11">
        <v>16</v>
      </c>
      <c r="V212" s="11">
        <v>17</v>
      </c>
      <c r="W212" s="11">
        <v>15</v>
      </c>
      <c r="X212" s="11">
        <v>7</v>
      </c>
      <c r="Y212" s="11">
        <v>7</v>
      </c>
      <c r="Z212" s="3" t="s">
        <v>1146</v>
      </c>
      <c r="AA212" s="10" t="s">
        <v>1144</v>
      </c>
      <c r="AB212" s="5">
        <f>360+261.3+350+220+140+120+170</f>
        <v>1621.3</v>
      </c>
      <c r="AC212" s="6">
        <f>12+9+17.5+4+10+8+8</f>
        <v>68.5</v>
      </c>
      <c r="AD212" s="6">
        <f>6+4+2.5+0+3+5+5</f>
        <v>25.5</v>
      </c>
      <c r="AE212" s="6">
        <f>28+22+5+8+12+10+3</f>
        <v>88</v>
      </c>
      <c r="AF212" s="6">
        <f>38+21+45+38+0+2+22</f>
        <v>166</v>
      </c>
      <c r="AG212" s="6">
        <f>0+3.67+5+4+0+0+0</f>
        <v>12.67</v>
      </c>
      <c r="AH212" s="6">
        <f>100+452.67+225+270+140+280+65</f>
        <v>1532.67</v>
      </c>
      <c r="AI212" s="6">
        <f t="shared" si="218"/>
        <v>4.2250046259174737E-2</v>
      </c>
      <c r="AJ212" s="6">
        <f t="shared" si="219"/>
        <v>1.5728119410349718E-2</v>
      </c>
      <c r="AK212" s="6">
        <f t="shared" si="220"/>
        <v>5.427743169061864E-2</v>
      </c>
      <c r="AL212" s="6">
        <f t="shared" si="221"/>
        <v>0.10238697341639426</v>
      </c>
      <c r="AM212" s="6">
        <f t="shared" si="222"/>
        <v>7.8147165854561152E-3</v>
      </c>
      <c r="AN212" s="6">
        <f t="shared" si="223"/>
        <v>0.94533399124159634</v>
      </c>
      <c r="AO212" s="7">
        <v>4</v>
      </c>
      <c r="AP212" s="7">
        <v>2</v>
      </c>
      <c r="AQ212" s="7">
        <v>1</v>
      </c>
      <c r="AR212" s="10">
        <v>0</v>
      </c>
      <c r="AS212" s="7">
        <v>0</v>
      </c>
      <c r="AT212" s="7">
        <v>0</v>
      </c>
      <c r="AU212" s="7">
        <v>0</v>
      </c>
      <c r="AV212" s="7">
        <v>0</v>
      </c>
      <c r="AW212" s="7">
        <v>31</v>
      </c>
      <c r="AX212" s="7">
        <v>1</v>
      </c>
      <c r="AY212" s="5">
        <v>7</v>
      </c>
      <c r="AZ212" s="7">
        <v>0</v>
      </c>
      <c r="BA212" s="7">
        <v>0</v>
      </c>
      <c r="BB212" s="7">
        <v>0</v>
      </c>
      <c r="BC212" s="7">
        <v>1</v>
      </c>
      <c r="BD212" s="7">
        <v>1</v>
      </c>
      <c r="BE212" s="7">
        <v>0</v>
      </c>
      <c r="BF212" s="7">
        <v>0</v>
      </c>
      <c r="BG212" s="7">
        <v>0</v>
      </c>
      <c r="BH212" s="7">
        <v>0</v>
      </c>
      <c r="BI212" s="7">
        <v>0</v>
      </c>
      <c r="BJ212" s="7">
        <v>1</v>
      </c>
      <c r="BK212" s="11">
        <v>3</v>
      </c>
      <c r="BL212" s="7" t="s">
        <v>1129</v>
      </c>
      <c r="BM212" s="7">
        <v>1</v>
      </c>
    </row>
    <row r="213" spans="1:65" ht="30" customHeight="1" x14ac:dyDescent="0.3">
      <c r="A213" s="3" t="s">
        <v>1142</v>
      </c>
      <c r="B213" s="3">
        <v>7</v>
      </c>
      <c r="C213" s="8">
        <v>44422</v>
      </c>
      <c r="D213" s="9">
        <v>0.26041666666666669</v>
      </c>
      <c r="E213" s="4">
        <v>70</v>
      </c>
      <c r="F213" s="3">
        <v>0</v>
      </c>
      <c r="G213" s="3">
        <v>0</v>
      </c>
      <c r="H213" s="3">
        <v>0</v>
      </c>
      <c r="I213" s="3">
        <v>0</v>
      </c>
      <c r="J213" s="9">
        <v>0.2722222222222222</v>
      </c>
      <c r="K213" s="3">
        <v>147</v>
      </c>
      <c r="L213" s="11">
        <f t="shared" ref="L213" si="394">K213-K212</f>
        <v>0</v>
      </c>
      <c r="M213" s="5">
        <f t="shared" ref="M213" si="395">AB212</f>
        <v>1621.3</v>
      </c>
      <c r="N213" s="11">
        <v>31</v>
      </c>
      <c r="O213" s="11">
        <v>32.75</v>
      </c>
      <c r="P213" s="11">
        <v>10.875</v>
      </c>
      <c r="Q213" s="11">
        <v>10.75</v>
      </c>
      <c r="R213" s="11">
        <v>19.875</v>
      </c>
      <c r="S213" s="11">
        <v>20.375</v>
      </c>
      <c r="T213" s="11">
        <v>15</v>
      </c>
      <c r="U213" s="11">
        <v>14</v>
      </c>
      <c r="V213" s="11">
        <v>18</v>
      </c>
      <c r="W213" s="11">
        <v>16</v>
      </c>
      <c r="X213" s="11">
        <v>7</v>
      </c>
      <c r="Y213" s="11">
        <v>7</v>
      </c>
      <c r="Z213" s="3" t="s">
        <v>1145</v>
      </c>
      <c r="AA213" s="10" t="s">
        <v>1151</v>
      </c>
      <c r="AB213" s="5">
        <f>360+140+293.33+240+220</f>
        <v>1253.33</v>
      </c>
      <c r="AC213" s="6">
        <f>12+6+4.94+14+4</f>
        <v>40.94</v>
      </c>
      <c r="AD213" s="6">
        <f>6+0+2.67+8+0</f>
        <v>16.670000000000002</v>
      </c>
      <c r="AE213" s="6">
        <f>28+0+12.44+19+8</f>
        <v>67.44</v>
      </c>
      <c r="AF213" s="6">
        <f>38+20+49.78+9+38</f>
        <v>154.78</v>
      </c>
      <c r="AG213" s="6">
        <f>0+0+2.11+3+4</f>
        <v>9.11</v>
      </c>
      <c r="AH213" s="6">
        <f>100+60+672.22+370+270</f>
        <v>1472.22</v>
      </c>
      <c r="AI213" s="6">
        <f t="shared" si="218"/>
        <v>3.2664980491969392E-2</v>
      </c>
      <c r="AJ213" s="6">
        <f t="shared" si="219"/>
        <v>1.3300567288742791E-2</v>
      </c>
      <c r="AK213" s="6">
        <f t="shared" si="220"/>
        <v>5.3808653746419542E-2</v>
      </c>
      <c r="AL213" s="6">
        <f t="shared" si="221"/>
        <v>0.12349500929523749</v>
      </c>
      <c r="AM213" s="6">
        <f t="shared" si="222"/>
        <v>7.2686363527562576E-3</v>
      </c>
      <c r="AN213" s="6">
        <f t="shared" si="223"/>
        <v>1.1746467410817583</v>
      </c>
      <c r="AO213" s="7">
        <v>4</v>
      </c>
      <c r="AP213" s="7">
        <v>1</v>
      </c>
      <c r="AQ213" s="7">
        <v>1</v>
      </c>
      <c r="AR213" s="10">
        <v>0</v>
      </c>
      <c r="AS213" s="7">
        <v>0</v>
      </c>
      <c r="AT213" s="7">
        <v>0</v>
      </c>
      <c r="AU213" s="7">
        <v>0</v>
      </c>
      <c r="AV213" s="7">
        <v>0</v>
      </c>
      <c r="AW213" s="7">
        <v>31</v>
      </c>
      <c r="AX213" s="7">
        <v>1</v>
      </c>
      <c r="AY213" s="5">
        <v>7.5</v>
      </c>
      <c r="AZ213" s="7">
        <v>0</v>
      </c>
      <c r="BA213" s="7">
        <v>0</v>
      </c>
      <c r="BB213" s="7">
        <v>0</v>
      </c>
      <c r="BC213" s="7">
        <v>1</v>
      </c>
      <c r="BD213" s="7">
        <v>1</v>
      </c>
      <c r="BE213" s="7">
        <v>0</v>
      </c>
      <c r="BF213" s="7">
        <v>0</v>
      </c>
      <c r="BG213" s="7">
        <v>0</v>
      </c>
      <c r="BH213" s="7">
        <v>0</v>
      </c>
      <c r="BI213" s="7">
        <v>0</v>
      </c>
      <c r="BJ213" s="7">
        <v>1</v>
      </c>
      <c r="BK213" s="11">
        <v>5</v>
      </c>
      <c r="BL213" s="3" t="s">
        <v>1129</v>
      </c>
      <c r="BM213" s="7">
        <v>1</v>
      </c>
    </row>
    <row r="214" spans="1:65" ht="30" customHeight="1" x14ac:dyDescent="0.3">
      <c r="A214" s="3" t="s">
        <v>23</v>
      </c>
      <c r="B214" s="3">
        <v>8</v>
      </c>
      <c r="C214" s="8">
        <v>44423</v>
      </c>
      <c r="D214" s="9">
        <v>0.25347222222222221</v>
      </c>
      <c r="E214" s="4">
        <v>70</v>
      </c>
      <c r="F214" s="3">
        <v>0</v>
      </c>
      <c r="G214" s="3">
        <v>0</v>
      </c>
      <c r="H214" s="3">
        <v>0</v>
      </c>
      <c r="I214" s="3">
        <v>0</v>
      </c>
      <c r="J214" s="9">
        <v>0.26597222222222222</v>
      </c>
      <c r="K214" s="3">
        <v>146</v>
      </c>
      <c r="L214" s="11">
        <f t="shared" ref="L214" si="396">K214-K213</f>
        <v>-1</v>
      </c>
      <c r="M214" s="5">
        <f t="shared" ref="M214" si="397">AB213</f>
        <v>1253.33</v>
      </c>
      <c r="N214" s="11">
        <v>31.5</v>
      </c>
      <c r="O214" s="11">
        <v>32.875</v>
      </c>
      <c r="P214" s="11">
        <v>10.625</v>
      </c>
      <c r="Q214" s="11">
        <v>10.625</v>
      </c>
      <c r="R214" s="11">
        <v>19.75</v>
      </c>
      <c r="S214" s="11">
        <v>20.125</v>
      </c>
      <c r="T214" s="11">
        <v>17</v>
      </c>
      <c r="U214" s="11">
        <v>17</v>
      </c>
      <c r="V214" s="11">
        <v>17</v>
      </c>
      <c r="W214" s="11">
        <v>15</v>
      </c>
      <c r="X214" s="11">
        <v>7</v>
      </c>
      <c r="Y214" s="11">
        <v>7</v>
      </c>
      <c r="Z214" s="3" t="s">
        <v>1152</v>
      </c>
      <c r="AA214" s="10" t="s">
        <v>1153</v>
      </c>
      <c r="AB214" s="5">
        <f>180+480+554.5+51+440+120+140+170</f>
        <v>2135.5</v>
      </c>
      <c r="AC214" s="6">
        <f>6+28+11.2+5.1+8+8+6+8</f>
        <v>80.300000000000011</v>
      </c>
      <c r="AD214" s="6">
        <f>3+16+2.2+3.2+0+5+0+5</f>
        <v>34.4</v>
      </c>
      <c r="AE214" s="6">
        <f>14+38+17.8+1.1+16+10+0+3</f>
        <v>99.899999999999991</v>
      </c>
      <c r="AF214" s="6">
        <f>19+18+96.55+0.4+76+2+20+22</f>
        <v>253.95000000000002</v>
      </c>
      <c r="AG214" s="6">
        <f>0+6+8.35+0+8+0+0+0</f>
        <v>22.35</v>
      </c>
      <c r="AH214" s="6">
        <f>50+740+901+43+540+280+60+65</f>
        <v>2679</v>
      </c>
      <c r="AI214" s="6">
        <f t="shared" si="218"/>
        <v>3.7602435026925785E-2</v>
      </c>
      <c r="AJ214" s="6">
        <f t="shared" si="219"/>
        <v>1.6108639662842424E-2</v>
      </c>
      <c r="AK214" s="6">
        <f t="shared" si="220"/>
        <v>4.6780613439475531E-2</v>
      </c>
      <c r="AL214" s="6">
        <f t="shared" si="221"/>
        <v>0.11891828611566378</v>
      </c>
      <c r="AM214" s="6">
        <f t="shared" si="222"/>
        <v>1.0465933036759542E-2</v>
      </c>
      <c r="AN214" s="6">
        <f t="shared" si="223"/>
        <v>1.2545071411847342</v>
      </c>
      <c r="AO214" s="7">
        <v>4</v>
      </c>
      <c r="AP214" s="7">
        <v>1</v>
      </c>
      <c r="AQ214" s="7">
        <v>1</v>
      </c>
      <c r="AR214" s="10">
        <v>0</v>
      </c>
      <c r="AS214" s="7">
        <v>0</v>
      </c>
      <c r="AT214" s="7">
        <v>0</v>
      </c>
      <c r="AU214" s="7">
        <v>0</v>
      </c>
      <c r="AV214" s="7">
        <v>0</v>
      </c>
      <c r="AW214" s="7">
        <v>31</v>
      </c>
      <c r="AX214" s="7">
        <v>1</v>
      </c>
      <c r="AY214" s="5">
        <v>7</v>
      </c>
      <c r="AZ214" s="7">
        <v>0</v>
      </c>
      <c r="BA214" s="7">
        <v>0</v>
      </c>
      <c r="BB214" s="7">
        <v>0</v>
      </c>
      <c r="BC214" s="7">
        <v>1</v>
      </c>
      <c r="BD214" s="7">
        <v>1</v>
      </c>
      <c r="BE214" s="7">
        <v>0</v>
      </c>
      <c r="BF214" s="7">
        <v>0</v>
      </c>
      <c r="BG214" s="7">
        <v>0</v>
      </c>
      <c r="BH214" s="7">
        <v>0</v>
      </c>
      <c r="BI214" s="7">
        <v>0</v>
      </c>
      <c r="BJ214" s="7">
        <v>1</v>
      </c>
      <c r="BK214" s="11">
        <v>7</v>
      </c>
      <c r="BL214" s="7" t="s">
        <v>1129</v>
      </c>
      <c r="BM214" s="3">
        <v>1</v>
      </c>
    </row>
    <row r="215" spans="1:65" ht="30" customHeight="1" x14ac:dyDescent="0.3">
      <c r="A215" s="3" t="s">
        <v>15</v>
      </c>
      <c r="B215" s="3">
        <v>9</v>
      </c>
      <c r="C215" s="8">
        <v>44424</v>
      </c>
      <c r="D215" s="9">
        <v>0.36388888888888887</v>
      </c>
      <c r="E215" s="4">
        <v>76</v>
      </c>
      <c r="F215" s="3">
        <v>0</v>
      </c>
      <c r="G215" s="3">
        <v>0</v>
      </c>
      <c r="H215" s="3">
        <v>0</v>
      </c>
      <c r="I215" s="3">
        <v>0</v>
      </c>
      <c r="J215" s="9">
        <v>0.50624999999999998</v>
      </c>
      <c r="K215" s="3">
        <v>148.6</v>
      </c>
      <c r="L215" s="11">
        <f t="shared" ref="L215" si="398">K215-K214</f>
        <v>2.5999999999999943</v>
      </c>
      <c r="M215" s="5">
        <f t="shared" ref="M215" si="399">AB214</f>
        <v>2135.5</v>
      </c>
      <c r="N215" s="11">
        <v>31.625</v>
      </c>
      <c r="O215" s="11">
        <v>33.25</v>
      </c>
      <c r="P215" s="11">
        <v>10.625</v>
      </c>
      <c r="Q215" s="11">
        <v>10.75</v>
      </c>
      <c r="R215" s="11">
        <v>19.875</v>
      </c>
      <c r="S215" s="11">
        <v>20.25</v>
      </c>
      <c r="T215" s="11">
        <v>15</v>
      </c>
      <c r="U215" s="11">
        <v>17</v>
      </c>
      <c r="V215" s="11">
        <v>17</v>
      </c>
      <c r="W215" s="11">
        <v>15</v>
      </c>
      <c r="X215" s="11">
        <v>7</v>
      </c>
      <c r="Y215" s="11">
        <v>7</v>
      </c>
      <c r="Z215" s="3" t="s">
        <v>1154</v>
      </c>
      <c r="AA215" s="10" t="s">
        <v>1157</v>
      </c>
      <c r="AB215" s="5">
        <f>450+140+40+4+435+179+200+180+165</f>
        <v>1793</v>
      </c>
      <c r="AC215" s="6">
        <f>19+6+0+0.025+21.1+14.5+4.5+16+0.7</f>
        <v>81.825000000000003</v>
      </c>
      <c r="AD215" s="6">
        <f>2.5+0+0+0.025+2.8+10.2+2+3+0.1</f>
        <v>20.625</v>
      </c>
      <c r="AE215" s="6">
        <f>15+0+1+0.175+12+9.7+7+7+5.5</f>
        <v>57.375</v>
      </c>
      <c r="AF215" s="6">
        <f>59+20+8+0.95+49.5+10.8+40+3+33.4</f>
        <v>224.65</v>
      </c>
      <c r="AG215" s="6">
        <f>6+0+1+0.125+9.8+0+8+1+1.3</f>
        <v>27.225000000000001</v>
      </c>
      <c r="AH215" s="6">
        <f>405+60+140+0.5+595+759+680+70+322</f>
        <v>3031.5</v>
      </c>
      <c r="AI215" s="6">
        <f t="shared" ref="AI215:AI223" si="400">$AC215/$AB215</f>
        <v>4.5635805911879532E-2</v>
      </c>
      <c r="AJ215" s="6">
        <f t="shared" ref="AJ215:AJ223" si="401">$AD215/$AB215</f>
        <v>1.1503067484662576E-2</v>
      </c>
      <c r="AK215" s="6">
        <f t="shared" ref="AK215:AK223" si="402">$AE215/$AB215</f>
        <v>3.1999442275515898E-2</v>
      </c>
      <c r="AL215" s="6">
        <f t="shared" ref="AL215:AL223" si="403">$AF215/$AB215</f>
        <v>0.12529280535415505</v>
      </c>
      <c r="AM215" s="6">
        <f t="shared" ref="AM215:AM223" si="404">$AG215/$AB215</f>
        <v>1.5184049079754602E-2</v>
      </c>
      <c r="AN215" s="6">
        <f t="shared" ref="AN215:AN223" si="405">$AH215/$AB215</f>
        <v>1.6907417735638595</v>
      </c>
      <c r="AO215" s="7">
        <v>5</v>
      </c>
      <c r="AP215" s="7">
        <v>2</v>
      </c>
      <c r="AQ215" s="7">
        <v>0</v>
      </c>
      <c r="AR215" s="10">
        <v>0</v>
      </c>
      <c r="AS215" s="7">
        <v>0</v>
      </c>
      <c r="AT215" s="7">
        <v>0</v>
      </c>
      <c r="AU215" s="7">
        <v>0</v>
      </c>
      <c r="AV215" s="7">
        <v>0</v>
      </c>
      <c r="AW215" s="7">
        <v>0</v>
      </c>
      <c r="AX215" s="7">
        <v>0</v>
      </c>
      <c r="AY215" s="5">
        <v>6</v>
      </c>
      <c r="AZ215" s="7">
        <v>0</v>
      </c>
      <c r="BA215" s="7">
        <v>1</v>
      </c>
      <c r="BB215" s="7">
        <v>0</v>
      </c>
      <c r="BC215" s="7">
        <v>1</v>
      </c>
      <c r="BD215" s="7">
        <v>1</v>
      </c>
      <c r="BE215" s="7">
        <v>0</v>
      </c>
      <c r="BF215" s="7">
        <v>0</v>
      </c>
      <c r="BG215" s="7">
        <v>0</v>
      </c>
      <c r="BH215" s="7">
        <v>0</v>
      </c>
      <c r="BI215" s="7">
        <v>0</v>
      </c>
      <c r="BJ215" s="7">
        <v>1</v>
      </c>
      <c r="BK215" s="11">
        <v>0</v>
      </c>
      <c r="BL215" s="7">
        <v>0</v>
      </c>
      <c r="BM215" s="7">
        <v>1</v>
      </c>
    </row>
    <row r="216" spans="1:65" ht="30" customHeight="1" x14ac:dyDescent="0.3">
      <c r="A216" s="3" t="s">
        <v>16</v>
      </c>
      <c r="B216" s="3">
        <v>10</v>
      </c>
      <c r="C216" s="8">
        <v>44425</v>
      </c>
      <c r="D216" s="9">
        <v>0.36388888888888887</v>
      </c>
      <c r="E216" s="4">
        <v>74</v>
      </c>
      <c r="F216" s="3">
        <v>0</v>
      </c>
      <c r="G216" s="3">
        <v>0</v>
      </c>
      <c r="H216" s="3">
        <v>0</v>
      </c>
      <c r="I216" s="3">
        <v>0</v>
      </c>
      <c r="J216" s="9">
        <v>0.36319444444444443</v>
      </c>
      <c r="K216" s="3">
        <v>146.6</v>
      </c>
      <c r="L216" s="11">
        <f t="shared" ref="L216" si="406">K216-K215</f>
        <v>-2</v>
      </c>
      <c r="M216" s="5">
        <f t="shared" ref="M216" si="407">AB215</f>
        <v>1793</v>
      </c>
      <c r="N216" s="11">
        <v>31.625</v>
      </c>
      <c r="O216" s="11">
        <v>33.5</v>
      </c>
      <c r="P216" s="11">
        <v>10.5</v>
      </c>
      <c r="Q216" s="11">
        <v>10.625</v>
      </c>
      <c r="R216" s="11">
        <v>19.625</v>
      </c>
      <c r="S216" s="11">
        <v>20</v>
      </c>
      <c r="T216" s="11">
        <v>15</v>
      </c>
      <c r="U216" s="11">
        <v>12</v>
      </c>
      <c r="V216" s="11">
        <v>15</v>
      </c>
      <c r="W216" s="11">
        <v>13</v>
      </c>
      <c r="X216" s="11">
        <v>7</v>
      </c>
      <c r="Y216" s="11">
        <v>7</v>
      </c>
      <c r="Z216" s="3" t="s">
        <v>1159</v>
      </c>
      <c r="AA216" s="10" t="s">
        <v>1163</v>
      </c>
      <c r="AB216" s="5">
        <f>220+100+120+470+560+390+232</f>
        <v>2092</v>
      </c>
      <c r="AC216" s="6">
        <f>4+6+3+11+24+17+1.6</f>
        <v>66.599999999999994</v>
      </c>
      <c r="AD216" s="6">
        <f>0+4+0+9+4+4.5+0.4</f>
        <v>21.9</v>
      </c>
      <c r="AE216" s="6">
        <f>8+8+2+9+8+12+5.6</f>
        <v>52.6</v>
      </c>
      <c r="AF216" s="6">
        <f>38+2+20+84+72+49+59.2</f>
        <v>324.2</v>
      </c>
      <c r="AG216" s="6">
        <f>4+0+1+9+4+2+9.2</f>
        <v>29.2</v>
      </c>
      <c r="AH216" s="6">
        <f>270+280+120+760+680+800+0</f>
        <v>2910</v>
      </c>
      <c r="AI216" s="6">
        <f t="shared" si="400"/>
        <v>3.1835564053537282E-2</v>
      </c>
      <c r="AJ216" s="6">
        <f t="shared" si="401"/>
        <v>1.0468451242829828E-2</v>
      </c>
      <c r="AK216" s="6">
        <f t="shared" si="402"/>
        <v>2.5143403441682602E-2</v>
      </c>
      <c r="AL216" s="6">
        <f t="shared" si="403"/>
        <v>0.15497131931166347</v>
      </c>
      <c r="AM216" s="6">
        <f t="shared" si="404"/>
        <v>1.395793499043977E-2</v>
      </c>
      <c r="AN216" s="6">
        <f t="shared" si="405"/>
        <v>1.3910133843212238</v>
      </c>
      <c r="AO216" s="7">
        <v>4</v>
      </c>
      <c r="AP216" s="7">
        <v>1</v>
      </c>
      <c r="AQ216" s="7">
        <v>0</v>
      </c>
      <c r="AR216" s="10">
        <v>0</v>
      </c>
      <c r="AS216" s="7">
        <v>0</v>
      </c>
      <c r="AT216" s="7">
        <v>0</v>
      </c>
      <c r="AU216" s="7">
        <v>0</v>
      </c>
      <c r="AV216" s="7">
        <v>0</v>
      </c>
      <c r="AW216" s="7">
        <v>0</v>
      </c>
      <c r="AX216" s="7">
        <v>0</v>
      </c>
      <c r="AY216" s="5">
        <v>7</v>
      </c>
      <c r="AZ216" s="7">
        <v>0</v>
      </c>
      <c r="BA216" s="7">
        <v>1</v>
      </c>
      <c r="BB216" s="7">
        <v>0</v>
      </c>
      <c r="BC216" s="7">
        <v>1</v>
      </c>
      <c r="BD216" s="7">
        <v>1</v>
      </c>
      <c r="BE216" s="7">
        <v>0</v>
      </c>
      <c r="BF216" s="7">
        <v>1</v>
      </c>
      <c r="BG216" s="7">
        <v>30</v>
      </c>
      <c r="BH216" s="7">
        <v>0</v>
      </c>
      <c r="BI216" s="7">
        <v>0</v>
      </c>
      <c r="BJ216" s="7">
        <v>1</v>
      </c>
      <c r="BK216" s="11">
        <v>0</v>
      </c>
      <c r="BL216" s="7">
        <v>0</v>
      </c>
      <c r="BM216" s="7">
        <v>1</v>
      </c>
    </row>
    <row r="217" spans="1:65" ht="30" customHeight="1" x14ac:dyDescent="0.3">
      <c r="A217" s="3" t="s">
        <v>1164</v>
      </c>
      <c r="B217" s="3">
        <v>11</v>
      </c>
      <c r="C217" s="8">
        <v>44426</v>
      </c>
      <c r="D217" s="9">
        <v>0.31458333333333333</v>
      </c>
      <c r="E217" s="4">
        <v>70</v>
      </c>
      <c r="F217" s="3">
        <v>0</v>
      </c>
      <c r="G217" s="3">
        <v>0</v>
      </c>
      <c r="H217" s="3">
        <v>0</v>
      </c>
      <c r="I217" s="3">
        <v>0</v>
      </c>
      <c r="J217" s="9">
        <v>0.31527777777777777</v>
      </c>
      <c r="K217" s="3">
        <v>145.19999999999999</v>
      </c>
      <c r="L217" s="11">
        <f t="shared" ref="L217" si="408">K217-K216</f>
        <v>-1.4000000000000057</v>
      </c>
      <c r="M217" s="5">
        <f t="shared" ref="M217" si="409">AB216</f>
        <v>2092</v>
      </c>
      <c r="N217" s="11">
        <v>31.5</v>
      </c>
      <c r="O217" s="11">
        <v>32.625</v>
      </c>
      <c r="P217" s="11">
        <v>10.625</v>
      </c>
      <c r="Q217" s="11">
        <v>10.625</v>
      </c>
      <c r="R217" s="11">
        <v>19.625</v>
      </c>
      <c r="S217" s="11">
        <v>19.75</v>
      </c>
      <c r="T217" s="11">
        <v>15</v>
      </c>
      <c r="U217" s="11">
        <v>15</v>
      </c>
      <c r="V217" s="11">
        <v>15</v>
      </c>
      <c r="W217" s="11">
        <v>15</v>
      </c>
      <c r="X217" s="11">
        <v>7</v>
      </c>
      <c r="Y217" s="11">
        <v>7</v>
      </c>
      <c r="Z217" s="3" t="s">
        <v>1165</v>
      </c>
      <c r="AA217" s="10" t="s">
        <v>1174</v>
      </c>
      <c r="AB217" s="5">
        <f>220+110+110+723+160+280+268+26.3+120+500</f>
        <v>2517.3000000000002</v>
      </c>
      <c r="AC217" s="6">
        <f>4+6+6+33.7+14+0+7.8+0.4+14+7</f>
        <v>92.9</v>
      </c>
      <c r="AD217" s="6">
        <f>0+3.5+3.5+17.6+2.5+0+1.8+0.06+2+3</f>
        <v>33.96</v>
      </c>
      <c r="AE217" s="6">
        <f>8+1+1+39.7+5+0+14.2+5.06+0+14</f>
        <v>87.960000000000008</v>
      </c>
      <c r="AF217" s="6">
        <f>38+14+14+68.6+8+66+33.4+0.25+0+94</f>
        <v>336.25</v>
      </c>
      <c r="AG217" s="6">
        <f>4+0+0+6.1+1+2+1.2+0+0+6</f>
        <v>20.299999999999997</v>
      </c>
      <c r="AH217" s="6">
        <f>270+25+25+3591+0+380+386+36.9+0+620</f>
        <v>5333.9</v>
      </c>
      <c r="AI217" s="6">
        <f t="shared" si="400"/>
        <v>3.6904620029396575E-2</v>
      </c>
      <c r="AJ217" s="6">
        <f t="shared" si="401"/>
        <v>1.3490644738410201E-2</v>
      </c>
      <c r="AK217" s="6">
        <f t="shared" si="402"/>
        <v>3.4942199976164941E-2</v>
      </c>
      <c r="AL217" s="6">
        <f t="shared" si="403"/>
        <v>0.13357565645731537</v>
      </c>
      <c r="AM217" s="6">
        <f t="shared" si="404"/>
        <v>8.0641957653040941E-3</v>
      </c>
      <c r="AN217" s="6">
        <f t="shared" si="405"/>
        <v>2.11889723116037</v>
      </c>
      <c r="AO217" s="7">
        <v>4</v>
      </c>
      <c r="AP217" s="7">
        <v>1</v>
      </c>
      <c r="AQ217" s="7">
        <v>0</v>
      </c>
      <c r="AR217" s="10">
        <v>0</v>
      </c>
      <c r="AS217" s="7">
        <v>0</v>
      </c>
      <c r="AT217" s="7">
        <v>0</v>
      </c>
      <c r="AU217" s="7">
        <v>0</v>
      </c>
      <c r="AV217" s="7">
        <v>0</v>
      </c>
      <c r="AW217" s="7">
        <v>31</v>
      </c>
      <c r="AX217" s="7">
        <v>1</v>
      </c>
      <c r="AY217" s="5">
        <v>7</v>
      </c>
      <c r="AZ217" s="7">
        <v>0</v>
      </c>
      <c r="BA217" s="7">
        <v>1</v>
      </c>
      <c r="BB217" s="7">
        <v>0</v>
      </c>
      <c r="BC217" s="7">
        <v>1</v>
      </c>
      <c r="BD217" s="7">
        <v>1</v>
      </c>
      <c r="BE217" s="7">
        <v>0</v>
      </c>
      <c r="BF217" s="7">
        <v>0</v>
      </c>
      <c r="BG217" s="7">
        <v>0</v>
      </c>
      <c r="BH217" s="7">
        <v>0</v>
      </c>
      <c r="BI217" s="7">
        <v>0</v>
      </c>
      <c r="BJ217" s="7">
        <v>1</v>
      </c>
      <c r="BK217" s="11">
        <v>0</v>
      </c>
      <c r="BL217" s="7">
        <v>0</v>
      </c>
      <c r="BM217" s="7">
        <v>1</v>
      </c>
    </row>
    <row r="218" spans="1:65" ht="30" customHeight="1" x14ac:dyDescent="0.3">
      <c r="A218" s="3" t="s">
        <v>18</v>
      </c>
      <c r="B218" s="3">
        <v>0</v>
      </c>
      <c r="C218" s="8">
        <v>44427</v>
      </c>
      <c r="D218" s="9">
        <v>0.32013888888888892</v>
      </c>
      <c r="E218" s="4">
        <v>68</v>
      </c>
      <c r="F218" s="3">
        <v>0</v>
      </c>
      <c r="G218" s="3">
        <v>0</v>
      </c>
      <c r="H218" s="3">
        <v>0</v>
      </c>
      <c r="I218" s="3">
        <v>0</v>
      </c>
      <c r="J218" s="9">
        <v>0.32708333333333334</v>
      </c>
      <c r="K218" s="3">
        <v>143.4</v>
      </c>
      <c r="L218" s="11">
        <f t="shared" ref="L218" si="410">K218-K217</f>
        <v>-1.7999999999999829</v>
      </c>
      <c r="M218" s="5">
        <f t="shared" ref="M218" si="411">AB217</f>
        <v>2517.3000000000002</v>
      </c>
      <c r="N218" s="11">
        <v>31.25</v>
      </c>
      <c r="O218" s="11">
        <v>32.625</v>
      </c>
      <c r="P218" s="11">
        <v>10.625</v>
      </c>
      <c r="Q218" s="11">
        <v>10.5</v>
      </c>
      <c r="R218" s="11">
        <v>19.5</v>
      </c>
      <c r="S218" s="11">
        <v>19.75</v>
      </c>
      <c r="T218" s="11">
        <v>15</v>
      </c>
      <c r="U218" s="11">
        <v>13</v>
      </c>
      <c r="V218" s="11">
        <v>18</v>
      </c>
      <c r="W218" s="11">
        <v>15</v>
      </c>
      <c r="X218" s="11">
        <v>7</v>
      </c>
      <c r="Y218" s="11">
        <v>7</v>
      </c>
      <c r="Z218" s="3" t="s">
        <v>1175</v>
      </c>
      <c r="AA218" s="10" t="s">
        <v>1176</v>
      </c>
      <c r="AB218" s="5">
        <f>320+280+297+120+306+220+170+500</f>
        <v>2213</v>
      </c>
      <c r="AC218" s="6">
        <f>28+0+4.3+3+30.6+4+8+7</f>
        <v>84.9</v>
      </c>
      <c r="AD218" s="6">
        <f>5+0+2.7+0+19.2+0+5+3</f>
        <v>34.9</v>
      </c>
      <c r="AE218" s="6">
        <f>10+0+4+2+6.6+8+3+14</f>
        <v>47.6</v>
      </c>
      <c r="AF218" s="6">
        <f>16+66+60+20+2.4+38+22+94</f>
        <v>318.39999999999998</v>
      </c>
      <c r="AG218" s="6">
        <f>2+2+10+1+0+4+0+6</f>
        <v>25</v>
      </c>
      <c r="AH218" s="6">
        <f>0+380+86+120+258+270+65+620</f>
        <v>1799</v>
      </c>
      <c r="AI218" s="6">
        <f t="shared" si="400"/>
        <v>3.8364211477632179E-2</v>
      </c>
      <c r="AJ218" s="6">
        <f t="shared" si="401"/>
        <v>1.5770447356529597E-2</v>
      </c>
      <c r="AK218" s="6">
        <f t="shared" si="402"/>
        <v>2.1509263443289652E-2</v>
      </c>
      <c r="AL218" s="6">
        <f t="shared" si="403"/>
        <v>0.14387708992318118</v>
      </c>
      <c r="AM218" s="6">
        <f t="shared" si="404"/>
        <v>1.1296882060551287E-2</v>
      </c>
      <c r="AN218" s="6">
        <f t="shared" si="405"/>
        <v>0.81292363307727067</v>
      </c>
      <c r="AO218" s="7">
        <v>5</v>
      </c>
      <c r="AP218" s="7">
        <v>2</v>
      </c>
      <c r="AQ218" s="7">
        <v>1</v>
      </c>
      <c r="AR218" s="10">
        <v>0</v>
      </c>
      <c r="AS218" s="7">
        <v>0</v>
      </c>
      <c r="AT218" s="7">
        <v>0</v>
      </c>
      <c r="AU218" s="7">
        <v>0</v>
      </c>
      <c r="AV218" s="7">
        <v>0</v>
      </c>
      <c r="AW218" s="7">
        <v>31</v>
      </c>
      <c r="AX218" s="7">
        <v>1</v>
      </c>
      <c r="AY218" s="5">
        <v>7</v>
      </c>
      <c r="AZ218" s="7">
        <v>0</v>
      </c>
      <c r="BA218" s="7">
        <v>0</v>
      </c>
      <c r="BB218" s="7">
        <v>0</v>
      </c>
      <c r="BC218" s="7">
        <v>1</v>
      </c>
      <c r="BD218" s="7">
        <v>1</v>
      </c>
      <c r="BE218" s="7">
        <v>0</v>
      </c>
      <c r="BF218" s="7">
        <v>1</v>
      </c>
      <c r="BG218" s="7">
        <v>25</v>
      </c>
      <c r="BH218" s="7">
        <v>0</v>
      </c>
      <c r="BI218" s="7">
        <v>0</v>
      </c>
      <c r="BJ218" s="7">
        <v>1</v>
      </c>
      <c r="BK218" s="11">
        <v>1</v>
      </c>
      <c r="BL218" s="7" t="s">
        <v>1129</v>
      </c>
      <c r="BM218" s="7">
        <v>1</v>
      </c>
    </row>
    <row r="219" spans="1:65" ht="30" customHeight="1" x14ac:dyDescent="0.3">
      <c r="A219" s="3" t="s">
        <v>137</v>
      </c>
      <c r="B219" s="3">
        <v>1</v>
      </c>
      <c r="C219" s="8">
        <v>44428</v>
      </c>
      <c r="D219" s="9">
        <v>0.29236111111111113</v>
      </c>
      <c r="E219" s="4">
        <v>66</v>
      </c>
      <c r="F219" s="3">
        <v>0</v>
      </c>
      <c r="G219" s="3">
        <v>0</v>
      </c>
      <c r="H219" s="3">
        <v>0</v>
      </c>
      <c r="I219" s="3">
        <v>0</v>
      </c>
      <c r="J219" s="9">
        <v>0.29722222222222222</v>
      </c>
      <c r="K219" s="3">
        <v>142.80000000000001</v>
      </c>
      <c r="L219" s="11">
        <f t="shared" ref="L219" si="412">K219-K218</f>
        <v>-0.59999999999999432</v>
      </c>
      <c r="M219" s="5">
        <f t="shared" ref="M219" si="413">AB218</f>
        <v>2213</v>
      </c>
      <c r="N219" s="11">
        <v>30.375</v>
      </c>
      <c r="O219" s="11">
        <v>32.375</v>
      </c>
      <c r="P219" s="11">
        <v>10.625</v>
      </c>
      <c r="Q219" s="11">
        <v>10.75</v>
      </c>
      <c r="R219" s="11">
        <v>19.5</v>
      </c>
      <c r="S219" s="11">
        <v>19.75</v>
      </c>
      <c r="T219" s="11">
        <v>16</v>
      </c>
      <c r="U219" s="11">
        <v>16</v>
      </c>
      <c r="V219" s="11">
        <v>16</v>
      </c>
      <c r="W219" s="11">
        <v>15</v>
      </c>
      <c r="X219" s="11">
        <v>7</v>
      </c>
      <c r="Y219" s="11">
        <v>7</v>
      </c>
      <c r="Z219" s="3" t="s">
        <v>1180</v>
      </c>
      <c r="AA219" s="10" t="s">
        <v>1179</v>
      </c>
      <c r="AB219" s="5">
        <f>900+880+560+140+102</f>
        <v>2582</v>
      </c>
      <c r="AC219" s="6">
        <f>0+20+24+6+10.2</f>
        <v>60.2</v>
      </c>
      <c r="AD219" s="6">
        <f>0+8+16+0+6.4</f>
        <v>30.4</v>
      </c>
      <c r="AE219" s="6">
        <f>0+44+4+0+2.2</f>
        <v>50.2</v>
      </c>
      <c r="AF219" s="6">
        <f>0+20+4+0+0</f>
        <v>24</v>
      </c>
      <c r="AG219" s="6">
        <f>6.25</f>
        <v>6.25</v>
      </c>
      <c r="AH219" s="6">
        <f>45+1520+200+60+86</f>
        <v>1911</v>
      </c>
      <c r="AI219" s="6">
        <f t="shared" si="400"/>
        <v>2.3315259488768399E-2</v>
      </c>
      <c r="AJ219" s="6">
        <f t="shared" si="401"/>
        <v>1.1773818745158791E-2</v>
      </c>
      <c r="AK219" s="6">
        <f t="shared" si="402"/>
        <v>1.9442292796281953E-2</v>
      </c>
      <c r="AL219" s="6">
        <f t="shared" si="403"/>
        <v>9.2951200619674663E-3</v>
      </c>
      <c r="AM219" s="6">
        <f t="shared" si="404"/>
        <v>2.4206041828040278E-3</v>
      </c>
      <c r="AN219" s="6">
        <f t="shared" si="405"/>
        <v>0.74012393493415951</v>
      </c>
      <c r="AO219" s="7">
        <v>4</v>
      </c>
      <c r="AP219" s="7">
        <v>1</v>
      </c>
      <c r="AQ219" s="7">
        <v>1</v>
      </c>
      <c r="AR219" s="10">
        <v>0</v>
      </c>
      <c r="AS219" s="7">
        <v>0</v>
      </c>
      <c r="AT219" s="7">
        <v>0</v>
      </c>
      <c r="AU219" s="7">
        <v>0</v>
      </c>
      <c r="AV219" s="7">
        <v>0</v>
      </c>
      <c r="AW219" s="7">
        <v>31</v>
      </c>
      <c r="AX219" s="7">
        <v>1</v>
      </c>
      <c r="AY219" s="5">
        <v>7</v>
      </c>
      <c r="AZ219" s="7">
        <v>0</v>
      </c>
      <c r="BA219" s="7">
        <v>1</v>
      </c>
      <c r="BB219" s="7">
        <v>0</v>
      </c>
      <c r="BC219" s="7">
        <v>1</v>
      </c>
      <c r="BD219" s="7">
        <v>1</v>
      </c>
      <c r="BE219" s="7">
        <v>0</v>
      </c>
      <c r="BF219" s="7">
        <v>0</v>
      </c>
      <c r="BG219" s="7">
        <v>0</v>
      </c>
      <c r="BH219" s="7">
        <v>0</v>
      </c>
      <c r="BI219" s="7">
        <v>0</v>
      </c>
      <c r="BJ219" s="7">
        <v>1</v>
      </c>
      <c r="BK219" s="11">
        <v>0</v>
      </c>
      <c r="BL219" s="7">
        <v>0</v>
      </c>
      <c r="BM219" s="7">
        <v>1</v>
      </c>
    </row>
    <row r="220" spans="1:65" ht="30" customHeight="1" x14ac:dyDescent="0.3">
      <c r="A220" s="3" t="s">
        <v>19</v>
      </c>
      <c r="B220" s="3">
        <v>2</v>
      </c>
      <c r="C220" s="8">
        <v>44429</v>
      </c>
      <c r="D220" s="9">
        <v>0.26041666666666669</v>
      </c>
      <c r="E220" s="4">
        <v>67</v>
      </c>
      <c r="F220" s="3">
        <v>0</v>
      </c>
      <c r="G220" s="3">
        <v>0</v>
      </c>
      <c r="H220" s="3">
        <v>0</v>
      </c>
      <c r="I220" s="3">
        <v>0</v>
      </c>
      <c r="J220" s="9">
        <v>0.27013888888888887</v>
      </c>
      <c r="K220" s="3">
        <v>143.80000000000001</v>
      </c>
      <c r="L220" s="11">
        <f t="shared" ref="L220" si="414">K220-K219</f>
        <v>1</v>
      </c>
      <c r="M220" s="5">
        <f t="shared" ref="M220" si="415">AB219</f>
        <v>2582</v>
      </c>
      <c r="N220" s="11">
        <v>31.125</v>
      </c>
      <c r="O220" s="11">
        <v>32.75</v>
      </c>
      <c r="P220" s="11">
        <v>10.875</v>
      </c>
      <c r="Q220" s="11">
        <v>10.75</v>
      </c>
      <c r="R220" s="11">
        <v>19.875</v>
      </c>
      <c r="S220" s="11">
        <v>19.875</v>
      </c>
      <c r="T220" s="11">
        <v>17</v>
      </c>
      <c r="U220" s="11">
        <v>17</v>
      </c>
      <c r="V220" s="11">
        <v>17</v>
      </c>
      <c r="W220" s="11">
        <v>16</v>
      </c>
      <c r="X220" s="11">
        <v>7</v>
      </c>
      <c r="Y220" s="11">
        <v>7</v>
      </c>
      <c r="Z220" s="3" t="s">
        <v>1183</v>
      </c>
      <c r="AA220" s="12" t="s">
        <v>1182</v>
      </c>
      <c r="AB220" s="5">
        <f>275+240+480+320+555+210+420</f>
        <v>2500</v>
      </c>
      <c r="AC220" s="6">
        <f>5+14+26+17+22.5+8+15</f>
        <v>107.5</v>
      </c>
      <c r="AD220" s="6">
        <f>0+8+5+10+22.5+2+3</f>
        <v>50.5</v>
      </c>
      <c r="AE220" s="6">
        <f>10+19+6+6+0+5+6</f>
        <v>52</v>
      </c>
      <c r="AF220" s="6">
        <f>47.5+9+59+35+90+31+60</f>
        <v>331.5</v>
      </c>
      <c r="AG220" s="6">
        <f>5+3+0+0+0+1+3</f>
        <v>12</v>
      </c>
      <c r="AH220" s="6">
        <f>337.5+370+590+430+37.5+320+720</f>
        <v>2805</v>
      </c>
      <c r="AI220" s="6">
        <f t="shared" si="400"/>
        <v>4.2999999999999997E-2</v>
      </c>
      <c r="AJ220" s="6">
        <f t="shared" si="401"/>
        <v>2.0199999999999999E-2</v>
      </c>
      <c r="AK220" s="6">
        <f t="shared" si="402"/>
        <v>2.0799999999999999E-2</v>
      </c>
      <c r="AL220" s="6">
        <f t="shared" si="403"/>
        <v>0.1326</v>
      </c>
      <c r="AM220" s="6">
        <f t="shared" si="404"/>
        <v>4.7999999999999996E-3</v>
      </c>
      <c r="AN220" s="6">
        <f t="shared" si="405"/>
        <v>1.1220000000000001</v>
      </c>
      <c r="AO220" s="7">
        <v>4</v>
      </c>
      <c r="AP220" s="7">
        <v>1</v>
      </c>
      <c r="AQ220" s="7">
        <v>1</v>
      </c>
      <c r="AR220" s="10">
        <v>0</v>
      </c>
      <c r="AS220" s="7">
        <v>0</v>
      </c>
      <c r="AT220" s="7">
        <v>0</v>
      </c>
      <c r="AU220" s="7">
        <v>0</v>
      </c>
      <c r="AV220" s="7">
        <v>0</v>
      </c>
      <c r="AW220" s="7">
        <v>31</v>
      </c>
      <c r="AX220" s="7">
        <v>1</v>
      </c>
      <c r="AY220" s="5">
        <v>7</v>
      </c>
      <c r="AZ220" s="7">
        <v>0</v>
      </c>
      <c r="BA220" s="7">
        <v>1</v>
      </c>
      <c r="BB220" s="7">
        <v>0</v>
      </c>
      <c r="BC220" s="7">
        <v>1</v>
      </c>
      <c r="BD220" s="7">
        <v>1</v>
      </c>
      <c r="BE220" s="7">
        <v>0</v>
      </c>
      <c r="BF220" s="7">
        <v>0</v>
      </c>
      <c r="BG220" s="7">
        <v>0</v>
      </c>
      <c r="BH220" s="7">
        <v>0</v>
      </c>
      <c r="BI220" s="7">
        <v>0</v>
      </c>
      <c r="BJ220" s="7">
        <v>1</v>
      </c>
      <c r="BK220" s="11">
        <v>0</v>
      </c>
      <c r="BL220" s="7">
        <v>0</v>
      </c>
      <c r="BM220" s="7">
        <v>1</v>
      </c>
    </row>
    <row r="221" spans="1:65" ht="30" customHeight="1" x14ac:dyDescent="0.3">
      <c r="A221" s="3" t="s">
        <v>23</v>
      </c>
      <c r="B221" s="3">
        <v>3</v>
      </c>
      <c r="C221" s="8">
        <v>44430</v>
      </c>
      <c r="D221" s="9">
        <v>0.30208333333333331</v>
      </c>
      <c r="E221" s="4">
        <v>66</v>
      </c>
      <c r="F221" s="3">
        <v>0</v>
      </c>
      <c r="G221" s="3">
        <v>0</v>
      </c>
      <c r="H221" s="3">
        <v>0</v>
      </c>
      <c r="I221" s="3">
        <v>0</v>
      </c>
      <c r="J221" s="9">
        <v>0.3125</v>
      </c>
      <c r="K221" s="3">
        <v>143.6</v>
      </c>
      <c r="L221" s="11">
        <f t="shared" ref="L221" si="416">K221-K220</f>
        <v>-0.20000000000001705</v>
      </c>
      <c r="M221" s="5">
        <f t="shared" ref="M221" si="417">AB220</f>
        <v>2500</v>
      </c>
      <c r="N221" s="11">
        <v>31.125</v>
      </c>
      <c r="O221" s="11">
        <v>32.375</v>
      </c>
      <c r="P221" s="11">
        <v>10.75</v>
      </c>
      <c r="Q221" s="11">
        <v>10.75</v>
      </c>
      <c r="R221" s="11">
        <v>19.5</v>
      </c>
      <c r="S221" s="11">
        <v>19.875</v>
      </c>
      <c r="T221" s="11">
        <v>15</v>
      </c>
      <c r="U221" s="11">
        <v>16</v>
      </c>
      <c r="V221" s="11">
        <v>15</v>
      </c>
      <c r="W221" s="11">
        <v>13</v>
      </c>
      <c r="X221" s="11">
        <v>7</v>
      </c>
      <c r="Y221" s="11">
        <v>7</v>
      </c>
      <c r="Z221" s="3" t="s">
        <v>1187</v>
      </c>
      <c r="AA221" s="10" t="s">
        <v>1185</v>
      </c>
      <c r="AB221" s="5">
        <f>630+420+350+120</f>
        <v>1520</v>
      </c>
      <c r="AC221" s="6">
        <f>24+15+15+3.5</f>
        <v>57.5</v>
      </c>
      <c r="AD221" s="6">
        <f>6+3+10+0.5</f>
        <v>19.5</v>
      </c>
      <c r="AE221" s="6">
        <f>15+6+2.5+2</f>
        <v>25.5</v>
      </c>
      <c r="AF221" s="6">
        <f>93+60+57.5+22</f>
        <v>232.5</v>
      </c>
      <c r="AG221" s="6">
        <f>3+3+2.5+1</f>
        <v>9.5</v>
      </c>
      <c r="AH221" s="6">
        <f>960+720+125+250</f>
        <v>2055</v>
      </c>
      <c r="AI221" s="6">
        <f t="shared" si="400"/>
        <v>3.7828947368421052E-2</v>
      </c>
      <c r="AJ221" s="6">
        <f t="shared" si="401"/>
        <v>1.2828947368421053E-2</v>
      </c>
      <c r="AK221" s="6">
        <f t="shared" si="402"/>
        <v>1.6776315789473684E-2</v>
      </c>
      <c r="AL221" s="6">
        <f t="shared" si="403"/>
        <v>0.15296052631578946</v>
      </c>
      <c r="AM221" s="6">
        <f t="shared" si="404"/>
        <v>6.2500000000000003E-3</v>
      </c>
      <c r="AN221" s="6">
        <f t="shared" si="405"/>
        <v>1.3519736842105263</v>
      </c>
      <c r="AO221" s="7">
        <v>4</v>
      </c>
      <c r="AP221" s="7">
        <v>1</v>
      </c>
      <c r="AQ221" s="7">
        <v>1</v>
      </c>
      <c r="AR221" s="10">
        <v>0</v>
      </c>
      <c r="AS221" s="7">
        <v>0</v>
      </c>
      <c r="AT221" s="7">
        <v>0</v>
      </c>
      <c r="AU221" s="7">
        <v>0</v>
      </c>
      <c r="AV221" s="7">
        <v>0</v>
      </c>
      <c r="AW221" s="7">
        <v>31</v>
      </c>
      <c r="AX221" s="7">
        <v>1</v>
      </c>
      <c r="AY221" s="5">
        <v>4</v>
      </c>
      <c r="AZ221" s="7">
        <v>0</v>
      </c>
      <c r="BA221" s="7">
        <v>0</v>
      </c>
      <c r="BB221" s="7">
        <v>0</v>
      </c>
      <c r="BC221" s="7">
        <v>1</v>
      </c>
      <c r="BD221" s="7">
        <v>1</v>
      </c>
      <c r="BE221" s="7">
        <v>0</v>
      </c>
      <c r="BF221" s="7">
        <v>0</v>
      </c>
      <c r="BG221" s="7">
        <v>0</v>
      </c>
      <c r="BH221" s="7">
        <v>0</v>
      </c>
      <c r="BI221" s="7">
        <v>0</v>
      </c>
      <c r="BJ221" s="7">
        <v>1</v>
      </c>
      <c r="BK221" s="11">
        <v>2</v>
      </c>
      <c r="BL221" s="7" t="s">
        <v>1186</v>
      </c>
      <c r="BM221" s="7">
        <v>1</v>
      </c>
    </row>
    <row r="222" spans="1:65" ht="19.95" customHeight="1" x14ac:dyDescent="0.3">
      <c r="A222" s="3" t="s">
        <v>15</v>
      </c>
      <c r="B222" s="3">
        <v>4</v>
      </c>
      <c r="C222" s="8">
        <v>44431</v>
      </c>
      <c r="D222" s="9">
        <v>0.30277777777777776</v>
      </c>
      <c r="E222" s="4">
        <v>62</v>
      </c>
      <c r="F222" s="3">
        <v>0</v>
      </c>
      <c r="G222" s="3">
        <v>0</v>
      </c>
      <c r="H222" s="3">
        <v>0</v>
      </c>
      <c r="I222" s="3">
        <v>0</v>
      </c>
      <c r="J222" s="9">
        <v>0.3347222222222222</v>
      </c>
      <c r="K222" s="3">
        <v>144</v>
      </c>
      <c r="L222" s="11">
        <f t="shared" ref="L222" si="418">K222-K221</f>
        <v>0.40000000000000568</v>
      </c>
      <c r="M222" s="5">
        <f t="shared" ref="M222" si="419">AB221</f>
        <v>1520</v>
      </c>
      <c r="N222" s="11">
        <v>30.5</v>
      </c>
      <c r="O222" s="11">
        <v>32.25</v>
      </c>
      <c r="P222" s="11">
        <v>10.625</v>
      </c>
      <c r="Q222" s="11">
        <v>10.75</v>
      </c>
      <c r="R222" s="11">
        <v>19.25</v>
      </c>
      <c r="S222" s="11">
        <v>20.125</v>
      </c>
      <c r="T222" s="11">
        <v>15</v>
      </c>
      <c r="U222" s="11">
        <v>14</v>
      </c>
      <c r="V222" s="11">
        <v>16</v>
      </c>
      <c r="W222" s="11">
        <v>14</v>
      </c>
      <c r="X222" s="11">
        <v>7</v>
      </c>
      <c r="Y222" s="11">
        <v>7</v>
      </c>
      <c r="Z222" s="3" t="s">
        <v>1189</v>
      </c>
      <c r="AA222" s="10" t="s">
        <v>1190</v>
      </c>
      <c r="AB222" s="5">
        <f>630+420+240</f>
        <v>1290</v>
      </c>
      <c r="AC222" s="6">
        <f>24+15+7</f>
        <v>46</v>
      </c>
      <c r="AD222" s="6">
        <f>6+3+1</f>
        <v>10</v>
      </c>
      <c r="AE222" s="6">
        <f>15+6+4</f>
        <v>25</v>
      </c>
      <c r="AF222" s="6">
        <f>93+60+44</f>
        <v>197</v>
      </c>
      <c r="AG222" s="6">
        <f>3+3+2</f>
        <v>8</v>
      </c>
      <c r="AH222" s="6">
        <f>960+720+500</f>
        <v>2180</v>
      </c>
      <c r="AI222" s="6">
        <f t="shared" si="400"/>
        <v>3.565891472868217E-2</v>
      </c>
      <c r="AJ222" s="6">
        <f t="shared" si="401"/>
        <v>7.7519379844961239E-3</v>
      </c>
      <c r="AK222" s="6">
        <f t="shared" si="402"/>
        <v>1.937984496124031E-2</v>
      </c>
      <c r="AL222" s="6">
        <f t="shared" si="403"/>
        <v>0.15271317829457365</v>
      </c>
      <c r="AM222" s="6">
        <f t="shared" si="404"/>
        <v>6.2015503875968991E-3</v>
      </c>
      <c r="AN222" s="6">
        <f t="shared" si="405"/>
        <v>1.6899224806201549</v>
      </c>
      <c r="AO222" s="7">
        <v>4</v>
      </c>
      <c r="AP222" s="7">
        <v>1</v>
      </c>
      <c r="AQ222" s="7">
        <v>0</v>
      </c>
      <c r="AR222" s="10">
        <v>0</v>
      </c>
      <c r="AS222" s="7">
        <v>0</v>
      </c>
      <c r="AT222" s="7">
        <v>0</v>
      </c>
      <c r="AU222" s="7">
        <v>0</v>
      </c>
      <c r="AV222" s="7">
        <v>0</v>
      </c>
      <c r="AW222" s="7">
        <v>31</v>
      </c>
      <c r="AX222" s="7">
        <v>1</v>
      </c>
      <c r="AY222" s="5">
        <v>8.5</v>
      </c>
      <c r="AZ222" s="7">
        <v>0</v>
      </c>
      <c r="BA222" s="7">
        <v>1</v>
      </c>
      <c r="BB222" s="7">
        <v>0</v>
      </c>
      <c r="BC222" s="7">
        <v>1</v>
      </c>
      <c r="BD222" s="7">
        <v>1</v>
      </c>
      <c r="BE222" s="7">
        <v>0</v>
      </c>
      <c r="BF222" s="7">
        <v>0</v>
      </c>
      <c r="BG222" s="7">
        <v>0</v>
      </c>
      <c r="BH222" s="7">
        <v>0</v>
      </c>
      <c r="BI222" s="7">
        <v>0</v>
      </c>
      <c r="BJ222" s="7">
        <v>0</v>
      </c>
      <c r="BK222" s="11">
        <v>0</v>
      </c>
      <c r="BL222" s="7">
        <v>0</v>
      </c>
      <c r="BM222" s="7">
        <v>1</v>
      </c>
    </row>
    <row r="223" spans="1:65" ht="19.95" customHeight="1" x14ac:dyDescent="0.3">
      <c r="A223" s="3" t="s">
        <v>16</v>
      </c>
      <c r="B223" s="3">
        <v>5</v>
      </c>
      <c r="C223" s="8">
        <v>44432</v>
      </c>
      <c r="D223" s="9">
        <v>0.32847222222222222</v>
      </c>
      <c r="E223" s="4">
        <v>63</v>
      </c>
      <c r="F223" s="3">
        <v>0</v>
      </c>
      <c r="G223" s="3">
        <v>0</v>
      </c>
      <c r="H223" s="3">
        <v>0</v>
      </c>
      <c r="I223" s="3">
        <v>0</v>
      </c>
      <c r="J223" s="9">
        <v>0.32916666666666666</v>
      </c>
      <c r="K223" s="3">
        <v>143.80000000000001</v>
      </c>
      <c r="L223" s="11">
        <f t="shared" ref="L223" si="420">K223-K222</f>
        <v>-0.19999999999998863</v>
      </c>
      <c r="M223" s="5">
        <f t="shared" ref="M223" si="421">AB222</f>
        <v>1290</v>
      </c>
      <c r="N223" s="11">
        <v>30.75</v>
      </c>
      <c r="O223" s="11">
        <v>32.25</v>
      </c>
      <c r="P223" s="11">
        <v>10.875</v>
      </c>
      <c r="Q223" s="11">
        <v>10.875</v>
      </c>
      <c r="R223" s="11">
        <v>19.75</v>
      </c>
      <c r="S223" s="11">
        <v>19.875</v>
      </c>
      <c r="T223" s="11">
        <v>14</v>
      </c>
      <c r="U223" s="11">
        <v>13</v>
      </c>
      <c r="V223" s="11">
        <v>15</v>
      </c>
      <c r="W223" s="11">
        <v>14</v>
      </c>
      <c r="X223" s="11">
        <v>7</v>
      </c>
      <c r="Y223" s="11">
        <v>7</v>
      </c>
      <c r="Z223" s="3" t="s">
        <v>1197</v>
      </c>
      <c r="AA223" s="10" t="s">
        <v>1195</v>
      </c>
      <c r="AB223" s="5">
        <f>410+220+100+30+200+180+220+100+30+200+300+350</f>
        <v>2340</v>
      </c>
      <c r="AC223" s="6">
        <f>15+4+6+0+9+0+4+6+0+9+27+17.5</f>
        <v>97.5</v>
      </c>
      <c r="AD223" s="6">
        <f>9+0+4+0+4+0+0+4+0+4+18+0</f>
        <v>43</v>
      </c>
      <c r="AE223" s="6">
        <f>10+8+8+0+21+0+8+8+0+21+6+5</f>
        <v>95</v>
      </c>
      <c r="AF223" s="6">
        <f>55+38+2+8+6+50+38+2+8+6+6+45</f>
        <v>264</v>
      </c>
      <c r="AG223" s="6">
        <f>0+4+0+1+1+0+4+0+1+1+0+5</f>
        <v>17</v>
      </c>
      <c r="AH223" s="6">
        <f>650+270+280+150+470+60+270+280+150+470+450+550</f>
        <v>4050</v>
      </c>
      <c r="AI223" s="6">
        <f t="shared" si="400"/>
        <v>4.1666666666666664E-2</v>
      </c>
      <c r="AJ223" s="6">
        <f t="shared" si="401"/>
        <v>1.8376068376068377E-2</v>
      </c>
      <c r="AK223" s="6">
        <f t="shared" si="402"/>
        <v>4.05982905982906E-2</v>
      </c>
      <c r="AL223" s="6">
        <f t="shared" si="403"/>
        <v>0.11282051282051282</v>
      </c>
      <c r="AM223" s="6">
        <f t="shared" si="404"/>
        <v>7.2649572649572652E-3</v>
      </c>
      <c r="AN223" s="6">
        <f t="shared" si="405"/>
        <v>1.7307692307692308</v>
      </c>
      <c r="AO223" s="7">
        <v>4</v>
      </c>
      <c r="AP223" s="7">
        <v>1</v>
      </c>
      <c r="AQ223" s="7">
        <v>0</v>
      </c>
      <c r="AR223" s="10">
        <v>0</v>
      </c>
      <c r="AS223" s="7">
        <v>0</v>
      </c>
      <c r="AT223" s="7">
        <v>0</v>
      </c>
      <c r="AU223" s="7">
        <v>0</v>
      </c>
      <c r="AV223" s="7">
        <v>0</v>
      </c>
      <c r="AW223" s="7">
        <v>31</v>
      </c>
      <c r="AX223" s="7">
        <v>1</v>
      </c>
      <c r="AY223" s="5">
        <v>7.5</v>
      </c>
      <c r="AZ223" s="7">
        <v>0</v>
      </c>
      <c r="BA223" s="7">
        <v>0</v>
      </c>
      <c r="BB223" s="7">
        <v>0</v>
      </c>
      <c r="BC223" s="7">
        <v>1</v>
      </c>
      <c r="BD223" s="7">
        <v>1</v>
      </c>
      <c r="BE223" s="7">
        <v>0</v>
      </c>
      <c r="BF223" s="7">
        <v>0</v>
      </c>
      <c r="BG223" s="7">
        <v>0</v>
      </c>
      <c r="BH223" s="7">
        <v>0</v>
      </c>
      <c r="BI223" s="7">
        <v>0</v>
      </c>
      <c r="BJ223" s="7">
        <v>0</v>
      </c>
      <c r="BK223" s="11">
        <v>3</v>
      </c>
      <c r="BL223" s="7" t="s">
        <v>1196</v>
      </c>
      <c r="BM223" s="7">
        <v>1</v>
      </c>
    </row>
    <row r="224" spans="1:65" ht="19.95" customHeight="1" x14ac:dyDescent="0.3">
      <c r="A224" s="3" t="s">
        <v>17</v>
      </c>
      <c r="B224" s="3">
        <v>6</v>
      </c>
      <c r="C224" s="8">
        <v>44433</v>
      </c>
      <c r="D224" s="9">
        <v>0.29166666666666669</v>
      </c>
      <c r="E224" s="4">
        <v>66</v>
      </c>
      <c r="F224" s="3">
        <v>0</v>
      </c>
      <c r="G224" s="3">
        <v>0</v>
      </c>
      <c r="H224" s="3">
        <v>0</v>
      </c>
      <c r="I224" s="3">
        <v>0</v>
      </c>
      <c r="J224" s="9">
        <v>0.29166666666666669</v>
      </c>
      <c r="K224" s="3">
        <v>143.4</v>
      </c>
      <c r="L224" s="11">
        <f t="shared" ref="L224" si="422">K224-K223</f>
        <v>-0.40000000000000568</v>
      </c>
      <c r="M224" s="5">
        <f t="shared" ref="M224" si="423">AB223</f>
        <v>2340</v>
      </c>
      <c r="N224" s="11">
        <v>30.5</v>
      </c>
      <c r="O224" s="11">
        <v>32.25</v>
      </c>
      <c r="P224" s="11">
        <v>10.75</v>
      </c>
      <c r="Q224" s="11">
        <v>10.75</v>
      </c>
      <c r="R224" s="11">
        <v>19.875</v>
      </c>
      <c r="S224" s="11">
        <v>19.875</v>
      </c>
      <c r="T224" s="11">
        <v>16</v>
      </c>
      <c r="U224" s="11">
        <v>13</v>
      </c>
      <c r="V224" s="11">
        <v>17</v>
      </c>
      <c r="W224" s="11">
        <v>17</v>
      </c>
      <c r="X224" s="11">
        <v>7</v>
      </c>
      <c r="Y224" s="11">
        <v>7</v>
      </c>
      <c r="Z224" s="3" t="s">
        <v>1198</v>
      </c>
      <c r="AO224" s="7">
        <v>4</v>
      </c>
      <c r="AQ224" s="7">
        <v>0</v>
      </c>
      <c r="AR224" s="10">
        <v>0</v>
      </c>
      <c r="AS224" s="7">
        <v>0</v>
      </c>
      <c r="AT224" s="7">
        <v>0</v>
      </c>
      <c r="AU224" s="7">
        <v>0</v>
      </c>
      <c r="AV224" s="7">
        <v>0</v>
      </c>
      <c r="AW224" s="7">
        <v>31</v>
      </c>
      <c r="AX224" s="7">
        <v>1</v>
      </c>
      <c r="AY224" s="5">
        <v>7</v>
      </c>
      <c r="AZ224" s="7">
        <v>0</v>
      </c>
      <c r="BA224" s="7">
        <v>1</v>
      </c>
      <c r="BB224" s="7">
        <v>0</v>
      </c>
      <c r="BC224" s="7">
        <v>1</v>
      </c>
      <c r="BD224" s="7">
        <v>1</v>
      </c>
      <c r="BE224" s="7">
        <v>0</v>
      </c>
      <c r="BF224" s="7">
        <v>0</v>
      </c>
      <c r="BG224" s="7">
        <v>0</v>
      </c>
      <c r="BH224" s="7">
        <v>0</v>
      </c>
      <c r="BI224" s="7">
        <v>0</v>
      </c>
      <c r="BJ224" s="7">
        <v>0</v>
      </c>
      <c r="BK224" s="11">
        <v>0</v>
      </c>
      <c r="BL224" s="7">
        <v>0</v>
      </c>
      <c r="BM224" s="7">
        <v>1</v>
      </c>
    </row>
    <row r="225" ht="19.95" customHeight="1" x14ac:dyDescent="0.3"/>
  </sheetData>
  <autoFilter ref="BA1:BA195" xr:uid="{00000000-0001-0000-0000-000000000000}"/>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087D-762F-4B12-B905-BA55329DE4CE}">
  <dimension ref="A1:C24"/>
  <sheetViews>
    <sheetView topLeftCell="A5" workbookViewId="0">
      <selection activeCell="C24" sqref="C24"/>
    </sheetView>
  </sheetViews>
  <sheetFormatPr defaultRowHeight="14.4" x14ac:dyDescent="0.3"/>
  <sheetData>
    <row r="1" spans="1:3" x14ac:dyDescent="0.3">
      <c r="A1">
        <v>12</v>
      </c>
    </row>
    <row r="2" spans="1:3" x14ac:dyDescent="0.3">
      <c r="A2">
        <v>1</v>
      </c>
    </row>
    <row r="3" spans="1:3" x14ac:dyDescent="0.3">
      <c r="A3">
        <v>2</v>
      </c>
    </row>
    <row r="4" spans="1:3" x14ac:dyDescent="0.3">
      <c r="A4">
        <v>3</v>
      </c>
    </row>
    <row r="5" spans="1:3" x14ac:dyDescent="0.3">
      <c r="A5">
        <v>4</v>
      </c>
    </row>
    <row r="6" spans="1:3" x14ac:dyDescent="0.3">
      <c r="A6">
        <v>5</v>
      </c>
    </row>
    <row r="7" spans="1:3" x14ac:dyDescent="0.3">
      <c r="A7">
        <v>6</v>
      </c>
      <c r="B7" t="s">
        <v>1188</v>
      </c>
      <c r="C7" t="s">
        <v>1188</v>
      </c>
    </row>
    <row r="8" spans="1:3" x14ac:dyDescent="0.3">
      <c r="A8">
        <v>7</v>
      </c>
    </row>
    <row r="9" spans="1:3" x14ac:dyDescent="0.3">
      <c r="A9">
        <v>8</v>
      </c>
    </row>
    <row r="10" spans="1:3" x14ac:dyDescent="0.3">
      <c r="A10">
        <v>9</v>
      </c>
    </row>
    <row r="11" spans="1:3" x14ac:dyDescent="0.3">
      <c r="A11">
        <v>10</v>
      </c>
    </row>
    <row r="12" spans="1:3" x14ac:dyDescent="0.3">
      <c r="A12">
        <v>11</v>
      </c>
    </row>
    <row r="13" spans="1:3" x14ac:dyDescent="0.3">
      <c r="A13">
        <v>12</v>
      </c>
    </row>
    <row r="14" spans="1:3" x14ac:dyDescent="0.3">
      <c r="A14">
        <v>1</v>
      </c>
    </row>
    <row r="15" spans="1:3" x14ac:dyDescent="0.3">
      <c r="A15">
        <v>2</v>
      </c>
      <c r="B15" t="s">
        <v>1188</v>
      </c>
      <c r="C15" t="s">
        <v>1188</v>
      </c>
    </row>
    <row r="16" spans="1:3" x14ac:dyDescent="0.3">
      <c r="A16">
        <v>3</v>
      </c>
    </row>
    <row r="17" spans="1:3" x14ac:dyDescent="0.3">
      <c r="A17">
        <v>4</v>
      </c>
    </row>
    <row r="18" spans="1:3" x14ac:dyDescent="0.3">
      <c r="A18">
        <v>5</v>
      </c>
    </row>
    <row r="19" spans="1:3" x14ac:dyDescent="0.3">
      <c r="A19">
        <v>6</v>
      </c>
    </row>
    <row r="20" spans="1:3" x14ac:dyDescent="0.3">
      <c r="A20">
        <v>7</v>
      </c>
    </row>
    <row r="21" spans="1:3" x14ac:dyDescent="0.3">
      <c r="A21">
        <v>8</v>
      </c>
    </row>
    <row r="22" spans="1:3" x14ac:dyDescent="0.3">
      <c r="A22">
        <v>9</v>
      </c>
    </row>
    <row r="23" spans="1:3" x14ac:dyDescent="0.3">
      <c r="A23">
        <v>10</v>
      </c>
      <c r="B23" t="s">
        <v>1188</v>
      </c>
      <c r="C23" t="s">
        <v>1188</v>
      </c>
    </row>
    <row r="24" spans="1:3" x14ac:dyDescent="0.3">
      <c r="A24">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A65" sqref="A65"/>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63" spans="1:2" x14ac:dyDescent="0.3">
      <c r="A63" s="13" t="s">
        <v>986</v>
      </c>
      <c r="B63" t="s">
        <v>988</v>
      </c>
    </row>
    <row r="64" spans="1:2" x14ac:dyDescent="0.3">
      <c r="A64" s="13" t="s">
        <v>964</v>
      </c>
      <c r="B64" t="s">
        <v>987</v>
      </c>
    </row>
    <row r="65" spans="1:2" x14ac:dyDescent="0.3">
      <c r="A65" s="13" t="s">
        <v>1106</v>
      </c>
      <c r="B65" t="s">
        <v>1103</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0AD99-F24D-4127-AB09-EB52DDA5DD4C}">
  <dimension ref="A1:H23"/>
  <sheetViews>
    <sheetView topLeftCell="A2" workbookViewId="0">
      <selection activeCell="F25" sqref="F25"/>
    </sheetView>
  </sheetViews>
  <sheetFormatPr defaultRowHeight="14.4" x14ac:dyDescent="0.3"/>
  <sheetData>
    <row r="1" spans="1:8" x14ac:dyDescent="0.3">
      <c r="A1" t="s">
        <v>1083</v>
      </c>
    </row>
    <row r="2" spans="1:8" x14ac:dyDescent="0.3">
      <c r="A2" s="11" t="s">
        <v>1077</v>
      </c>
      <c r="B2" s="11"/>
      <c r="C2" s="11"/>
      <c r="D2" s="11"/>
      <c r="E2" s="3"/>
      <c r="F2" s="3"/>
      <c r="G2" s="5"/>
      <c r="H2" s="6"/>
    </row>
    <row r="3" spans="1:8" x14ac:dyDescent="0.3">
      <c r="A3" s="11" t="s">
        <v>1060</v>
      </c>
      <c r="B3" s="11"/>
      <c r="C3" s="11"/>
      <c r="D3" s="11"/>
      <c r="E3" s="3"/>
      <c r="F3" s="3">
        <v>2.75</v>
      </c>
      <c r="G3" s="5"/>
      <c r="H3" s="6"/>
    </row>
    <row r="4" spans="1:8" x14ac:dyDescent="0.3">
      <c r="A4" s="11" t="s">
        <v>1061</v>
      </c>
      <c r="B4" s="11"/>
      <c r="C4" s="11"/>
      <c r="D4" s="11"/>
      <c r="E4" s="3"/>
      <c r="F4" s="3">
        <v>23.74</v>
      </c>
      <c r="G4" s="5"/>
      <c r="H4" s="6"/>
    </row>
    <row r="5" spans="1:8" x14ac:dyDescent="0.3">
      <c r="A5" s="11" t="s">
        <v>1062</v>
      </c>
      <c r="B5" s="11"/>
      <c r="C5" s="11"/>
      <c r="D5" s="11"/>
      <c r="E5" s="3"/>
      <c r="F5" s="3">
        <v>27.98</v>
      </c>
      <c r="G5" s="5"/>
      <c r="H5" s="6"/>
    </row>
    <row r="6" spans="1:8" x14ac:dyDescent="0.3">
      <c r="A6" s="11" t="s">
        <v>1063</v>
      </c>
      <c r="B6" s="11"/>
      <c r="C6" s="11"/>
      <c r="D6" s="11"/>
      <c r="E6" s="3"/>
      <c r="F6" s="3">
        <v>23</v>
      </c>
      <c r="G6" s="5"/>
      <c r="H6" s="6"/>
    </row>
    <row r="7" spans="1:8" x14ac:dyDescent="0.3">
      <c r="A7" s="11" t="s">
        <v>1064</v>
      </c>
      <c r="B7" s="11"/>
      <c r="C7" s="11"/>
      <c r="D7" s="11"/>
      <c r="E7" s="3"/>
      <c r="F7" s="3">
        <v>53.8</v>
      </c>
      <c r="G7" s="5"/>
      <c r="H7" s="6"/>
    </row>
    <row r="8" spans="1:8" x14ac:dyDescent="0.3">
      <c r="A8" s="11" t="s">
        <v>1065</v>
      </c>
      <c r="B8" s="11"/>
      <c r="C8" s="11"/>
      <c r="D8" s="11"/>
      <c r="E8" s="3"/>
      <c r="F8" s="3">
        <v>15</v>
      </c>
      <c r="G8" s="5"/>
      <c r="H8" s="6"/>
    </row>
    <row r="9" spans="1:8" x14ac:dyDescent="0.3">
      <c r="A9" s="11" t="s">
        <v>1066</v>
      </c>
      <c r="B9" s="11"/>
      <c r="C9" s="11"/>
      <c r="D9" s="11"/>
      <c r="E9" s="3"/>
      <c r="F9" s="3">
        <v>61.45</v>
      </c>
      <c r="G9" s="5"/>
      <c r="H9" s="6"/>
    </row>
    <row r="10" spans="1:8" x14ac:dyDescent="0.3">
      <c r="A10" s="11" t="s">
        <v>1067</v>
      </c>
      <c r="B10" s="11"/>
      <c r="C10" s="11"/>
      <c r="D10" s="11"/>
      <c r="E10" s="3"/>
      <c r="F10" s="3">
        <f>33.55+2</f>
        <v>35.549999999999997</v>
      </c>
      <c r="G10" s="5"/>
      <c r="H10" s="6"/>
    </row>
    <row r="11" spans="1:8" x14ac:dyDescent="0.3">
      <c r="A11" s="11" t="s">
        <v>1068</v>
      </c>
      <c r="B11" s="11"/>
      <c r="C11" s="11"/>
      <c r="D11" s="11"/>
      <c r="E11" s="3"/>
      <c r="F11" s="3">
        <v>27.03</v>
      </c>
      <c r="G11" s="5"/>
      <c r="H11" s="6"/>
    </row>
    <row r="12" spans="1:8" x14ac:dyDescent="0.3">
      <c r="A12" s="11" t="s">
        <v>1074</v>
      </c>
      <c r="B12" s="11"/>
      <c r="C12" s="11"/>
      <c r="D12" s="11"/>
      <c r="E12" s="3"/>
      <c r="F12" s="3">
        <v>14.78</v>
      </c>
      <c r="G12" s="5"/>
      <c r="H12" s="6"/>
    </row>
    <row r="13" spans="1:8" x14ac:dyDescent="0.3">
      <c r="A13" s="11" t="s">
        <v>1075</v>
      </c>
      <c r="B13" s="11"/>
      <c r="C13" s="11"/>
      <c r="D13" s="11"/>
      <c r="E13" s="3"/>
      <c r="F13" s="3">
        <v>16.73</v>
      </c>
      <c r="G13" s="5"/>
      <c r="H13" s="6"/>
    </row>
    <row r="14" spans="1:8" x14ac:dyDescent="0.3">
      <c r="A14" s="11" t="s">
        <v>1076</v>
      </c>
      <c r="B14" s="11"/>
      <c r="C14" s="11"/>
      <c r="D14" s="11"/>
      <c r="E14" s="3"/>
      <c r="F14" s="3">
        <v>28</v>
      </c>
      <c r="G14" s="5"/>
      <c r="H14" s="6"/>
    </row>
    <row r="15" spans="1:8" x14ac:dyDescent="0.3">
      <c r="A15" s="11"/>
      <c r="B15" s="11"/>
      <c r="C15" s="11"/>
      <c r="D15" s="11"/>
      <c r="E15" s="3"/>
      <c r="F15" s="3"/>
      <c r="G15" s="5"/>
      <c r="H15" s="6"/>
    </row>
    <row r="16" spans="1:8" x14ac:dyDescent="0.3">
      <c r="A16" s="11"/>
      <c r="B16" s="11"/>
      <c r="C16" s="11"/>
      <c r="D16" s="11"/>
      <c r="E16" s="3"/>
      <c r="F16" s="3"/>
      <c r="G16" s="5">
        <f>SUM(F3:F14)</f>
        <v>329.80999999999995</v>
      </c>
      <c r="H16" s="6"/>
    </row>
    <row r="17" spans="1:8" x14ac:dyDescent="0.3">
      <c r="A17" s="11" t="s">
        <v>1078</v>
      </c>
      <c r="B17" s="11"/>
      <c r="C17" s="11"/>
      <c r="D17" s="11"/>
      <c r="E17" s="3"/>
      <c r="F17" s="3"/>
      <c r="G17" s="5"/>
      <c r="H17" s="6"/>
    </row>
    <row r="18" spans="1:8" x14ac:dyDescent="0.3">
      <c r="A18" s="11" t="s">
        <v>1079</v>
      </c>
      <c r="B18" s="11"/>
      <c r="C18" s="11"/>
      <c r="D18" s="11"/>
      <c r="E18" s="3"/>
      <c r="F18" s="3">
        <v>124</v>
      </c>
      <c r="G18" s="5"/>
      <c r="H18" s="6"/>
    </row>
    <row r="19" spans="1:8" x14ac:dyDescent="0.3">
      <c r="A19" s="11" t="s">
        <v>1080</v>
      </c>
      <c r="B19" s="11"/>
      <c r="C19" s="11"/>
      <c r="D19" s="11"/>
      <c r="E19" s="3"/>
      <c r="F19" s="3">
        <v>31.81</v>
      </c>
      <c r="G19" s="5"/>
      <c r="H19" s="6"/>
    </row>
    <row r="20" spans="1:8" x14ac:dyDescent="0.3">
      <c r="A20" s="11" t="s">
        <v>1081</v>
      </c>
      <c r="B20" s="11"/>
      <c r="C20" s="11"/>
      <c r="D20" s="11"/>
      <c r="E20" s="3"/>
      <c r="F20" s="3">
        <v>27.91</v>
      </c>
      <c r="G20" s="5"/>
      <c r="H20" s="6"/>
    </row>
    <row r="21" spans="1:8" x14ac:dyDescent="0.3">
      <c r="A21" s="11"/>
      <c r="B21" s="11"/>
      <c r="C21" s="11"/>
      <c r="D21" s="11"/>
      <c r="E21" s="3"/>
      <c r="F21" s="3"/>
      <c r="G21" s="5">
        <f>SUM(F18:F20)</f>
        <v>183.72</v>
      </c>
      <c r="H21" s="6"/>
    </row>
    <row r="22" spans="1:8" x14ac:dyDescent="0.3">
      <c r="A22" s="11" t="s">
        <v>1082</v>
      </c>
      <c r="B22" s="11"/>
      <c r="C22" s="11"/>
      <c r="D22" s="11"/>
      <c r="E22" s="3"/>
      <c r="F22" s="3">
        <v>445.06</v>
      </c>
      <c r="G22" s="5">
        <v>445.06</v>
      </c>
      <c r="H22" s="6"/>
    </row>
    <row r="23" spans="1:8" x14ac:dyDescent="0.3">
      <c r="A23" s="11"/>
      <c r="B23" s="11"/>
      <c r="C23" s="11"/>
      <c r="D23" s="11"/>
      <c r="E23" s="3"/>
      <c r="F23" s="3" t="s">
        <v>1084</v>
      </c>
      <c r="G23" s="5"/>
      <c r="H23" s="6">
        <f>SUM(G16:G22)</f>
        <v>958.58999999999992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NutritionalData</vt:lpstr>
      <vt:lpstr>researchMeasures</vt:lpstr>
      <vt:lpstr>Sheet1</vt:lpstr>
      <vt:lpstr>dataDictionary</vt:lpstr>
      <vt:lpstr>vacationRedondo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2021-08-25T14:07:28Z</dcterms:modified>
</cp:coreProperties>
</file>