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A9C3C2D-8B6B-45B5-A125-84140489F235}"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04" i="1" l="1"/>
  <c r="AH304" i="1"/>
  <c r="AG304" i="1"/>
  <c r="AF304" i="1"/>
  <c r="AE304" i="1"/>
  <c r="AD304" i="1"/>
  <c r="AC304" i="1"/>
  <c r="AB304" i="1"/>
  <c r="AM304" i="1" s="1"/>
  <c r="C666" i="4"/>
  <c r="D666" i="4"/>
  <c r="E666" i="4"/>
  <c r="F666" i="4"/>
  <c r="G666" i="4"/>
  <c r="H666" i="4"/>
  <c r="B666" i="4"/>
  <c r="C665" i="4"/>
  <c r="D665" i="4"/>
  <c r="E665" i="4"/>
  <c r="F665" i="4"/>
  <c r="G665" i="4"/>
  <c r="H665" i="4"/>
  <c r="B665" i="4"/>
  <c r="AH303" i="1"/>
  <c r="AG303" i="1"/>
  <c r="AF303" i="1"/>
  <c r="AE303" i="1"/>
  <c r="AD303" i="1"/>
  <c r="AC303" i="1"/>
  <c r="AB303" i="1"/>
  <c r="AH302" i="1"/>
  <c r="AG302" i="1"/>
  <c r="AF302" i="1"/>
  <c r="AE302" i="1"/>
  <c r="AD302" i="1"/>
  <c r="AC302" i="1"/>
  <c r="AI302" i="1" s="1"/>
  <c r="AB302" i="1"/>
  <c r="AN302" i="1" s="1"/>
  <c r="AH301" i="1"/>
  <c r="AG301" i="1"/>
  <c r="AF301" i="1"/>
  <c r="AE301" i="1"/>
  <c r="AD301" i="1"/>
  <c r="AC301" i="1"/>
  <c r="AB301" i="1"/>
  <c r="AL301" i="1" s="1"/>
  <c r="AI300" i="1"/>
  <c r="AJ300" i="1"/>
  <c r="AK300" i="1"/>
  <c r="AL300" i="1"/>
  <c r="AM300" i="1"/>
  <c r="AN300" i="1"/>
  <c r="AK301" i="1"/>
  <c r="AL302" i="1"/>
  <c r="AM302" i="1"/>
  <c r="AJ303" i="1"/>
  <c r="AL304" i="1"/>
  <c r="AH300" i="1"/>
  <c r="AG300" i="1"/>
  <c r="AF300" i="1"/>
  <c r="AE300" i="1"/>
  <c r="AD300" i="1"/>
  <c r="AC300" i="1"/>
  <c r="AB300" i="1"/>
  <c r="M300" i="1"/>
  <c r="M301" i="1"/>
  <c r="M303" i="1"/>
  <c r="M294" i="1"/>
  <c r="M295" i="1"/>
  <c r="M296" i="1"/>
  <c r="M297" i="1"/>
  <c r="M298" i="1"/>
  <c r="M299" i="1"/>
  <c r="AH299" i="1"/>
  <c r="AG299" i="1"/>
  <c r="AF299" i="1"/>
  <c r="AE299" i="1"/>
  <c r="AK299" i="1" s="1"/>
  <c r="AD299" i="1"/>
  <c r="AC299" i="1"/>
  <c r="AB299" i="1"/>
  <c r="AI299" i="1"/>
  <c r="AJ299" i="1"/>
  <c r="AL299" i="1"/>
  <c r="AM299" i="1"/>
  <c r="AN299" i="1"/>
  <c r="AI298" i="1"/>
  <c r="AJ298" i="1"/>
  <c r="AK298" i="1"/>
  <c r="AL298" i="1"/>
  <c r="AM298" i="1"/>
  <c r="AN298" i="1"/>
  <c r="AH298" i="1"/>
  <c r="AG298" i="1"/>
  <c r="AF298" i="1"/>
  <c r="AE298" i="1"/>
  <c r="AD298" i="1"/>
  <c r="AC298" i="1"/>
  <c r="AB298" i="1"/>
  <c r="AI297" i="1"/>
  <c r="AJ297" i="1"/>
  <c r="AK297" i="1"/>
  <c r="AL297" i="1"/>
  <c r="AM297" i="1"/>
  <c r="AN297" i="1"/>
  <c r="AH297" i="1"/>
  <c r="AG297" i="1"/>
  <c r="AF297" i="1"/>
  <c r="AE297" i="1"/>
  <c r="AD297" i="1"/>
  <c r="AC297" i="1"/>
  <c r="AB297" i="1"/>
  <c r="H658" i="4"/>
  <c r="G658" i="4"/>
  <c r="F658" i="4"/>
  <c r="E658" i="4"/>
  <c r="D658" i="4"/>
  <c r="C658" i="4"/>
  <c r="B658" i="4"/>
  <c r="AI296" i="1"/>
  <c r="AJ296" i="1"/>
  <c r="AK296" i="1"/>
  <c r="AL296" i="1"/>
  <c r="AM296" i="1"/>
  <c r="AN296" i="1"/>
  <c r="AH296" i="1"/>
  <c r="AG296" i="1"/>
  <c r="AF296" i="1"/>
  <c r="AE296" i="1"/>
  <c r="AD296" i="1"/>
  <c r="AC296" i="1"/>
  <c r="AB296" i="1"/>
  <c r="H657" i="4"/>
  <c r="G657" i="4"/>
  <c r="F657" i="4"/>
  <c r="E657" i="4"/>
  <c r="D657" i="4"/>
  <c r="C657" i="4"/>
  <c r="B657" i="4"/>
  <c r="AH295" i="1"/>
  <c r="AG295" i="1"/>
  <c r="AF295" i="1"/>
  <c r="AE295" i="1"/>
  <c r="AD295" i="1"/>
  <c r="AC295" i="1"/>
  <c r="AB295" i="1"/>
  <c r="AH294" i="1"/>
  <c r="AG294" i="1"/>
  <c r="AF294" i="1"/>
  <c r="AE294" i="1"/>
  <c r="AD294" i="1"/>
  <c r="AC294" i="1"/>
  <c r="AB294" i="1"/>
  <c r="AK294" i="1" s="1"/>
  <c r="AI294" i="1"/>
  <c r="AJ294" i="1"/>
  <c r="AN294" i="1"/>
  <c r="AL295" i="1"/>
  <c r="AH293" i="1"/>
  <c r="AG293" i="1"/>
  <c r="AF293" i="1"/>
  <c r="AE293" i="1"/>
  <c r="AD293" i="1"/>
  <c r="AC293" i="1"/>
  <c r="AB293" i="1"/>
  <c r="AK293" i="1"/>
  <c r="AH292" i="1"/>
  <c r="AN292" i="1" s="1"/>
  <c r="AG292" i="1"/>
  <c r="AF292" i="1"/>
  <c r="AE292" i="1"/>
  <c r="AD292" i="1"/>
  <c r="AJ292" i="1" s="1"/>
  <c r="AC292" i="1"/>
  <c r="AB292" i="1"/>
  <c r="AK292" i="1" s="1"/>
  <c r="AH290" i="1"/>
  <c r="AG290" i="1"/>
  <c r="AF290" i="1"/>
  <c r="AE290" i="1"/>
  <c r="AD290" i="1"/>
  <c r="AC290" i="1"/>
  <c r="AB290" i="1"/>
  <c r="AH291" i="1"/>
  <c r="AN291" i="1" s="1"/>
  <c r="AG291" i="1"/>
  <c r="AM291" i="1" s="1"/>
  <c r="AF291" i="1"/>
  <c r="AE291" i="1"/>
  <c r="AD291" i="1"/>
  <c r="AC291" i="1"/>
  <c r="AB291" i="1"/>
  <c r="AH289" i="1"/>
  <c r="AG289" i="1"/>
  <c r="AF289" i="1"/>
  <c r="AL289" i="1" s="1"/>
  <c r="AE289" i="1"/>
  <c r="AD289" i="1"/>
  <c r="AC289" i="1"/>
  <c r="AB289" i="1"/>
  <c r="AI289" i="1" s="1"/>
  <c r="AH288" i="1"/>
  <c r="AG288" i="1"/>
  <c r="AF288" i="1"/>
  <c r="AL288" i="1" s="1"/>
  <c r="AE288" i="1"/>
  <c r="AK288" i="1" s="1"/>
  <c r="AD288" i="1"/>
  <c r="AC288" i="1"/>
  <c r="AB288" i="1"/>
  <c r="AH287" i="1"/>
  <c r="AG287" i="1"/>
  <c r="AF287" i="1"/>
  <c r="AE287" i="1"/>
  <c r="AK287" i="1" s="1"/>
  <c r="AD287" i="1"/>
  <c r="AC287" i="1"/>
  <c r="AI287" i="1" s="1"/>
  <c r="AB287" i="1"/>
  <c r="M288" i="1" s="1"/>
  <c r="AH286" i="1"/>
  <c r="AG286" i="1"/>
  <c r="AF286" i="1"/>
  <c r="AE286" i="1"/>
  <c r="AD286" i="1"/>
  <c r="AC286" i="1"/>
  <c r="AB286" i="1"/>
  <c r="AI286" i="1" s="1"/>
  <c r="AH285" i="1"/>
  <c r="AG285" i="1"/>
  <c r="AF285" i="1"/>
  <c r="AE285" i="1"/>
  <c r="AD285" i="1"/>
  <c r="AC285" i="1"/>
  <c r="AI285" i="1" s="1"/>
  <c r="AB285" i="1"/>
  <c r="AK285" i="1" s="1"/>
  <c r="AH284" i="1"/>
  <c r="AG284" i="1"/>
  <c r="AF284" i="1"/>
  <c r="AE284" i="1"/>
  <c r="AD284" i="1"/>
  <c r="AJ284" i="1" s="1"/>
  <c r="AC284" i="1"/>
  <c r="AB284" i="1"/>
  <c r="AH283" i="1"/>
  <c r="AG283" i="1"/>
  <c r="AF283" i="1"/>
  <c r="AE283" i="1"/>
  <c r="AD283" i="1"/>
  <c r="AC283" i="1"/>
  <c r="AI283" i="1" s="1"/>
  <c r="AB283" i="1"/>
  <c r="AJ283" i="1" s="1"/>
  <c r="L293" i="1"/>
  <c r="M293" i="1"/>
  <c r="AI291" i="1"/>
  <c r="BM291" i="1"/>
  <c r="BM290" i="1"/>
  <c r="L290" i="1"/>
  <c r="L289" i="1"/>
  <c r="AJ287" i="1"/>
  <c r="AL287" i="1"/>
  <c r="AM287" i="1"/>
  <c r="L286" i="1"/>
  <c r="L288" i="1"/>
  <c r="L285" i="1"/>
  <c r="M285" i="1"/>
  <c r="L284" i="1"/>
  <c r="L277" i="1"/>
  <c r="L278" i="1"/>
  <c r="L279" i="1"/>
  <c r="M279" i="1"/>
  <c r="L280" i="1"/>
  <c r="M280" i="1"/>
  <c r="L282" i="1"/>
  <c r="L283" i="1"/>
  <c r="M283" i="1"/>
  <c r="AH282" i="1"/>
  <c r="AN282" i="1" s="1"/>
  <c r="AG282" i="1"/>
  <c r="AF282" i="1"/>
  <c r="AE282" i="1"/>
  <c r="AD282" i="1"/>
  <c r="AC282" i="1"/>
  <c r="AB282" i="1"/>
  <c r="AH281" i="1"/>
  <c r="AG281" i="1"/>
  <c r="AF281" i="1"/>
  <c r="AL281" i="1" s="1"/>
  <c r="AE281" i="1"/>
  <c r="AK281" i="1" s="1"/>
  <c r="AD281" i="1"/>
  <c r="AC281" i="1"/>
  <c r="AB281" i="1"/>
  <c r="AH280" i="1"/>
  <c r="AN280" i="1" s="1"/>
  <c r="AG280" i="1"/>
  <c r="AF280" i="1"/>
  <c r="AE280" i="1"/>
  <c r="AD280" i="1"/>
  <c r="AC280" i="1"/>
  <c r="AB280" i="1"/>
  <c r="AI280" i="1" s="1"/>
  <c r="AB279" i="1"/>
  <c r="AC279" i="1"/>
  <c r="AD279" i="1"/>
  <c r="AE279" i="1"/>
  <c r="AF279" i="1"/>
  <c r="AH279" i="1"/>
  <c r="AG279" i="1"/>
  <c r="AH278" i="1"/>
  <c r="AG278" i="1"/>
  <c r="AM278" i="1" s="1"/>
  <c r="AF278" i="1"/>
  <c r="AE278" i="1"/>
  <c r="AD278" i="1"/>
  <c r="AC278" i="1"/>
  <c r="AI278" i="1" s="1"/>
  <c r="AB278" i="1"/>
  <c r="AN278" i="1" s="1"/>
  <c r="AH277" i="1"/>
  <c r="AG277" i="1"/>
  <c r="AF277" i="1"/>
  <c r="AE277" i="1"/>
  <c r="AD277" i="1"/>
  <c r="AC277" i="1"/>
  <c r="AI277" i="1" s="1"/>
  <c r="AB277" i="1"/>
  <c r="AJ277" i="1" s="1"/>
  <c r="AH276" i="1"/>
  <c r="AG276" i="1"/>
  <c r="AF276" i="1"/>
  <c r="AE276" i="1"/>
  <c r="AD276" i="1"/>
  <c r="AC276" i="1"/>
  <c r="AB276" i="1"/>
  <c r="AK276" i="1" s="1"/>
  <c r="H642" i="4"/>
  <c r="G642" i="4"/>
  <c r="F642" i="4"/>
  <c r="E642" i="4"/>
  <c r="D642" i="4"/>
  <c r="C642" i="4"/>
  <c r="B642" i="4"/>
  <c r="AI276" i="1"/>
  <c r="AJ276" i="1"/>
  <c r="AI279" i="1"/>
  <c r="AJ279" i="1"/>
  <c r="AK279" i="1"/>
  <c r="AM280" i="1"/>
  <c r="H637" i="4"/>
  <c r="G637" i="4"/>
  <c r="F637" i="4"/>
  <c r="E637" i="4"/>
  <c r="D637" i="4"/>
  <c r="C637" i="4"/>
  <c r="B637" i="4"/>
  <c r="H634" i="4"/>
  <c r="G634" i="4"/>
  <c r="F634" i="4"/>
  <c r="E634" i="4"/>
  <c r="D634" i="4"/>
  <c r="C634" i="4"/>
  <c r="B634" i="4"/>
  <c r="AH275" i="1"/>
  <c r="AG275" i="1"/>
  <c r="AF275" i="1"/>
  <c r="AE275" i="1"/>
  <c r="AD275" i="1"/>
  <c r="AC275" i="1"/>
  <c r="AB275" i="1"/>
  <c r="M276" i="1" s="1"/>
  <c r="L276" i="1"/>
  <c r="AH274" i="1"/>
  <c r="AG274" i="1"/>
  <c r="AF274" i="1"/>
  <c r="AE274" i="1"/>
  <c r="AD274" i="1"/>
  <c r="AC274" i="1"/>
  <c r="AB274" i="1"/>
  <c r="AM274" i="1" s="1"/>
  <c r="AH273" i="1"/>
  <c r="AG273" i="1"/>
  <c r="AF273" i="1"/>
  <c r="AE273" i="1"/>
  <c r="AD273" i="1"/>
  <c r="AC273" i="1"/>
  <c r="AB273" i="1"/>
  <c r="AL273" i="1" s="1"/>
  <c r="AH272" i="1"/>
  <c r="AG272" i="1"/>
  <c r="AF272" i="1"/>
  <c r="AE272" i="1"/>
  <c r="AD272" i="1"/>
  <c r="AC272" i="1"/>
  <c r="AB272" i="1"/>
  <c r="H629" i="4"/>
  <c r="G629" i="4"/>
  <c r="F629" i="4"/>
  <c r="E629" i="4"/>
  <c r="D629" i="4"/>
  <c r="C629" i="4"/>
  <c r="B629" i="4"/>
  <c r="AL274" i="1"/>
  <c r="L272" i="1"/>
  <c r="M272" i="1"/>
  <c r="L273" i="1"/>
  <c r="L274" i="1"/>
  <c r="L275" i="1"/>
  <c r="AH271" i="1"/>
  <c r="AN271" i="1" s="1"/>
  <c r="AG271" i="1"/>
  <c r="AF271" i="1"/>
  <c r="AL271" i="1" s="1"/>
  <c r="AE271" i="1"/>
  <c r="AK271" i="1" s="1"/>
  <c r="AD271" i="1"/>
  <c r="AJ271" i="1" s="1"/>
  <c r="AC271" i="1"/>
  <c r="AI271" i="1" s="1"/>
  <c r="AB271" i="1"/>
  <c r="AM271" i="1"/>
  <c r="L271" i="1"/>
  <c r="M271" i="1"/>
  <c r="AH270" i="1"/>
  <c r="AG270" i="1"/>
  <c r="AF270" i="1"/>
  <c r="AE270" i="1"/>
  <c r="AD270" i="1"/>
  <c r="AC270" i="1"/>
  <c r="AI270" i="1" s="1"/>
  <c r="AB270" i="1"/>
  <c r="AJ270" i="1" s="1"/>
  <c r="AH269" i="1"/>
  <c r="AG269" i="1"/>
  <c r="AF269" i="1"/>
  <c r="AE269" i="1"/>
  <c r="AD269" i="1"/>
  <c r="AC269" i="1"/>
  <c r="AB269" i="1"/>
  <c r="AL269" i="1" s="1"/>
  <c r="C625" i="4"/>
  <c r="D625" i="4"/>
  <c r="E625" i="4"/>
  <c r="F625" i="4"/>
  <c r="G625" i="4"/>
  <c r="H625" i="4"/>
  <c r="B625" i="4"/>
  <c r="AH268" i="1"/>
  <c r="AG268" i="1"/>
  <c r="AF268" i="1"/>
  <c r="AE268" i="1"/>
  <c r="AD268" i="1"/>
  <c r="AC268" i="1"/>
  <c r="AB268" i="1"/>
  <c r="AH267" i="1"/>
  <c r="AG267" i="1"/>
  <c r="AF267" i="1"/>
  <c r="AE267" i="1"/>
  <c r="AD267" i="1"/>
  <c r="AC267" i="1"/>
  <c r="AB267" i="1"/>
  <c r="M268" i="1" s="1"/>
  <c r="C624" i="4"/>
  <c r="D624" i="4"/>
  <c r="E624" i="4"/>
  <c r="F624" i="4"/>
  <c r="G624" i="4"/>
  <c r="H624" i="4"/>
  <c r="B624" i="4"/>
  <c r="L269" i="1"/>
  <c r="L270" i="1"/>
  <c r="AJ269" i="1"/>
  <c r="AK269" i="1"/>
  <c r="AN269" i="1"/>
  <c r="AY268" i="1"/>
  <c r="BG268" i="1"/>
  <c r="L268" i="1"/>
  <c r="AH266" i="1"/>
  <c r="AG266" i="1"/>
  <c r="AF266" i="1"/>
  <c r="AE266" i="1"/>
  <c r="AD266" i="1"/>
  <c r="AC266" i="1"/>
  <c r="AB266" i="1"/>
  <c r="AI266" i="1" s="1"/>
  <c r="AH265" i="1"/>
  <c r="AG265" i="1"/>
  <c r="AF265" i="1"/>
  <c r="AL265" i="1" s="1"/>
  <c r="AE265" i="1"/>
  <c r="AD265" i="1"/>
  <c r="AC265" i="1"/>
  <c r="AB265" i="1"/>
  <c r="AN265" i="1"/>
  <c r="L266" i="1"/>
  <c r="M266" i="1"/>
  <c r="L267" i="1"/>
  <c r="L265" i="1"/>
  <c r="AH264" i="1"/>
  <c r="AG264" i="1"/>
  <c r="AF264" i="1"/>
  <c r="AE264" i="1"/>
  <c r="AD264" i="1"/>
  <c r="AJ264" i="1" s="1"/>
  <c r="AC264" i="1"/>
  <c r="AB264" i="1"/>
  <c r="M265" i="1" s="1"/>
  <c r="L264" i="1"/>
  <c r="AH263" i="1"/>
  <c r="AG263" i="1"/>
  <c r="AF263" i="1"/>
  <c r="AE263" i="1"/>
  <c r="AD263" i="1"/>
  <c r="AJ263" i="1" s="1"/>
  <c r="AC263" i="1"/>
  <c r="AI263" i="1" s="1"/>
  <c r="AB263" i="1"/>
  <c r="AN263" i="1" s="1"/>
  <c r="AH262" i="1"/>
  <c r="AG262" i="1"/>
  <c r="AF262" i="1"/>
  <c r="AE262" i="1"/>
  <c r="AD262" i="1"/>
  <c r="AC262" i="1"/>
  <c r="AB262" i="1"/>
  <c r="M263" i="1" s="1"/>
  <c r="L263" i="1"/>
  <c r="C620" i="4"/>
  <c r="D620" i="4"/>
  <c r="E620" i="4"/>
  <c r="F620" i="4"/>
  <c r="G620" i="4"/>
  <c r="H620" i="4"/>
  <c r="B620" i="4"/>
  <c r="L262" i="1"/>
  <c r="AH261" i="1"/>
  <c r="AG261" i="1"/>
  <c r="AF261" i="1"/>
  <c r="AE261" i="1"/>
  <c r="AD261" i="1"/>
  <c r="AC261" i="1"/>
  <c r="AB261" i="1"/>
  <c r="M262" i="1" s="1"/>
  <c r="AH260" i="1"/>
  <c r="AG260" i="1"/>
  <c r="AE260" i="1"/>
  <c r="AK260" i="1" s="1"/>
  <c r="AD260" i="1"/>
  <c r="AC260" i="1"/>
  <c r="AI260" i="1" s="1"/>
  <c r="AB260" i="1"/>
  <c r="AH259" i="1"/>
  <c r="AG259" i="1"/>
  <c r="AF259" i="1"/>
  <c r="AE259" i="1"/>
  <c r="AK259" i="1" s="1"/>
  <c r="AD259" i="1"/>
  <c r="AC259" i="1"/>
  <c r="AI259" i="1" s="1"/>
  <c r="AB259" i="1"/>
  <c r="AN259" i="1" s="1"/>
  <c r="AF260" i="1"/>
  <c r="L261" i="1"/>
  <c r="M261" i="1"/>
  <c r="L260" i="1"/>
  <c r="L259" i="1"/>
  <c r="AH256" i="1"/>
  <c r="AG256" i="1"/>
  <c r="AM256" i="1" s="1"/>
  <c r="AF256" i="1"/>
  <c r="AL256" i="1" s="1"/>
  <c r="AE256" i="1"/>
  <c r="AK256" i="1" s="1"/>
  <c r="AD256" i="1"/>
  <c r="AC256" i="1"/>
  <c r="AB256" i="1"/>
  <c r="M257" i="1" s="1"/>
  <c r="AH258" i="1"/>
  <c r="AG258" i="1"/>
  <c r="AF258" i="1"/>
  <c r="AE258" i="1"/>
  <c r="AD258" i="1"/>
  <c r="AC258" i="1"/>
  <c r="AB258" i="1"/>
  <c r="AK258" i="1" s="1"/>
  <c r="AH257" i="1"/>
  <c r="AG257" i="1"/>
  <c r="AF257" i="1"/>
  <c r="AE257" i="1"/>
  <c r="AD257" i="1"/>
  <c r="AJ257" i="1" s="1"/>
  <c r="AC257" i="1"/>
  <c r="AB257" i="1"/>
  <c r="AL257" i="1" s="1"/>
  <c r="AI256" i="1"/>
  <c r="L258" i="1"/>
  <c r="L257" i="1"/>
  <c r="L256" i="1"/>
  <c r="M256" i="1"/>
  <c r="AK255" i="1"/>
  <c r="AL255" i="1"/>
  <c r="AH255" i="1"/>
  <c r="AN255" i="1" s="1"/>
  <c r="AG255" i="1"/>
  <c r="AM255" i="1" s="1"/>
  <c r="AF255" i="1"/>
  <c r="AE255" i="1"/>
  <c r="AD255" i="1"/>
  <c r="AJ255" i="1" s="1"/>
  <c r="AC255" i="1"/>
  <c r="AI255" i="1" s="1"/>
  <c r="AB255" i="1"/>
  <c r="L255" i="1"/>
  <c r="M255" i="1"/>
  <c r="AH254" i="1"/>
  <c r="AN254" i="1" s="1"/>
  <c r="AG254" i="1"/>
  <c r="AF254" i="1"/>
  <c r="AL254" i="1" s="1"/>
  <c r="AE254" i="1"/>
  <c r="AK254" i="1" s="1"/>
  <c r="AD254" i="1"/>
  <c r="AC254" i="1"/>
  <c r="AB254" i="1"/>
  <c r="L254" i="1"/>
  <c r="M254" i="1"/>
  <c r="AH253" i="1"/>
  <c r="AG253" i="1"/>
  <c r="AF253" i="1"/>
  <c r="AE253" i="1"/>
  <c r="AD253" i="1"/>
  <c r="AC253" i="1"/>
  <c r="AB253" i="1"/>
  <c r="AK253" i="1"/>
  <c r="AI252" i="1"/>
  <c r="AK252" i="1"/>
  <c r="AH252" i="1"/>
  <c r="AN252" i="1" s="1"/>
  <c r="AG252" i="1"/>
  <c r="AM252" i="1" s="1"/>
  <c r="AF252" i="1"/>
  <c r="AL252" i="1" s="1"/>
  <c r="AE252" i="1"/>
  <c r="AD252" i="1"/>
  <c r="AJ252" i="1" s="1"/>
  <c r="AC252" i="1"/>
  <c r="AB252" i="1"/>
  <c r="M253" i="1" s="1"/>
  <c r="C599" i="4"/>
  <c r="D599" i="4"/>
  <c r="E599" i="4"/>
  <c r="F599" i="4"/>
  <c r="G599" i="4"/>
  <c r="H599" i="4"/>
  <c r="B599" i="4"/>
  <c r="L253" i="1"/>
  <c r="L252" i="1"/>
  <c r="M252" i="1"/>
  <c r="AS251" i="1"/>
  <c r="AI251" i="1"/>
  <c r="AK251" i="1"/>
  <c r="AH251" i="1"/>
  <c r="AN251" i="1" s="1"/>
  <c r="AG251" i="1"/>
  <c r="AM251" i="1" s="1"/>
  <c r="AF251" i="1"/>
  <c r="AL251" i="1" s="1"/>
  <c r="AE251" i="1"/>
  <c r="AD251" i="1"/>
  <c r="AJ251" i="1" s="1"/>
  <c r="AC251" i="1"/>
  <c r="AB251" i="1"/>
  <c r="L251" i="1"/>
  <c r="M251" i="1"/>
  <c r="AH250" i="1"/>
  <c r="AG250" i="1"/>
  <c r="AM250" i="1" s="1"/>
  <c r="AF250" i="1"/>
  <c r="AE250" i="1"/>
  <c r="AK250" i="1" s="1"/>
  <c r="AD250" i="1"/>
  <c r="AC250" i="1"/>
  <c r="AB250" i="1"/>
  <c r="AS250" i="1"/>
  <c r="AJ250" i="1"/>
  <c r="AL250" i="1"/>
  <c r="AN250" i="1"/>
  <c r="AH249" i="1"/>
  <c r="AG249" i="1"/>
  <c r="AF249" i="1"/>
  <c r="AE249" i="1"/>
  <c r="AK249" i="1" s="1"/>
  <c r="AD249" i="1"/>
  <c r="AJ249" i="1" s="1"/>
  <c r="AC249" i="1"/>
  <c r="AB249" i="1"/>
  <c r="AN249" i="1" s="1"/>
  <c r="L250" i="1"/>
  <c r="AH248" i="1"/>
  <c r="AG248" i="1"/>
  <c r="AF248" i="1"/>
  <c r="AE248" i="1"/>
  <c r="AD248" i="1"/>
  <c r="AC248" i="1"/>
  <c r="AB248" i="1"/>
  <c r="AJ248" i="1" s="1"/>
  <c r="L249" i="1"/>
  <c r="L248" i="1"/>
  <c r="M248" i="1"/>
  <c r="AH247" i="1"/>
  <c r="AG247" i="1"/>
  <c r="AF247" i="1"/>
  <c r="AE247" i="1"/>
  <c r="AD247" i="1"/>
  <c r="AC247" i="1"/>
  <c r="AB247" i="1"/>
  <c r="AU247" i="1"/>
  <c r="AD246" i="1"/>
  <c r="L247" i="1"/>
  <c r="M247" i="1"/>
  <c r="AH246" i="1"/>
  <c r="AG246" i="1"/>
  <c r="AF246" i="1"/>
  <c r="AE246" i="1"/>
  <c r="AC246" i="1"/>
  <c r="AB246" i="1"/>
  <c r="AI245" i="1"/>
  <c r="AJ245" i="1"/>
  <c r="AH245" i="1"/>
  <c r="AN245" i="1" s="1"/>
  <c r="AG245" i="1"/>
  <c r="AM245" i="1" s="1"/>
  <c r="AF245" i="1"/>
  <c r="AL245" i="1" s="1"/>
  <c r="AE245" i="1"/>
  <c r="AK245" i="1" s="1"/>
  <c r="AD245" i="1"/>
  <c r="AC245" i="1"/>
  <c r="AB245" i="1"/>
  <c r="M246" i="1" s="1"/>
  <c r="L246" i="1"/>
  <c r="L245" i="1"/>
  <c r="M245" i="1"/>
  <c r="AH244" i="1"/>
  <c r="AG244" i="1"/>
  <c r="AM244" i="1" s="1"/>
  <c r="AF244" i="1"/>
  <c r="AE244" i="1"/>
  <c r="AD244" i="1"/>
  <c r="AC244" i="1"/>
  <c r="AB244" i="1"/>
  <c r="AI304" i="1" l="1"/>
  <c r="AK304" i="1"/>
  <c r="AN304" i="1"/>
  <c r="AJ304" i="1"/>
  <c r="AK303" i="1"/>
  <c r="AI303" i="1"/>
  <c r="AN303" i="1"/>
  <c r="AM303" i="1"/>
  <c r="AL303" i="1"/>
  <c r="AK302" i="1"/>
  <c r="AJ302" i="1"/>
  <c r="M302" i="1"/>
  <c r="AJ301" i="1"/>
  <c r="AI301" i="1"/>
  <c r="AN301" i="1"/>
  <c r="AM301" i="1"/>
  <c r="AI295" i="1"/>
  <c r="AN295" i="1"/>
  <c r="AM295" i="1"/>
  <c r="AK295" i="1"/>
  <c r="AJ295" i="1"/>
  <c r="AM294" i="1"/>
  <c r="AL294" i="1"/>
  <c r="M260" i="1"/>
  <c r="AJ258" i="1"/>
  <c r="AI264" i="1"/>
  <c r="AI273" i="1"/>
  <c r="AJ275" i="1"/>
  <c r="AL279" i="1"/>
  <c r="AM281" i="1"/>
  <c r="AL292" i="1"/>
  <c r="AK291" i="1"/>
  <c r="AJ293" i="1"/>
  <c r="AJ244" i="1"/>
  <c r="AL249" i="1"/>
  <c r="AI253" i="1"/>
  <c r="AN256" i="1"/>
  <c r="AM259" i="1"/>
  <c r="M264" i="1"/>
  <c r="AJ273" i="1"/>
  <c r="M282" i="1"/>
  <c r="M277" i="1"/>
  <c r="AN287" i="1"/>
  <c r="AM249" i="1"/>
  <c r="M259" i="1"/>
  <c r="AK265" i="1"/>
  <c r="AK273" i="1"/>
  <c r="AJ281" i="1"/>
  <c r="AJ291" i="1"/>
  <c r="AM263" i="1"/>
  <c r="AL263" i="1"/>
  <c r="AI249" i="1"/>
  <c r="AN257" i="1"/>
  <c r="AI257" i="1"/>
  <c r="AJ259" i="1"/>
  <c r="AK263" i="1"/>
  <c r="AL285" i="1"/>
  <c r="M270" i="1"/>
  <c r="AK274" i="1"/>
  <c r="AI275" i="1"/>
  <c r="M278" i="1"/>
  <c r="AJ285" i="1"/>
  <c r="AI293" i="1"/>
  <c r="AI244" i="1"/>
  <c r="AK257" i="1"/>
  <c r="AL259" i="1"/>
  <c r="AN268" i="1"/>
  <c r="AL244" i="1"/>
  <c r="M250" i="1"/>
  <c r="AJ278" i="1"/>
  <c r="M284" i="1"/>
  <c r="AM292" i="1"/>
  <c r="AL293" i="1"/>
  <c r="AN293" i="1"/>
  <c r="AM293" i="1"/>
  <c r="AI292" i="1"/>
  <c r="AJ290" i="1"/>
  <c r="AI290" i="1"/>
  <c r="AL291" i="1"/>
  <c r="AK290" i="1"/>
  <c r="AN290" i="1"/>
  <c r="AM290" i="1"/>
  <c r="AL290" i="1"/>
  <c r="AN289" i="1"/>
  <c r="M290" i="1"/>
  <c r="AM289" i="1"/>
  <c r="AK289" i="1"/>
  <c r="AJ289" i="1"/>
  <c r="AN288" i="1"/>
  <c r="AM288" i="1"/>
  <c r="AJ288" i="1"/>
  <c r="AI288" i="1"/>
  <c r="M289" i="1"/>
  <c r="AN286" i="1"/>
  <c r="AM286" i="1"/>
  <c r="AL286" i="1"/>
  <c r="AK286" i="1"/>
  <c r="AJ286" i="1"/>
  <c r="M286" i="1"/>
  <c r="AN285" i="1"/>
  <c r="AM285" i="1"/>
  <c r="AI284" i="1"/>
  <c r="AL284" i="1"/>
  <c r="AN284" i="1"/>
  <c r="AM284" i="1"/>
  <c r="AK284" i="1"/>
  <c r="AN283" i="1"/>
  <c r="AM283" i="1"/>
  <c r="AL283" i="1"/>
  <c r="AK283" i="1"/>
  <c r="AI282" i="1"/>
  <c r="AM282" i="1"/>
  <c r="AL282" i="1"/>
  <c r="AK282" i="1"/>
  <c r="AJ282" i="1"/>
  <c r="AI281" i="1"/>
  <c r="AN281" i="1"/>
  <c r="AL280" i="1"/>
  <c r="AK280" i="1"/>
  <c r="AJ280" i="1"/>
  <c r="AM279" i="1"/>
  <c r="AN279" i="1"/>
  <c r="AK278" i="1"/>
  <c r="AL278" i="1"/>
  <c r="AN277" i="1"/>
  <c r="AM277" i="1"/>
  <c r="AL277" i="1"/>
  <c r="AK277" i="1"/>
  <c r="AL276" i="1"/>
  <c r="AN276" i="1"/>
  <c r="AM276" i="1"/>
  <c r="AN275" i="1"/>
  <c r="AL275" i="1"/>
  <c r="AM275" i="1"/>
  <c r="AK275" i="1"/>
  <c r="M275" i="1"/>
  <c r="AI274" i="1"/>
  <c r="AJ274" i="1"/>
  <c r="AN274" i="1"/>
  <c r="AN273" i="1"/>
  <c r="M274" i="1"/>
  <c r="AM273" i="1"/>
  <c r="AJ272" i="1"/>
  <c r="AN272" i="1"/>
  <c r="M273" i="1"/>
  <c r="AI272" i="1"/>
  <c r="AK272" i="1"/>
  <c r="AM272" i="1"/>
  <c r="AL272" i="1"/>
  <c r="AN270" i="1"/>
  <c r="AM270" i="1"/>
  <c r="AK270" i="1"/>
  <c r="AL270" i="1"/>
  <c r="AI269" i="1"/>
  <c r="AM269" i="1"/>
  <c r="AM268" i="1"/>
  <c r="AL268" i="1"/>
  <c r="M269" i="1"/>
  <c r="AK268" i="1"/>
  <c r="AJ268" i="1"/>
  <c r="AI268" i="1"/>
  <c r="AI267" i="1"/>
  <c r="AJ267" i="1"/>
  <c r="AN267" i="1"/>
  <c r="AL267" i="1"/>
  <c r="AM267" i="1"/>
  <c r="AK267" i="1"/>
  <c r="AN266" i="1"/>
  <c r="AL266" i="1"/>
  <c r="AM266" i="1"/>
  <c r="AK266" i="1"/>
  <c r="AJ266" i="1"/>
  <c r="M267" i="1"/>
  <c r="AJ265" i="1"/>
  <c r="AI265" i="1"/>
  <c r="AM265" i="1"/>
  <c r="AN264" i="1"/>
  <c r="AM264" i="1"/>
  <c r="AL264" i="1"/>
  <c r="AK264" i="1"/>
  <c r="AK262" i="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J243" i="1" s="1"/>
  <c r="AC243" i="1"/>
  <c r="AI243" i="1" s="1"/>
  <c r="AB243" i="1"/>
  <c r="AU243" i="1"/>
  <c r="L243" i="1"/>
  <c r="M243" i="1"/>
  <c r="AI242" i="1"/>
  <c r="AK242" i="1"/>
  <c r="AH242" i="1"/>
  <c r="AN242" i="1" s="1"/>
  <c r="AG242" i="1"/>
  <c r="AM242" i="1" s="1"/>
  <c r="AF242" i="1"/>
  <c r="AL242" i="1" s="1"/>
  <c r="AE242" i="1"/>
  <c r="AD242" i="1"/>
  <c r="AJ242" i="1" s="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AH239" i="1"/>
  <c r="AG239" i="1"/>
  <c r="AE239" i="1"/>
  <c r="AK239" i="1" s="1"/>
  <c r="AF239" i="1"/>
  <c r="AC239" i="1"/>
  <c r="AI239" i="1" s="1"/>
  <c r="AB239" i="1"/>
  <c r="M240" i="1" s="1"/>
  <c r="AD239" i="1"/>
  <c r="AJ239" i="1" s="1"/>
  <c r="L239" i="1"/>
  <c r="M239" i="1"/>
  <c r="AI238" i="1"/>
  <c r="AJ238" i="1"/>
  <c r="AH238" i="1"/>
  <c r="AN238" i="1" s="1"/>
  <c r="AG238" i="1"/>
  <c r="AM238" i="1" s="1"/>
  <c r="AF238" i="1"/>
  <c r="AL238" i="1" s="1"/>
  <c r="AE238" i="1"/>
  <c r="AK238" i="1" s="1"/>
  <c r="AD238" i="1"/>
  <c r="AC238" i="1"/>
  <c r="AB238" i="1"/>
  <c r="L238" i="1"/>
  <c r="M238" i="1"/>
  <c r="AI237" i="1"/>
  <c r="AK237" i="1"/>
  <c r="AH237" i="1"/>
  <c r="AN237" i="1" s="1"/>
  <c r="AG237" i="1"/>
  <c r="AM237" i="1" s="1"/>
  <c r="AF237" i="1"/>
  <c r="AL237" i="1" s="1"/>
  <c r="AE237" i="1"/>
  <c r="AD237" i="1"/>
  <c r="AJ237" i="1" s="1"/>
  <c r="AC237" i="1"/>
  <c r="AB237" i="1"/>
  <c r="L237" i="1"/>
  <c r="M237" i="1"/>
  <c r="AK236" i="1"/>
  <c r="AL236" i="1"/>
  <c r="AH236" i="1"/>
  <c r="AN236" i="1" s="1"/>
  <c r="AG236" i="1"/>
  <c r="AM236" i="1" s="1"/>
  <c r="AF236" i="1"/>
  <c r="AE236" i="1"/>
  <c r="AD236" i="1"/>
  <c r="AJ236" i="1" s="1"/>
  <c r="AC236" i="1"/>
  <c r="AI236" i="1" s="1"/>
  <c r="AB236" i="1"/>
  <c r="L236" i="1"/>
  <c r="M236" i="1"/>
  <c r="AH235" i="1"/>
  <c r="AG235" i="1"/>
  <c r="AF235" i="1"/>
  <c r="AE235" i="1"/>
  <c r="AD235" i="1"/>
  <c r="AJ235" i="1" s="1"/>
  <c r="AC235" i="1"/>
  <c r="AB235" i="1"/>
  <c r="AI235" i="1"/>
  <c r="L235" i="1"/>
  <c r="M235" i="1"/>
  <c r="AH234" i="1"/>
  <c r="AN234" i="1" s="1"/>
  <c r="AG234" i="1"/>
  <c r="AM234" i="1" s="1"/>
  <c r="AF234" i="1"/>
  <c r="AE234" i="1"/>
  <c r="AD234" i="1"/>
  <c r="AC234" i="1"/>
  <c r="AB234" i="1"/>
  <c r="AI234" i="1" s="1"/>
  <c r="AH233" i="1"/>
  <c r="AG233" i="1"/>
  <c r="AF233" i="1"/>
  <c r="AE233" i="1"/>
  <c r="AD233" i="1"/>
  <c r="AC233" i="1"/>
  <c r="AB233" i="1"/>
  <c r="AJ233" i="1" s="1"/>
  <c r="AJ234" i="1"/>
  <c r="AK234" i="1"/>
  <c r="AL234" i="1"/>
  <c r="L234" i="1"/>
  <c r="L233" i="1"/>
  <c r="M233" i="1"/>
  <c r="AH232" i="1"/>
  <c r="AG232" i="1"/>
  <c r="AM232" i="1" s="1"/>
  <c r="AF232" i="1"/>
  <c r="AE232" i="1"/>
  <c r="AD232" i="1"/>
  <c r="AC232" i="1"/>
  <c r="AB232" i="1"/>
  <c r="AI230" i="1"/>
  <c r="AJ230" i="1"/>
  <c r="AL230" i="1"/>
  <c r="AI231" i="1"/>
  <c r="AM231" i="1"/>
  <c r="AN231" i="1"/>
  <c r="L232" i="1"/>
  <c r="M232" i="1"/>
  <c r="AH231" i="1"/>
  <c r="AG231" i="1"/>
  <c r="AF231" i="1"/>
  <c r="AL231" i="1" s="1"/>
  <c r="AE231" i="1"/>
  <c r="AK231" i="1" s="1"/>
  <c r="AD231" i="1"/>
  <c r="AJ231" i="1" s="1"/>
  <c r="AC231" i="1"/>
  <c r="AB231" i="1"/>
  <c r="L231" i="1"/>
  <c r="M231" i="1"/>
  <c r="AH230" i="1"/>
  <c r="AN230" i="1" s="1"/>
  <c r="AG230" i="1"/>
  <c r="AM230" i="1" s="1"/>
  <c r="AF230" i="1"/>
  <c r="AE230" i="1"/>
  <c r="AK230" i="1" s="1"/>
  <c r="AD230" i="1"/>
  <c r="AC230" i="1"/>
  <c r="AB230" i="1"/>
  <c r="L230" i="1"/>
  <c r="M230" i="1"/>
  <c r="AH229" i="1"/>
  <c r="AG229" i="1"/>
  <c r="AM229" i="1" s="1"/>
  <c r="AF229" i="1"/>
  <c r="AL229" i="1" s="1"/>
  <c r="AE229" i="1"/>
  <c r="AD229" i="1"/>
  <c r="AC229" i="1"/>
  <c r="AB229" i="1"/>
  <c r="AJ229" i="1"/>
  <c r="AN229" i="1"/>
  <c r="C555" i="4"/>
  <c r="D555" i="4"/>
  <c r="E555" i="4"/>
  <c r="F555" i="4"/>
  <c r="G555" i="4"/>
  <c r="H555" i="4"/>
  <c r="B555" i="4"/>
  <c r="L229" i="1"/>
  <c r="AH228" i="1"/>
  <c r="AN228" i="1" s="1"/>
  <c r="AG228" i="1"/>
  <c r="AF228" i="1"/>
  <c r="AE228" i="1"/>
  <c r="AD228" i="1"/>
  <c r="AJ228" i="1" s="1"/>
  <c r="AC228" i="1"/>
  <c r="AI228" i="1" s="1"/>
  <c r="AB228" i="1"/>
  <c r="M229" i="1" s="1"/>
  <c r="L228" i="1"/>
  <c r="M228" i="1"/>
  <c r="AH227" i="1"/>
  <c r="AG227" i="1"/>
  <c r="AF227" i="1"/>
  <c r="AE227" i="1"/>
  <c r="AD227" i="1"/>
  <c r="AC227" i="1"/>
  <c r="AB227" i="1"/>
  <c r="M227" i="1"/>
  <c r="L227" i="1"/>
  <c r="AH226" i="1"/>
  <c r="AN226" i="1" s="1"/>
  <c r="AG226" i="1"/>
  <c r="AF226" i="1"/>
  <c r="AE226" i="1"/>
  <c r="AD226" i="1"/>
  <c r="AJ226" i="1" s="1"/>
  <c r="AC226" i="1"/>
  <c r="AI226" i="1" s="1"/>
  <c r="AB226" i="1"/>
  <c r="AK226" i="1" s="1"/>
  <c r="L226" i="1"/>
  <c r="AC221" i="1"/>
  <c r="AH225" i="1"/>
  <c r="AG225" i="1"/>
  <c r="AF225" i="1"/>
  <c r="AE225" i="1"/>
  <c r="AD225" i="1"/>
  <c r="AC225" i="1"/>
  <c r="AB225" i="1"/>
  <c r="AN225" i="1" s="1"/>
  <c r="L225" i="1"/>
  <c r="H551" i="4"/>
  <c r="G551" i="4"/>
  <c r="F551" i="4"/>
  <c r="E551" i="4"/>
  <c r="D551" i="4"/>
  <c r="C551" i="4"/>
  <c r="B551" i="4"/>
  <c r="AN224" i="1"/>
  <c r="AH224" i="1"/>
  <c r="AF224" i="1"/>
  <c r="AG224" i="1"/>
  <c r="AE224" i="1"/>
  <c r="AD224" i="1"/>
  <c r="AJ224" i="1" s="1"/>
  <c r="AC224" i="1"/>
  <c r="AI224" i="1" s="1"/>
  <c r="AB224" i="1"/>
  <c r="M225" i="1" s="1"/>
  <c r="C550" i="4"/>
  <c r="D550" i="4"/>
  <c r="E550" i="4"/>
  <c r="F550" i="4"/>
  <c r="G550" i="4"/>
  <c r="H550" i="4"/>
  <c r="B550" i="4"/>
  <c r="L224" i="1"/>
  <c r="M224" i="1"/>
  <c r="AH223" i="1"/>
  <c r="AG223" i="1"/>
  <c r="AF223" i="1"/>
  <c r="AE223" i="1"/>
  <c r="AD223" i="1"/>
  <c r="AC223" i="1"/>
  <c r="AB223" i="1"/>
  <c r="C545" i="4"/>
  <c r="D545" i="4"/>
  <c r="E545" i="4"/>
  <c r="F545" i="4"/>
  <c r="G545" i="4"/>
  <c r="H545" i="4"/>
  <c r="B545" i="4"/>
  <c r="L223" i="1"/>
  <c r="M223" i="1"/>
  <c r="AH222" i="1"/>
  <c r="AN222" i="1" s="1"/>
  <c r="AG222" i="1"/>
  <c r="AM222" i="1" s="1"/>
  <c r="AF222" i="1"/>
  <c r="AE222" i="1"/>
  <c r="AD222" i="1"/>
  <c r="AJ222" i="1" s="1"/>
  <c r="AC222" i="1"/>
  <c r="AI222" i="1" s="1"/>
  <c r="AB222" i="1"/>
  <c r="AL222" i="1" s="1"/>
  <c r="L222" i="1"/>
  <c r="M222" i="1"/>
  <c r="AI221" i="1"/>
  <c r="AH221" i="1"/>
  <c r="AN221" i="1" s="1"/>
  <c r="AG221" i="1"/>
  <c r="AM221" i="1" s="1"/>
  <c r="AF221" i="1"/>
  <c r="AL221" i="1" s="1"/>
  <c r="AE221" i="1"/>
  <c r="AD221" i="1"/>
  <c r="AJ221" i="1" s="1"/>
  <c r="AB221" i="1"/>
  <c r="AK221" i="1" s="1"/>
  <c r="L221" i="1"/>
  <c r="M221" i="1"/>
  <c r="AI220" i="1"/>
  <c r="AK220" i="1"/>
  <c r="AH220" i="1"/>
  <c r="AN220" i="1" s="1"/>
  <c r="AG220" i="1"/>
  <c r="AM220" i="1" s="1"/>
  <c r="AF220" i="1"/>
  <c r="AL220" i="1" s="1"/>
  <c r="AE220" i="1"/>
  <c r="AD220" i="1"/>
  <c r="AJ220" i="1" s="1"/>
  <c r="AC220" i="1"/>
  <c r="AB220" i="1"/>
  <c r="L220" i="1"/>
  <c r="M220" i="1"/>
  <c r="AH219" i="1"/>
  <c r="AF219" i="1"/>
  <c r="AE219" i="1"/>
  <c r="AD219" i="1"/>
  <c r="AC219" i="1"/>
  <c r="AB219" i="1"/>
  <c r="AG219" i="1"/>
  <c r="AH218" i="1"/>
  <c r="AN218" i="1" s="1"/>
  <c r="AG218" i="1"/>
  <c r="AF218" i="1"/>
  <c r="AE218" i="1"/>
  <c r="AD218" i="1"/>
  <c r="AJ218" i="1" s="1"/>
  <c r="AC218" i="1"/>
  <c r="AI218" i="1" s="1"/>
  <c r="AB218" i="1"/>
  <c r="M219" i="1" s="1"/>
  <c r="L219" i="1"/>
  <c r="L218" i="1"/>
  <c r="AH217" i="1"/>
  <c r="AN217" i="1" s="1"/>
  <c r="AG217" i="1"/>
  <c r="AF217" i="1"/>
  <c r="AE217" i="1"/>
  <c r="AD217" i="1"/>
  <c r="AJ217" i="1" s="1"/>
  <c r="AC217" i="1"/>
  <c r="AI217" i="1" s="1"/>
  <c r="AB217" i="1"/>
  <c r="AL217" i="1" s="1"/>
  <c r="C540" i="4"/>
  <c r="D540" i="4"/>
  <c r="E540" i="4"/>
  <c r="F540" i="4"/>
  <c r="G540" i="4"/>
  <c r="H540" i="4"/>
  <c r="B540" i="4"/>
  <c r="L217" i="1"/>
  <c r="AH216" i="1"/>
  <c r="AG216" i="1"/>
  <c r="AF216" i="1"/>
  <c r="AE216" i="1"/>
  <c r="AD216" i="1"/>
  <c r="AC216" i="1"/>
  <c r="AB216" i="1"/>
  <c r="M217" i="1" s="1"/>
  <c r="AH215" i="1"/>
  <c r="AG215" i="1"/>
  <c r="AF215" i="1"/>
  <c r="AE215" i="1"/>
  <c r="AD215" i="1"/>
  <c r="AC215" i="1"/>
  <c r="AB215" i="1"/>
  <c r="AI215" i="1" s="1"/>
  <c r="L216" i="1"/>
  <c r="AH214" i="1"/>
  <c r="AG214" i="1"/>
  <c r="AF214" i="1"/>
  <c r="AE214" i="1"/>
  <c r="AD214" i="1"/>
  <c r="AC214" i="1"/>
  <c r="AB214" i="1"/>
  <c r="M215" i="1" s="1"/>
  <c r="L215" i="1"/>
  <c r="L214" i="1"/>
  <c r="M214" i="1"/>
  <c r="AK213" i="1"/>
  <c r="AL213" i="1"/>
  <c r="AH213" i="1"/>
  <c r="AN213" i="1" s="1"/>
  <c r="AG213" i="1"/>
  <c r="AM213" i="1" s="1"/>
  <c r="AF213" i="1"/>
  <c r="AE213" i="1"/>
  <c r="AD213" i="1"/>
  <c r="AJ213" i="1" s="1"/>
  <c r="AC213" i="1"/>
  <c r="AI213" i="1" s="1"/>
  <c r="AB213" i="1"/>
  <c r="C525" i="4"/>
  <c r="D525" i="4"/>
  <c r="E525" i="4"/>
  <c r="F525" i="4"/>
  <c r="G525" i="4"/>
  <c r="H525" i="4"/>
  <c r="B525" i="4"/>
  <c r="C524" i="4"/>
  <c r="D524" i="4"/>
  <c r="E524" i="4"/>
  <c r="F524" i="4"/>
  <c r="G524" i="4"/>
  <c r="H524" i="4"/>
  <c r="B524" i="4"/>
  <c r="H523" i="4"/>
  <c r="G523" i="4"/>
  <c r="F523" i="4"/>
  <c r="E523" i="4"/>
  <c r="D523" i="4"/>
  <c r="C523" i="4"/>
  <c r="B523" i="4"/>
  <c r="L213" i="1"/>
  <c r="M213" i="1"/>
  <c r="AH212" i="1"/>
  <c r="AN212" i="1" s="1"/>
  <c r="AG212" i="1"/>
  <c r="AM212" i="1" s="1"/>
  <c r="AF212" i="1"/>
  <c r="AE212" i="1"/>
  <c r="AD212" i="1"/>
  <c r="AJ212" i="1" s="1"/>
  <c r="AC212" i="1"/>
  <c r="AI212" i="1" s="1"/>
  <c r="AB212" i="1"/>
  <c r="AK212" i="1" s="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H210" i="1"/>
  <c r="AN210" i="1" s="1"/>
  <c r="AG210" i="1"/>
  <c r="AM210" i="1" s="1"/>
  <c r="AF210" i="1"/>
  <c r="AL210" i="1" s="1"/>
  <c r="AE210" i="1"/>
  <c r="AK210" i="1" s="1"/>
  <c r="AD210" i="1"/>
  <c r="AC210" i="1"/>
  <c r="AB210" i="1"/>
  <c r="C514" i="4"/>
  <c r="D514" i="4"/>
  <c r="E514" i="4"/>
  <c r="F514" i="4"/>
  <c r="G514" i="4"/>
  <c r="H514" i="4"/>
  <c r="B514" i="4"/>
  <c r="L210" i="1"/>
  <c r="M210" i="1"/>
  <c r="AK209" i="1"/>
  <c r="AL209" i="1"/>
  <c r="AH209" i="1"/>
  <c r="AN209" i="1" s="1"/>
  <c r="AG209" i="1"/>
  <c r="AM209" i="1" s="1"/>
  <c r="AF209" i="1"/>
  <c r="AE209" i="1"/>
  <c r="AD209" i="1"/>
  <c r="AJ209" i="1" s="1"/>
  <c r="AC209" i="1"/>
  <c r="AI209" i="1" s="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AN207" i="1"/>
  <c r="AH207" i="1"/>
  <c r="AG207" i="1"/>
  <c r="AF207" i="1"/>
  <c r="AE207" i="1"/>
  <c r="AD207" i="1"/>
  <c r="AJ207" i="1" s="1"/>
  <c r="AC207" i="1"/>
  <c r="AI207" i="1" s="1"/>
  <c r="AB207" i="1"/>
  <c r="M208" i="1" s="1"/>
  <c r="C507" i="4"/>
  <c r="B507" i="4"/>
  <c r="L207" i="1"/>
  <c r="AH206" i="1"/>
  <c r="AN206" i="1" s="1"/>
  <c r="AG206" i="1"/>
  <c r="AF206" i="1"/>
  <c r="AE206" i="1"/>
  <c r="AD206" i="1"/>
  <c r="AJ206" i="1" s="1"/>
  <c r="AC206" i="1"/>
  <c r="AI206" i="1" s="1"/>
  <c r="AB206" i="1"/>
  <c r="M207" i="1" s="1"/>
  <c r="L206" i="1"/>
  <c r="AN205" i="1"/>
  <c r="AH205" i="1"/>
  <c r="AG205" i="1"/>
  <c r="AF205" i="1"/>
  <c r="AE205" i="1"/>
  <c r="AD205" i="1"/>
  <c r="AJ205" i="1" s="1"/>
  <c r="AC205" i="1"/>
  <c r="AI205" i="1" s="1"/>
  <c r="AB205" i="1"/>
  <c r="AK205" i="1" s="1"/>
  <c r="AM218" i="1" l="1"/>
  <c r="M226" i="1"/>
  <c r="AM207" i="1"/>
  <c r="AL218" i="1"/>
  <c r="AL206" i="1"/>
  <c r="AM224" i="1"/>
  <c r="AL205" i="1"/>
  <c r="AK217" i="1"/>
  <c r="AK218" i="1"/>
  <c r="AL224" i="1"/>
  <c r="AM228" i="1"/>
  <c r="AK207" i="1"/>
  <c r="AJ223" i="1"/>
  <c r="AK224" i="1"/>
  <c r="AL226" i="1"/>
  <c r="AL228" i="1"/>
  <c r="AL212" i="1"/>
  <c r="AN232" i="1"/>
  <c r="M218" i="1"/>
  <c r="AK222" i="1"/>
  <c r="M206" i="1"/>
  <c r="AN214" i="1"/>
  <c r="AN219" i="1"/>
  <c r="AN239" i="1"/>
  <c r="AM206" i="1"/>
  <c r="AM217" i="1"/>
  <c r="AM205" i="1"/>
  <c r="AK206" i="1"/>
  <c r="AL207" i="1"/>
  <c r="AM226" i="1"/>
  <c r="AK228" i="1"/>
  <c r="AM239" i="1"/>
  <c r="AM225" i="1"/>
  <c r="AI229" i="1"/>
  <c r="AK229" i="1"/>
  <c r="AK233" i="1"/>
  <c r="AN243" i="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H204" i="1"/>
  <c r="AN204" i="1" s="1"/>
  <c r="AG204" i="1"/>
  <c r="AM204" i="1" s="1"/>
  <c r="AF204" i="1"/>
  <c r="AL204" i="1" s="1"/>
  <c r="AE204" i="1"/>
  <c r="AD204" i="1"/>
  <c r="AJ204" i="1" s="1"/>
  <c r="AC204" i="1"/>
  <c r="AB204" i="1"/>
  <c r="AK204" i="1" s="1"/>
  <c r="AY204" i="1"/>
  <c r="BG204" i="1"/>
  <c r="L204" i="1"/>
  <c r="AH203" i="1"/>
  <c r="AG203" i="1"/>
  <c r="AF203" i="1"/>
  <c r="AE203" i="1"/>
  <c r="AD203" i="1"/>
  <c r="AC203" i="1"/>
  <c r="AB203" i="1"/>
  <c r="AJ203" i="1" s="1"/>
  <c r="C501" i="4"/>
  <c r="D501" i="4"/>
  <c r="E501" i="4"/>
  <c r="F501" i="4"/>
  <c r="G501" i="4"/>
  <c r="H501" i="4"/>
  <c r="B501" i="4"/>
  <c r="AI202" i="1"/>
  <c r="AJ202" i="1"/>
  <c r="AH202" i="1"/>
  <c r="AN202" i="1" s="1"/>
  <c r="AG202" i="1"/>
  <c r="AM202" i="1" s="1"/>
  <c r="AF202" i="1"/>
  <c r="AL202" i="1" s="1"/>
  <c r="AE202" i="1"/>
  <c r="AK202" i="1" s="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M195" i="1" l="1"/>
  <c r="M204" i="1"/>
  <c r="AI203" i="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L175" i="1" l="1"/>
  <c r="AM186" i="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I99" i="1" l="1"/>
  <c r="AK98" i="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L91" i="1"/>
  <c r="AH90" i="1"/>
  <c r="AG90" i="1"/>
  <c r="AF90" i="1"/>
  <c r="AE90" i="1"/>
  <c r="AD90" i="1"/>
  <c r="AC90" i="1"/>
  <c r="AB90" i="1"/>
  <c r="L90" i="1"/>
  <c r="AH89" i="1"/>
  <c r="AG89" i="1"/>
  <c r="AF89" i="1"/>
  <c r="AE89" i="1"/>
  <c r="AD89" i="1"/>
  <c r="AC89" i="1"/>
  <c r="AB89" i="1"/>
  <c r="M90" i="1" s="1"/>
  <c r="L89" i="1"/>
  <c r="AN91" i="1" l="1"/>
  <c r="AI91" i="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I83" i="1" s="1"/>
  <c r="AB83" i="1"/>
  <c r="M84" i="1" s="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G62" i="1"/>
  <c r="AF62" i="1"/>
  <c r="AL62" i="1" s="1"/>
  <c r="AE62" i="1"/>
  <c r="AK62" i="1" s="1"/>
  <c r="AD62" i="1"/>
  <c r="AC62" i="1"/>
  <c r="AB62" i="1"/>
  <c r="M63" i="1" s="1"/>
  <c r="L62" i="1"/>
  <c r="AH61" i="1"/>
  <c r="AG61" i="1"/>
  <c r="AF61" i="1"/>
  <c r="AL61" i="1" s="1"/>
  <c r="AE61" i="1"/>
  <c r="AD61" i="1"/>
  <c r="AC61" i="1"/>
  <c r="AB61" i="1"/>
  <c r="M62" i="1" s="1"/>
  <c r="L61" i="1"/>
  <c r="AH60" i="1"/>
  <c r="AG60" i="1"/>
  <c r="AF60" i="1"/>
  <c r="AE60" i="1"/>
  <c r="AD60" i="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2" i="1" l="1"/>
  <c r="AN60" i="1"/>
  <c r="AN61" i="1"/>
  <c r="AN62" i="1"/>
  <c r="AJ60" i="1"/>
  <c r="AM60" i="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C56" i="1"/>
  <c r="AB56" i="1"/>
  <c r="AI56" i="1" s="1"/>
  <c r="L56" i="1"/>
  <c r="AH55" i="1"/>
  <c r="AG55" i="1"/>
  <c r="AF55" i="1"/>
  <c r="AE55" i="1"/>
  <c r="AD55" i="1"/>
  <c r="AC55" i="1"/>
  <c r="AB55" i="1"/>
  <c r="M56" i="1" s="1"/>
  <c r="AJ56" i="1" l="1"/>
  <c r="AI55" i="1"/>
  <c r="AL55" i="1"/>
  <c r="AK55" i="1"/>
  <c r="AJ55" i="1"/>
  <c r="AM55" i="1"/>
  <c r="AN55" i="1"/>
  <c r="AL56" i="1"/>
  <c r="M57" i="1"/>
  <c r="AN56" i="1"/>
  <c r="AM56" i="1"/>
  <c r="AK56" i="1"/>
  <c r="L55" i="1"/>
  <c r="BG43" i="1"/>
  <c r="BG54" i="1"/>
  <c r="AH54" i="1"/>
  <c r="AG54" i="1"/>
  <c r="AF54" i="1"/>
  <c r="AE54" i="1"/>
  <c r="AD54" i="1"/>
  <c r="AC54" i="1"/>
  <c r="AB54" i="1"/>
  <c r="AJ54" i="1" s="1"/>
  <c r="C144" i="4"/>
  <c r="D144" i="4"/>
  <c r="E144" i="4"/>
  <c r="F144" i="4"/>
  <c r="G144" i="4"/>
  <c r="H144" i="4"/>
  <c r="B144" i="4"/>
  <c r="AH53" i="1"/>
  <c r="AN53" i="1" s="1"/>
  <c r="AG53" i="1"/>
  <c r="AF53" i="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L53" i="1" l="1"/>
  <c r="AI52" i="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M30" i="1" s="1"/>
  <c r="AB28" i="1"/>
  <c r="M29" i="1" s="1"/>
  <c r="AB27" i="1"/>
  <c r="C90" i="4"/>
  <c r="D90" i="4"/>
  <c r="E90" i="4"/>
  <c r="F90" i="4"/>
  <c r="G90" i="4"/>
  <c r="H90" i="4"/>
  <c r="B90" i="4"/>
  <c r="L30" i="1"/>
  <c r="L29" i="1"/>
  <c r="AG29" i="1"/>
  <c r="AF29" i="1"/>
  <c r="AE29" i="1"/>
  <c r="AD29" i="1"/>
  <c r="AJ29" i="1" s="1"/>
  <c r="AC29" i="1"/>
  <c r="AG28" i="1"/>
  <c r="AF28" i="1"/>
  <c r="AE28" i="1"/>
  <c r="AD28" i="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J28" i="1" l="1"/>
  <c r="AK28" i="1"/>
  <c r="AL24" i="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<sst xmlns="http://schemas.openxmlformats.org/spreadsheetml/2006/main" count="5524" uniqueCount="1510">
  <si>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</si>
  <si>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</si>
  <si>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</si>
  <si>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</si>
  <si>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</si>
  <si>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</si>
  <si>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</si>
  <si>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</si>
  <si>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</si>
  <si>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</si>
  <si>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</si>
  <si>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</si>
  <si>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</si>
  <si>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</si>
  <si>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</si>
  <si>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</si>
  <si>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</si>
  <si>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</si>
  <si>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</si>
  <si>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</si>
  <si>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</si>
  <si>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</si>
  <si>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</si>
  <si>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</si>
  <si>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</si>
  <si>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</si>
  <si>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</si>
  <si>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</si>
  <si>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</si>
  <si>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</si>
  <si>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</si>
  <si>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</si>
  <si>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</si>
  <si>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</si>
  <si>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</si>
  <si>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</si>
  <si>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</si>
  <si>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</si>
  <si>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</si>
  <si>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</si>
  <si>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</si>
  <si>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</si>
  <si>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</si>
  <si>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</si>
  <si>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</si>
  <si>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</si>
  <si>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</si>
  <si>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</si>
  <si>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</si>
  <si>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</si>
  <si>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</si>
  <si>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</si>
  <si>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</si>
  <si>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</si>
  <si>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</si>
  <si>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</si>
  <si>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</si>
  <si>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</si>
  <si>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</si>
  <si>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</si>
  <si>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</si>
  <si>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</si>
  <si>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</si>
  <si>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</si>
  <si>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</si>
  <si>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</si>
  <si>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</si>
  <si>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</si>
  <si>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</si>
  <si>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</si>
  <si>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</si>
  <si>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</si>
  <si>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</si>
  <si>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</si>
  <si>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</si>
  <si>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</si>
  <si>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</si>
  <si>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</si>
  <si>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</si>
  <si>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</si>
  <si>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</si>
  <si>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</si>
  <si>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</si>
  <si>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</si>
  <si>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</si>
  <si>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</si>
  <si>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</si>
  <si>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</si>
  <si>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</si>
  <si>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</si>
  <si>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</si>
  <si>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</si>
  <si>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</si>
  <si>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</si>
  <si>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</si>
  <si>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</si>
  <si>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</si>
  <si>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</si>
  <si>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</si>
  <si>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</si>
  <si>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</si>
  <si>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</si>
  <si>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</si>
  <si>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</si>
  <si>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</si>
  <si>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</si>
  <si>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</si>
  <si>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</si>
  <si>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</si>
  <si>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</si>
  <si>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</si>
  <si>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</si>
  <si>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</si>
  <si>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</si>
  <si>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</si>
  <si>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</si>
  <si>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</si>
  <si>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</si>
  <si>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</si>
  <si>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</si>
  <si>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</si>
  <si>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</si>
  <si>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</si>
  <si>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</si>
  <si>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</si>
  <si>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</si>
  <si>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</si>
  <si>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</si>
  <si>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</si>
  <si>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</si>
  <si>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</si>
  <si>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</si>
  <si>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</si>
  <si>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</si>
  <si>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</si>
  <si>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</si>
  <si>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</si>
  <si>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</si>
  <si>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</si>
  <si>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</si>
  <si>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</si>
  <si>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</si>
  <si>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</si>
  <si>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</si>
  <si>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</si>
  <si>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</si>
  <si>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</si>
  <si>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</si>
  <si>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</si>
  <si>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</si>
  <si>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</si>
  <si>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</si>
  <si>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</si>
  <si>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</si>
  <si>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</si>
  <si>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</si>
  <si>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</si>
  <si>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</si>
  <si>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</si>
  <si>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</si>
  <si>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</si>
  <si>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</si>
  <si>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</si>
  <si>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</si>
  <si>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</si>
  <si>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</si>
  <si>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</si>
  <si>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</si>
  <si>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</si>
  <si>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</si>
  <si>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</si>
  <si>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</si>
  <si>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</si>
  <si>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</si>
  <si>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</si>
  <si>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</si>
  <si>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</si>
  <si>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</si>
  <si>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</si>
  <si>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</si>
  <si>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</si>
  <si>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</si>
  <si>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</si>
  <si>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</si>
  <si>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</si>
  <si>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</si>
  <si>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</si>
  <si>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</si>
  <si>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</si>
  <si>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</si>
  <si>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</si>
  <si>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</si>
  <si>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</si>
  <si>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</si>
  <si>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</si>
  <si>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</si>
  <si>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</si>
  <si>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</si>
  <si>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</si>
  <si>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</si>
  <si>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</si>
  <si>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</si>
  <si>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</si>
  <si>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</si>
  <si>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</si>
  <si>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</si>
  <si>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</si>
  <si>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</si>
  <si>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</si>
  <si>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</si>
  <si>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</si>
  <si>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</si>
  <si>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</si>
  <si>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</si>
  <si>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</si>
  <si>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</si>
  <si>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</si>
  <si>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</si>
  <si>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</si>
  <si>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</si>
  <si>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</si>
  <si>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</si>
  <si>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</si>
  <si>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</si>
  <si>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</si>
  <si>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</si>
  <si>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</si>
  <si>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</si>
  <si>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</si>
  <si>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</si>
  <si>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</si>
  <si>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</si>
  <si>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</si>
  <si>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</si>
  <si>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</si>
  <si>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</si>
  <si>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</si>
  <si>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</si>
  <si>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</si>
  <si>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</si>
  <si>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</si>
  <si>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</si>
  <si>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</si>
  <si>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</si>
  <si>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</si>
  <si>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</si>
  <si>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</si>
  <si>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</si>
  <si>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</si>
  <si>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</si>
  <si>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</si>
  <si>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</si>
  <si>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</si>
  <si>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</si>
  <si>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</si>
  <si>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</si>
  <si>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</si>
  <si>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</si>
  <si>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</si>
  <si>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</si>
  <si>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</si>
  <si>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</si>
  <si>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</si>
  <si>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</si>
  <si>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</si>
  <si>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</si>
  <si>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</si>
  <si>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</si>
  <si>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</si>
  <si>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</si>
  <si>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</si>
  <si>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</si>
  <si>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</si>
  <si>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</si>
  <si>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</si>
  <si>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</si>
  <si>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</si>
  <si>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</si>
  <si>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</si>
  <si>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</si>
  <si>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</si>
  <si>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</si>
  <si>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</si>
  <si>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</si>
  <si>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</si>
  <si>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</si>
  <si>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</si>
  <si>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</si>
  <si>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</si>
  <si>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</si>
  <si>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</si>
  <si>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</si>
  <si>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</si>
  <si>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</si>
  <si>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</si>
  <si>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</si>
  <si>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</si>
  <si>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</si>
  <si>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</si>
  <si>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</si>
  <si>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</si>
  <si>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</si>
  <si>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</si>
  <si>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</si>
  <si>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</si>
  <si>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</si>
  <si>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</si>
  <si>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</si>
  <si>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</si>
  <si>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</si>
  <si>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</si>
  <si>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</si>
  <si>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</si>
  <si>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</si>
  <si>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</si>
  <si>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</si>
  <si>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</si>
  <si>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</si>
  <si>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</si>
  <si>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</si>
  <si>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</si>
  <si>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</si>
  <si>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</si>
  <si>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</si>
  <si>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</si>
  <si>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</si>
  <si>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</si>
  <si>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</si>
  <si>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</si>
  <si>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</si>
  <si>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</si>
  <si>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</si>
  <si>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</si>
  <si>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</si>
  <si>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</si>
  <si>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</si>
  <si>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</si>
  <si>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</si>
  <si>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</si>
  <si>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</si>
  <si>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</si>
  <si>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</si>
  <si>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</si>
  <si>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</si>
  <si>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</si>
  <si>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</si>
  <si>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</si>
  <si>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</si>
  <si>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</si>
  <si>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</si>
  <si>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</si>
  <si>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</si>
  <si>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</si>
  <si>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</si>
  <si>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</si>
  <si>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</si>
  <si>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</si>
  <si>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</si>
  <si>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</si>
  <si>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</si>
  <si>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</si>
  <si>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</si>
  <si>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</si>
  <si>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</si>
  <si>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</si>
  <si>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</si>
  <si>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</si>
  <si>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</si>
  <si>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</si>
  <si>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</si>
  <si>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</si>
  <si>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</si>
  <si>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</si>
  <si>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</si>
  <si>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</si>
  <si>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</si>
  <si>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</si>
  <si>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</si>
  <si>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</si>
  <si>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</si>
  <si>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</si>
  <si>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</si>
  <si>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</si>
  <si>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</si>
  <si>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</si>
  <si>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</si>
  <si>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</si>
  <si>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</si>
  <si>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</si>
  <si>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</si>
  <si>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</si>
  <si>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</si>
  <si>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</si>
  <si>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</si>
  <si>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</si>
  <si>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</si>
  <si>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</si>
  <si>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</si>
  <si>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</si>
  <si>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</si>
  <si>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</si>
  <si>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</si>
  <si>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</si>
  <si>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</si>
  <si>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</si>
  <si>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</si>
  <si>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</si>
  <si>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</si>
  <si>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</si>
  <si>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</si>
  <si>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</si>
  <si>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</si>
  <si>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</si>
  <si>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</si>
  <si>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</si>
  <si>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</si>
  <si>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</si>
  <si>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</si>
  <si>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</si>
  <si>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</si>
  <si>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</si>
  <si>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</si>
  <si>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</si>
  <si>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</si>
  <si>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</si>
  <si>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</si>
  <si>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</si>
  <si>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</si>
  <si>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</si>
  <si>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</si>
  <si>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</si>
  <si>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</si>
  <si>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</si>
  <si>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</si>
  <si>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</si>
  <si>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</si>
  <si>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</si>
  <si>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</si>
  <si>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</si>
  <si>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</si>
  <si>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</si>
  <si>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</si>
  <si>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</si>
  <si>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</si>
  <si>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</si>
  <si>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</si>
  <si>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</si>
  <si>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</si>
  <si>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</si>
  <si>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</si>
  <si>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</si>
  <si>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</si>
  <si>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</si>
  <si>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</si>
  <si>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</si>
  <si>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</si>
  <si>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</si>
  <si>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</si>
  <si>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</si>
  <si>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</si>
  <si>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</si>
  <si>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</si>
  <si>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</si>
  <si>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</si>
  <si>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</si>
  <si>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</si>
  <si>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</si>
  <si>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</si>
  <si>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</si>
  <si>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</si>
  <si>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</si>
  <si>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</si>
  <si>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</si>
  <si>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</si>
  <si>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</si>
  <si>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</si>
  <si>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</si>
  <si>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</si>
  <si>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</si>
  <si>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</si>
  <si>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</si>
  <si>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</si>
  <si>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</si>
  <si>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</si>
  <si>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</si>
  <si>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</si>
  <si>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</si>
  <si>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</si>
  <si>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</si>
  <si>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</si>
  <si>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</si>
  <si>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</si>
  <si>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</si>
  <si>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</si>
  <si>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</si>
  <si>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</si>
  <si>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</si>
  <si>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</si>
  <si>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</si>
  <si>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</si>
  <si>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</si>
  <si>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</si>
  <si>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</si>
  <si>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</si>
  <si>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</si>
  <si>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</si>
  <si>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</si>
  <si>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</si>
  <si>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</si>
  <si>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</si>
  <si>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</si>
  <si>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</si>
  <si>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</si>
  <si>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</si>
  <si>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</si>
  <si>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</si>
  <si>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</si>
  <si>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</si>
  <si>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</si>
  <si>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</si>
  <si>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</si>
  <si>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</si>
  <si>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</si>
  <si>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</si>
  <si>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</si>
  <si>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</si>
  <si>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</si>
  <si>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</si>
  <si>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</si>
  <si>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</si>
  <si>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</si>
  <si>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</si>
  <si>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</si>
  <si>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</si>
  <si>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</si>
  <si>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</si>
  <si>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</si>
  <si>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</si>
  <si>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</si>
  <si>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</si>
  <si>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</si>
  <si>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</si>
  <si>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</si>
  <si>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</si>
  <si>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</si>
  <si>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</si>
  <si>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</si>
  <si>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</si>
  <si>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</si>
  <si>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</si>
  <si>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</si>
  <si>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</si>
  <si>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</si>
  <si>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</si>
  <si>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</si>
  <si>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</si>
  <si>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</si>
  <si>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</si>
  <si>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</si>
  <si>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</si>
  <si>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</si>
  <si>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</si>
  <si>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</si>
  <si>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</si>
  <si>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</si>
  <si>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</si>
  <si>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</si>
  <si>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</si>
  <si>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</si>
  <si>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</si>
  <si>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</si>
  <si>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</si>
  <si>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</si>
  <si>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</si>
  <si>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</si>
  <si>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</si>
  <si>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</si>
  <si>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</si>
  <si>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</si>
  <si>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</si>
  <si>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</si>
  <si>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</si>
  <si>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</si>
  <si>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</si>
  <si>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</si>
  <si>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</si>
  <si>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</si>
  <si>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</si>
  <si>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</si>
  <si>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</si>
  <si>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</si>
  <si>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</si>
  <si>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</si>
  <si>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</si>
  <si>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</si>
  <si>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</si>
  <si>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</si>
  <si>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</si>
  <si>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</si>
  <si>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</si>
  <si>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</si>
  <si>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</si>
  <si>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</si>
  <si>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</si>
  <si>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</si>
  <si>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</si>
  <si>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</si>
  <si>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</si>
  <si>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</si>
  <si>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</si>
  <si>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</si>
  <si>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</si>
  <si>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</si>
  <si>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</si>
  <si>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</si>
  <si>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</si>
  <si>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</si>
  <si>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</si>
  <si>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</si>
  <si>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</si>
  <si>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</si>
  <si>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</si>
  <si>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</si>
  <si>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</si>
  <si>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</si>
  <si>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</si>
  <si>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</si>
  <si>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</si>
  <si>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</si>
  <si>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</si>
  <si>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</si>
  <si>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</si>
  <si>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</si>
  <si>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</si>
  <si>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</si>
  <si>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</si>
  <si>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</si>
  <si>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</si>
  <si>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</si>
  <si>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</si>
  <si>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</si>
  <si>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</si>
  <si>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</si>
  <si>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</si>
  <si>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</si>
  <si>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</si>
  <si>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</si>
  <si>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</si>
  <si>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</si>
  <si>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</si>
  <si>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</si>
  <si>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</si>
  <si>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</si>
  <si>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</si>
  <si>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</si>
  <si>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</si>
  <si>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</si>
  <si>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</si>
  <si>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</si>
  <si>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</si>
  <si>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</si>
  <si>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</si>
  <si>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</si>
  <si>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</si>
  <si>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</si>
  <si>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</si>
  <si>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</si>
  <si>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</si>
  <si>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</si>
  <si>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</si>
  <si>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</si>
  <si>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</si>
  <si>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</si>
  <si>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</si>
  <si>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</si>
  <si>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</si>
  <si>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</si>
  <si>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</si>
  <si>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</si>
  <si>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</si>
  <si>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</si>
  <si>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</si>
  <si>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</si>
  <si>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</si>
  <si>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</si>
  <si>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</si>
  <si>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</si>
  <si>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</si>
  <si>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</si>
  <si>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</si>
  <si>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</si>
  <si>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</si>
  <si>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</si>
  <si>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</si>
  <si>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</si>
  <si>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</si>
  <si>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</si>
  <si>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</si>
  <si>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</si>
  <si>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</si>
  <si>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</si>
  <si>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</si>
  <si>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</si>
  <si>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</si>
  <si>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</si>
  <si>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</si>
  <si>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</si>
  <si>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</si>
  <si>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</si>
  <si>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</si>
  <si>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</si>
  <si>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</si>
  <si>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</si>
  <si>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</si>
  <si>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</si>
  <si>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</si>
  <si>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</si>
  <si>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</si>
  <si>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</si>
  <si>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</si>
  <si>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</si>
  <si>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</si>
  <si>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</si>
  <si>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</si>
  <si>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</si>
  <si>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</si>
  <si>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</si>
  <si>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</si>
  <si>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</si>
  <si>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</si>
  <si>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</si>
  <si>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</si>
  <si>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</si>
  <si>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</si>
  <si>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</si>
  <si>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</si>
  <si>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</si>
  <si>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</si>
  <si>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</si>
  <si>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</si>
  <si>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</si>
  <si>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</si>
  <si>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</si>
  <si>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</si>
  <si>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</si>
  <si>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</si>
  <si>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</si>
  <si>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</si>
  <si>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</si>
  <si>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</si>
  <si>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</si>
  <si>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</si>
  <si>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</si>
  <si>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</si>
  <si>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</si>
  <si>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</si>
  <si>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</si>
  <si>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</si>
  <si>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</si>
  <si>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</si>
  <si>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</si>
  <si>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</si>
  <si>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</si>
  <si>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</si>
  <si>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</si>
  <si>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</si>
  <si>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</si>
  <si>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</si>
  <si>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</si>
  <si>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</si>
  <si>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</si>
  <si>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</si>
  <si>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</si>
  <si>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</si>
  <si>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</si>
  <si>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</si>
  <si>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</si>
  <si>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</si>
  <si>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</si>
  <si>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</si>
  <si>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</si>
  <si>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</si>
  <si>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</si>
  <si>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</si>
  <si>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</si>
  <si>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</si>
  <si>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</si>
  <si>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</si>
  <si>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</si>
  <si>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</si>
  <si>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</si>
  <si>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</si>
  <si>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</si>
  <si>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</si>
  <si>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</si>
  <si>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</si>
  <si>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</si>
  <si>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</si>
  <si>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</si>
  <si>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</si>
  <si>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</si>
  <si>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</si>
  <si>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</si>
  <si>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</si>
  <si>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</si>
  <si>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</si>
  <si>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</si>
  <si>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</si>
  <si>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</si>
  <si>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</si>
  <si>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</si>
  <si>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</si>
  <si>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</si>
  <si>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</si>
  <si>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</si>
  <si>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</si>
  <si>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</si>
  <si>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</si>
  <si>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</si>
  <si>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</si>
  <si>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</si>
  <si>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</si>
  <si>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</si>
  <si>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</si>
  <si>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</si>
  <si>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</si>
  <si>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</si>
  <si>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</si>
  <si>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</si>
  <si>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</si>
  <si>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</si>
  <si>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</si>
  <si>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</si>
  <si>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</si>
  <si>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</si>
  <si>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</si>
  <si>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</si>
  <si>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</si>
  <si>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</si>
  <si>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</si>
  <si>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</si>
  <si>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</si>
  <si>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</si>
  <si>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</si>
  <si>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</si>
  <si>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</si>
  <si>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</si>
  <si>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</si>
  <si>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</si>
  <si>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</si>
  <si>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</si>
  <si>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</si>
  <si>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</si>
  <si>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</si>
  <si>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</si>
  <si>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</si>
  <si>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</si>
  <si>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</si>
  <si>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</si>
  <si>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</si>
  <si>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</si>
  <si>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</si>
  <si>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</si>
  <si>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</si>
  <si>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</si>
  <si>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</si>
  <si>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</si>
  <si>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</si>
  <si>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</si>
  <si>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</si>
  <si>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</si>
  <si>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</si>
  <si>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</si>
  <si>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</si>
  <si>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</si>
  <si>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</si>
  <si>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</si>
  <si>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</si>
  <si>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</si>
  <si>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</si>
  <si>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</si>
  <si>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</si>
  <si>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</si>
  <si>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</si>
  <si>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</si>
  <si>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</si>
  <si>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</si>
  <si>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</si>
  <si>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</si>
  <si>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</si>
  <si>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</si>
  <si>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</si>
  <si>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</si>
  <si>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</si>
  <si>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</si>
  <si>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</si>
  <si>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</si>
  <si>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</si>
  <si>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</si>
  <si>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</si>
  <si>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</si>
  <si>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</si>
  <si>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</si>
  <si>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</si>
  <si>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</si>
  <si>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</si>
  <si>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</si>
  <si>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</si>
  <si>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</si>
  <si>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</si>
  <si>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</si>
  <si>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</si>
  <si>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</si>
  <si>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</si>
  <si>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</si>
  <si>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</si>
  <si>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</si>
  <si>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</si>
  <si>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</si>
  <si>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</si>
  <si>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</si>
  <si>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</si>
  <si>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</si>
  <si>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</si>
  <si>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</si>
  <si>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</si>
  <si>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</si>
  <si>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</si>
  <si>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</si>
  <si>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</si>
  <si>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</si>
  <si>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</si>
  <si>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</si>
  <si>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</si>
  <si>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</si>
  <si>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</si>
  <si>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</si>
  <si>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</si>
  <si>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</si>
  <si>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</si>
  <si>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</si>
  <si>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</si>
  <si>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</si>
  <si>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</si>
  <si>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</si>
  <si>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</si>
  <si>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</si>
  <si>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</si>
  <si>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</si>
  <si>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</si>
  <si>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</si>
  <si>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</si>
  <si>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</si>
  <si>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</si>
  <si>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</si>
  <si>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</si>
  <si>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</si>
  <si>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</si>
  <si>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</si>
  <si>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</si>
  <si>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</si>
  <si>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</si>
  <si>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</si>
  <si>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</si>
  <si>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</si>
  <si>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</si>
  <si>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</si>
  <si>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</si>
  <si>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</si>
  <si>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</si>
  <si>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</si>
  <si>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</si>
  <si>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</si>
  <si>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</si>
  <si>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</si>
  <si>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</si>
  <si>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</si>
  <si>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</si>
  <si>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</si>
  <si>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</si>
  <si>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</si>
  <si>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</si>
  <si>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</si>
  <si>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</si>
  <si>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</si>
  <si>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</si>
  <si>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</si>
  <si>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</si>
  <si>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</si>
  <si>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</si>
  <si>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</si>
  <si>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</si>
  <si>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</si>
  <si>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</si>
  <si>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</si>
  <si>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</si>
  <si>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</si>
  <si>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</si>
  <si>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</si>
  <si>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</si>
  <si>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</si>
  <si>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</si>
  <si>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</si>
  <si>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</si>
  <si>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</si>
  <si>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</si>
  <si>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</si>
  <si>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</si>
  <si>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</si>
  <si>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</si>
  <si>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</si>
  <si>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</si>
  <si>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</si>
  <si>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</si>
  <si>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</si>
  <si>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</si>
  <si>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</si>
  <si>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</si>
  <si>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</si>
  <si>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</si>
  <si>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</si>
  <si>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</si>
  <si>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</si>
  <si>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</si>
  <si>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</si>
  <si>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</si>
  <si>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</si>
  <si>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</si>
  <si>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</si>
  <si>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</si>
  <si>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</si>
  <si>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</si>
  <si>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</si>
  <si>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</si>
  <si>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</si>
  <si>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</si>
  <si>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</si>
  <si>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</si>
  <si>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</si>
  <si>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</si>
  <si>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</si>
  <si>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</si>
  <si>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</si>
  <si>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</si>
  <si>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</si>
  <si>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</si>
  <si>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</si>
  <si>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</si>
  <si>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</si>
  <si>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</si>
  <si>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</si>
  <si>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</si>
  <si>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</si>
  <si>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</si>
  <si>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</si>
  <si>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</si>
  <si>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</si>
  <si>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</si>
  <si>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</si>
  <si>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</si>
  <si>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</si>
  <si>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</si>
  <si>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</si>
  <si>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</si>
  <si>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</si>
  <si>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</si>
  <si>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</si>
  <si>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</si>
  <si>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</si>
  <si>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</si>
  <si>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</si>
  <si>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</si>
  <si>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</si>
  <si>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</si>
  <si>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</si>
  <si>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</si>
  <si>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</si>
  <si>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</si>
  <si>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</si>
  <si>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</si>
  <si>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</si>
  <si>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</si>
  <si>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</si>
  <si>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</si>
  <si>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</si>
  <si>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</si>
  <si>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</si>
  <si>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</si>
  <si>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</si>
  <si>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</si>
  <si>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</si>
  <si>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</si>
  <si>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</si>
  <si>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</si>
  <si>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</si>
  <si>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</si>
  <si>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</si>
  <si>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</si>
  <si>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</si>
  <si>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</si>
  <si>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</si>
  <si>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</si>
  <si>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</si>
  <si>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</si>
  <si>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</si>
  <si>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</si>
  <si>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</si>
  <si>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</si>
  <si>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</si>
  <si>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</si>
  <si>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</si>
  <si>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</si>
  <si>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</si>
  <si>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</si>
  <si>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</si>
  <si>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</si>
  <si>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</si>
  <si>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</si>
  <si>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</si>
  <si>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</si>
  <si>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</si>
  <si>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</si>
  <si>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</si>
  <si>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</si>
  <si>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</si>
  <si>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</si>
  <si>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</si>
  <si>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</si>
  <si>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</si>
  <si>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</si>
  <si>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</si>
  <si>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</si>
  <si>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</si>
  <si>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</si>
  <si>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</si>
  <si>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</si>
  <si>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</si>
  <si>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</si>
  <si>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</si>
  <si>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</si>
  <si>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</si>
  <si>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</si>
  <si>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</si>
  <si>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</si>
  <si>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</si>
  <si>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</si>
  <si>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</si>
  <si>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</si>
  <si>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</si>
  <si>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</si>
  <si>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</si>
  <si>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</si>
  <si>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</si>
  <si>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</si>
  <si>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</si>
  <si>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</si>
  <si>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</si>
  <si>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</si>
  <si>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</si>
  <si>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</si>
  <si>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</si>
  <si>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</si>
  <si>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</si>
  <si>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</si>
  <si>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</si>
  <si>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</si>
  <si>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</si>
  <si>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</si>
  <si>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</si>
  <si>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</si>
  <si>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</si>
  <si>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</si>
  <si>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</si>
  <si>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</si>
  <si>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</si>
  <si>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</si>
  <si>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</si>
  <si>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</si>
  <si>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</si>
  <si>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</si>
  <si>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</si>
  <si>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</si>
  <si>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</si>
  <si>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</si>
  <si>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</si>
  <si>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</si>
  <si>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</si>
  <si>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</si>
  <si>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</si>
  <si>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</si>
  <si>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</si>
  <si>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</si>
  <si>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</si>
  <si>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</si>
  <si>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</si>
  <si>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</si>
  <si>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</si>
  <si>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</si>
  <si>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</si>
  <si>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</si>
  <si>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</si>
  <si>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</si>
  <si>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</si>
  <si>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</si>
  <si>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</si>
  <si>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</si>
  <si>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</si>
  <si>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</si>
  <si>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</si>
  <si>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</si>
  <si>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</si>
  <si>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</si>
  <si>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</si>
  <si>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</si>
  <si>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</si>
  <si>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</si>
  <si>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</si>
  <si>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</si>
  <si>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</si>
  <si>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</si>
  <si>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</si>
  <si>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</si>
  <si>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</si>
  <si>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</si>
  <si>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</si>
  <si>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</si>
  <si>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</si>
  <si>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</si>
  <si>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</si>
  <si>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</si>
  <si>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</si>
  <si>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</si>
  <si>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</si>
  <si>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</si>
  <si>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</si>
  <si>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</si>
  <si>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</si>
  <si>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</si>
  <si>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</si>
  <si>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</si>
  <si>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</si>
  <si>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</si>
  <si>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</si>
  <si>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</si>
  <si>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</si>
  <si>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</si>
  <si>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</si>
  <si>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</si>
  <si>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</si>
  <si>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</si>
  <si>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</si>
  <si>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</si>
  <si>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</si>
  <si>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</si>
  <si>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</si>
  <si>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</si>
  <si>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</si>
  <si>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</si>
  <si>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</si>
  <si>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</si>
  <si>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</si>
  <si>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</si>
  <si>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</si>
  <si>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</si>
  <si>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</si>
  <si>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</si>
  <si>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</si>
  <si>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</si>
  <si>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</si>
  <si>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</si>
  <si>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</si>
  <si>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</si>
  <si>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</si>
  <si>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</si>
  <si>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</si>
  <si>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</si>
  <si>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</si>
  <si>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</si>
  <si>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</si>
  <si>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</si>
  <si>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</si>
  <si>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</si>
  <si>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</si>
  <si>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</si>
  <si>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</si>
  <si>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</si>
  <si>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</si>
  <si>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</si>
  <si>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</si>
  <si>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</si>
  <si>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</si>
  <si>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</si>
  <si>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</si>
  <si>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</si>
  <si>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</si>
  <si>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</si>
  <si>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</si>
  <si>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</si>
  <si>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</si>
  <si>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</si>
  <si>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</si>
  <si>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</si>
  <si>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</si>
  <si>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</si>
  <si>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</si>
  <si>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</si>
  <si>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</si>
  <si>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</si>
  <si>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</si>
  <si>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</si>
  <si>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</si>
  <si>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</si>
  <si>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</si>
  <si>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</si>
  <si>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</si>
  <si>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</si>
  <si>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</si>
  <si>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</si>
  <si>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</si>
  <si>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</si>
  <si>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</si>
  <si>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</si>
  <si>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</si>
  <si>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</si>
  <si>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</si>
  <si>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</si>
  <si>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</si>
  <si>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</si>
  <si>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</si>
  <si>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</si>
  <si>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</si>
  <si>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</si>
  <si>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</si>
  <si>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</si>
  <si>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</si>
  <si>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</si>
  <si>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</si>
  <si>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</si>
  <si>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</si>
  <si>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</si>
  <si>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</si>
  <si>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</si>
  <si>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</si>
  <si>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</si>
  <si>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</si>
  <si>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</si>
  <si>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</si>
  <si>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</si>
  <si>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</si>
  <si>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</si>
  <si>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</si>
  <si>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</si>
  <si>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</si>
  <si>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</si>
  <si>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</si>
  <si>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</si>
  <si>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</si>
  <si>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</si>
  <si>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</si>
  <si>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</si>
  <si>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</si>
  <si>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</si>
  <si>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</si>
  <si>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</si>
  <si>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</si>
  <si>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</si>
  <si>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sweet earth package plant based meat, 4 servings/package, 1 serving</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</si>
  <si>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Went to work and was doing ok, but crying in session quietly while clients passed out. Then it came and went, just thinking of Mom, I need that to happen, its a normal process to mourn. Told my boss by text at lunch time and she asked if I wanted to go home to mourn, I told her I was fine, and she said if I did I could. I took too much time off, spent money a lot on trip to visit Mom and have no time really for side biz clients other than one here or there that i already know and the time spent is worth it. So I need to work. For lunch I had a couple pita breads and a side of feta zesty cheese and hummus from Hummus republic. Then at home, studied but had a drink just bc its a habit now. I don't really care to drop. But I do get tired the more days in a row I drink. Studying and everything else is fine, just like drinking tons of coffee to be alert. Alcohol at night, up to 3 drinks to flush free radicals or unwind, or bc I can and motivation being old conservative self-proclaimed saints or poster child examples to their people on a good woman of God doesn't drink at all. I have no idea. Probably just bc I can so I will. And I cannot drink too much or else I get sick, so there is a limit. Its worked into being a human being and biology. After work had a bagel in airfryer with the italian blend cheese and did some FABS flash card studying with the helpful Discord SCUHS cohort fall 2021 site additions added by classmates. They are very helpful. It is somewhat like facebook with the memes and posts on the course. I also started the CTAP studying, Went to bed at 930 approximately after setting alarm for 4 am to get up, but it didn't go off and I got up at 5 am instead.  I also talked to the girls and Mo who called me to check on me and said they worried about me being alone, but I am fine, and I called Becky and she told them to call me to check on me, she has her uncle Jim there helping her out. She is going to take her Mom and Dad's dog Cody who is about 14-16 years old with her to Chicago. I had a couple drinks by that time and 6 drinks of coffee. Was going to work out but was tired at 6 pm and studied instead making flashcards so I didn't have to be 100% alert studying but just rewriting. Actually for dinner, I did make that sweet earth and sweet peppers in airfryer and had 1/6 of that on my bagel with italian blend cheese plain. Was good. Also the 2nd drink was a straight vodka kettle one not with ice bc I had a kaleidoscope RHS vision migraine that didn't disappear right after drinking the shot but about 20 minutes later it was gone and I didn't feel any HA pain. Maybe they are related. Who knows? This is why I want to be a doctor and make educated assumptions. With research. I got that on my toolbelt with data science MS degree. I would just like to mention, this sweet, cute little Filipina couple have been going there for months, she was my last client yesterday and her first child about 7 months pregnant, and I was thinking ok, like I just lost my mom and she died too early, and this girl had in vitro and had the option of picking a boy or girl but let her female doctor decide which embryo to implant in her, and she doesn't even know until November. So I was like, ok Mom needs to live out her years and restart life, so I was like massaging her and mixing that with the story of what my client from calvary chapel said about Moses and how he was put in the NIle but his sister and brother followed him and knew exactly who he was but didn't say anything, so I was just like, ok, well Mom here you go , there is your vessel, better jump on this one, a healthy baby, might not be a girl, but Filipino and doing well in finances and relationship, probably no fighting and a good way to restart your life, so lets see if we can put you on this fetus, bc its a fetus after 8 weeks and she is 7 months. Not a crime, and so its just a mental game with an entertaining way of letting the 90 minute prenatal go by. We will check up on her time to time to see how she is doing but Mom would make a great functional personality for her, believes with her heart and trusts God, who wouldn't want her as a child? Just thought I would put that out there, otherwise she is a saint. </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</si>
  <si>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zesty feta cheese 1/2 cup
(179	14.5	10.2	9.7	10.8	0	759)
hummus 1/4 cup
(108.75	5.28	0.70	3.00	12.38	2.45	148.75)
2 pita breads
(330.00	1.40	0.20	11.00	66.80	2.60	644.00)
=290+90+290+90+127+7+179+109+330
=4+6+4+6+7+0+15+5+1
=1+4+1+4+4+0+10+1+0
=9+7+9+7+11+0+10+3+11
=53+2+53+2+5+2+11+12+67
=2+0+2+0+1+0+0+2+3
=410+210+410+210+207+1+759+149+644
</t>
  </si>
  <si>
    <t xml:space="preserve">pec major bench press inclined 65 lbs
triceps chair dip body weight
deltoids 5 lb discs -3 lb
stretched and also did 15 minutes of cardio kickboxing with 5 3-minte rounds and 30 second breaks
</t>
  </si>
  <si>
    <t>Woke up at 5 am instead of 4 am bc my alarm didn't go off and was tired. I wasn't feeling good either, I had a sm reg BM after 1st cup of coffee then after the next 2 cups of coffee not diarhea but every BM felt like lower abdomen pain like the type from diarhea or a lot of gas. Not watery or gassy though. So had 3 BMs. And had 4 cups of coffee by 830 am and studied the CTAP quiz 2 and the FABS1 material on shoulder muscles and vertebral atypical and typical segments and connective tissue. Had the 5 the cup of coffee by break time after the quiz in FABS at 10 and the 6th cup of coffee by quiz 2 in CTAP at 130 pm. I was tired after quiz, and studied but was too tired to study or memorize too much but did use the study guide and got a 7/10. He raised the last quiz 1 in CTAP that I got 6/10 to 7/10 and this one I got 7/10 and studied the study guide. Trick questions with none and all available in multiple choice and thought to pick only one I knew. Didn't check to see which ones I missed, but did write the questions down this time as he dismissed about 90% of the class in the process that it took me to show my green screen after writing all choices to study later or compare. Took a shower before FABS around 915 am and put on the waist trimmer and compression socks, did the courses and after my CTAP at 3 pm I took my waist measurements, thats after breakfast and lunch. Had multivitamins 3 with breakfast the bagel and italian cheese and put extra italian cheese on my airfryed warmed up sweet earth burger with peppers and the everything bagel. I wore my waist trimmer about 6 hours at that time. No nap, shook it off after chomping a cup of ice and worked out at 3 pm. The sky looked cloudy and like it would rain and maybe storm, but didn't rain by the time I got out of the gym an hour later. Just wanted to do a quick cardio and arm workout. Only did 5 3-minute cardio kickboxing rounds with bench press on inclined bench 65 lbs and deltoids with disks 5 lbs and chair dips for triceps, then stretched more, bc I stretched after 15 min cardio. Left for home. Its like Mom's death makes the world sad, and it should, bc she was a great person and offered love and friendship to anybody who talked to her. She was a loving and helpful person by nature. She is greatly missed by all who knew her. Not an enemy in the world. I would have liked her to live out her days on Earth and get better, but it was a gamble on her getting pushed out of sedation and having a heart attack and she wasn't getting better with her Heart Rate up to 200 beats per minute. She can always piggy back on me to enjoy life on Earth. I don't care. I'll be her vessel or space ship. She is awesome and my life is boring. WE didn't interact that much, but she is so sweet and wanted and enjoyed nice things in life but would give up anything for anybody she loved. Who doesn't want nice things in life. She had to live in an RV park the last 5 years of her life due to Dave's choices as she was a homemaker, but they lived very well for about 10-12 years after he got out of the military and did networking IT work until real estate bubble burst and he lost his job and had trouble making the bills, lost his house right when Becky went to college, thankfully she could live there while graduating high school. In my mind, she is a saint, and a perfect example of the woman she thinks God wants the world to have according to her faith and she didn't like anybody disrespecting her or trying to make her feel stupid or look stupid. But what person does? She deserved respect, kept up the house, cleaned people's messes, always made sure people in the house were fed and not hungry. Prayed for people when she found out that they were facing a difficult life event or might face one due to the way they handle reactions to life encounters. I will obviously never admit myself to a hospital after seeing the lousy job the hospital staff did with her, especially bc of the medicines she was on to counteract affects of other medicines on that led to her death. She could have waited out the virus effects at home and been alive for what I believe. It was the meds she was on and her lousy inexperienced medical staff or non-compassionate at the least that led to her death. They shouldn't be taking care of people if they don't know what evidence based research is used to make people survive their unexpected health conditions. They just go with the flow and wait for the patients admitted to die knowing that there is a likelihood of underlying conditions being acceptable for a patient to die. If they don't do their research and keep up to date on treatments that are successful they shouldn't treat people at all. Because they add to the death statistics from the virus. The Tomball REgional Medical center is a lousy hospital, inexperienced, non-compassionate staff, unable to take criticism, and more that would describe how they are. Their death records must be astronomical for the number of patients admitted with underlying conditions if you were to compare their death rates per class of disease to a research center focused on using only best outcome treatments. Do not ever go to a hospital where the reviews alone are all 1 star. They are lousy, and you must not like your loved one to put them in this type of hospital better labeled a hospice than a hospital where sickness is expected to be treated and lead to survival and livelihood. Poor Mom paid the price with her life and they sedated her the whole time I was there and my sisters without letting us see her. They should go bankrupt and all their bills for accounts receivable unpaid and leave their staff with that on their resume for having experience at a 1 star hospital when applying to other health professions and hospitals with much better survival outcomes. My dog, Mr. Growly, outsurvived his heart condition of heart disease on medication past the time given of a couple months just by staying home and having his medicine. People shouldn't be put in open rooms dying and passed out on sedation where the staff and any visitors can walk by and see them, there was no privacy there, only one person could visit at a time, and the doctors couldn't be called on at any time as they were too busy doing rounds, or were they? What the hell is so important for them in a room with 13 beds. She was ICU bed 13. I saw her toilet like a little toddlers toilet out in the open, every glass wall room of each patient had those little bitch ass nurses looking at them. They were dehumanized and couldn't welcome in healing energy or love, they were left to die much like prisoners. That needs to change. They should get treatment at home or at least have some fucking privacy. They cannot heal if they feel depressed and compounded stress and depression from not getting to receive love from their loved ones unless during visiting hours and one at a time. Fuck that hospital. Jack needs to die with a bow and arrow through his neck, and a couple of those young saucy little nurses the same. I don't care who does it, they suck, they can also wait until the job they do provides the guilt they will be feeling later in life and just kill themselves with a belt and suffocate or take too many zanax like my aunt Pam always tries to do and says its bc she remembers her abuse when she was a toddler or youngster. I think as a nurse and being Texan they have a lot of entitled feelings to take things into their own hands and offer punishment to their 'abusers' or people who don't respect them in some form even if just offering their different view and they like to see punishment and people beg for mercy. Much like being paddled, switched, and basically punished as a child, it is conditioned into them and they would kill someone to punish them much like the LIfetime movie of the bus driver who kidnapped a few girls over 10 years and killed a puppy he just gifted to the first victim bc she tried to runaway, he made sure she saw the puppy she loved and he broke his neck in front of her. I think some of these Texan staff do things much like that if they don't like the family. Their pride outweighs their duties as a human being. I grew up there and know. So convince me otherwise, but the nurse Jack that didn't give me updates on MOm's health over the phone and after flying in. I told him I didn't want him taking care of her bc she got sick after he started watching her, he made a comment to a nurse to make her laugh, I asked what he said, he said I need to leave or else security would escort me out. Then I posted about him on Google or the first available where all were 1 star ratings, I gave 3 stars but mentioned his name and his unethical treatment of family and making fun of them and kicking them out for no real reason. I went in there and while looking at my mom those little bitch young nurses kept staring me down the whole time through the glass, then the next day, keep in mind Jack was there the whole time and didn't say shit to leave, but he walked really close to me when disinfecting after getting out her room. She was there a month and her condition is from Covid residual as she is no longer contagious but they do that to be cautious bc its caused by COVID, and he probably put something dirty from an infected room on me, or shit or piss from another patient. Who knows but he didn't say shit to me but invaded my personal space like he planned to put something deadly or infectious on me. He needs to die, and definitely does not and should not be caring for people who are dying. He is a loser, scumbag, piece of shit and he will meet his maker and the ones to deliver him to his maker for the countless murders he must have done via public disease. I would gladly do it, but I don't and cannot own weapons and it is illegal to murder someone or lynch them as described for not having a jury of 12 or a judge go through the evidence in court and come up to a decision of guilty or not and face a punishment. Any how, just wanted to make a not of that and where I stand on hospitals and how my mom met her untimely death in the hands of incompetent health care providers. I don't think I ate that much today, just the same thing I had yesterday a 1/6 sweet earth and peppers burger on everything bagel with 2x the italian blend cheese and for breakfast regular amount of italian blend cheese on an everything bagel. No longer tired. Bout to have that 2nd drink while continually updating this db from yesterday, and it hasn't rained yet at 5:15 pm. BTW my aunt Pam has been a nurse, LVN, in TX small town and big ones like Dallas and Houston for decades. Nice lady, very religious driven by her church schedule and church folks and prayer. I might not have mentioned that. Finished the prerecorded LEs and notes written and on ppt slides by 915 pm. About 2 hours that took more like 3.5 hours to write notes along with the video on respiration and the pleura cavities and organs involved.</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</si>
  <si>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m&amp;m mini
(65.00	2.50	1.50	0.50	9.50	0.50	10.00)
3 snickers mini
(130	6	2.5	2	17	1	65)
2 milky way minis
(37.50	1.50	0.88	0.25	6.00	0.00	12.50)
3 musketeers mini
(26.00	0.70	0.40	0.20	4.60	0.00	11.00)
2 twix mini
(100.00	4.67	2.67	0.67	13.33	0.00	40.00)
rest of sweet earth meat 2/3 package
(285.00	16.50	9.00	24.00	10.50	1.50	465.00)
1/4 orange/yellow pepper
(6.75	0.00	0.00	0.25	1.50	0.25	0.50)
serving of tortilla chips
(140	7	5	2	18	2	90)
1/4 cup italian blend Stater Bros brand
(90	6	3.5	7	2	0	210)
=290+90+290+90+127+7+65+130+38+26+100+285+7+140+90
=4+6+4+6+7+0+3+6+2+1+5+17+0+7+6
=1+4+1+4+4+0+2+3+1+0+3+9+0+5+4
=9+7+9+7+11+0+1+2+0+1+24+0+2+7
=53+2+53+2+5+2+10+17+6+5+13+11+2+18+2
=2+0+2+0+1+0+1+1+0+0+0+2+0+2+0
=410+210+410+210+207+1+10+65+13+11+40+465+1+90+210
</t>
  </si>
  <si>
    <t xml:space="preserve">Woke up before 5 am and saw that it was almost 5 am and got out of bed, did the dishes that were there from last night and cleaned some pet messes, made my 1st cup of coffee, fed kitty outside, it was wet outside but not raining. Last night I saw a couple flashes of lightning light up the sky before bed time around 930 pm. Gave Growly his meds by giving all babies icecream and their cat food. I still feel like Meow meow is still here but she is at the girls and loving it. The kitten outside goes in the tent set up for the gym we never use and stays warm that way, but would love it if she would start using that $100+ cat house I got her. Too many other options outside for her to choose that one. Decided to start writing the flashcards for CP1 from lab manual and decided to look at videos after going to Stater Bros around 730 am to get bagels and water. Had a bagel, DK brand cinnamon raisin with italian cheese on it then vitamins about 15 minutes afterwards as I forgot to take them with the bagel. I had 3 cups coffee at that time. My notecards from first lab manual CP1 series was missing information and saw that LE3 recording had the information, and did some drawing to illustrate on the flexion and extension and also included drawings of important bony landmarks on Sacrum/ilium/ischium. It was 915 am when I took measurements, after 3 cups coffee and breakfast of the bagel. Got to take a shower and then join the 10 am-12 pm GA1 class. We have a lab and no preclass quiz due today, but is due tomorrow before 9am. I watched the videos already last night and took notes. But the quizzes don't open until about 5-6 pm the day before its due. Hopefully, I don't forget like I did a few weeks ago. Had a BM after 2nd cup of coffee, regular around 630 am when the roommate got home. Measurements taken a few hours later. </t>
  </si>
  <si>
    <t>Woke up at 530 am by alarm, did regular routine, have class at 8 am. Had breakfast a bagel with 3rd cup coffee, had a reg BM after 2nd cup coffee. Measurements after showering and 4th cup of coffee and wearing waist trimmer an hour. They are smaller than normal. 5th cup coffee by 1130 am and 6th cup by arriving at school at around 12 pm. Had 7th after 7 pm and couldn't sleep later after the day progressed. Had an impossible burger on a bb bagel before 10 am around 9 am, It was cloudy weather all day supposed to rain Friday and my car is a mess after the last rain and I washed my car a day or two before it rained and lightning stormed that night. Had an alcoholic drink at 645 after arriving home in a little more than normal side street traffic. Had 6 fruit snacks, 3 purple and 3 blue welchs fruitfuls, and 2 impossible patties, 2 cinn bagels and 2 bb bagels by end of day. Had my multitamins with first bagel all daves killer or dk brand. Also, had a half a bag of popcorn late into the evening of studying. Tried the discord study session hosted by Kelley but seemed like a lot of trash talking and nothing really done for first 25 minutes, then when it started it was loud and went by fast to work on study guides so I quietly logged off and didn't care if they noticed. I couldn't stay on that channel with stress building and not getting an actually session of studying or sharing, but just blurting out responses by people who answered their study guides. So I studied until 1130 pm filling out the study guides and outline the instructor provided in GA1 from 730 to 1020 then the rest of FABS on biomechanics of SIJ and went to bed but couldn't sleep, that 7th cup of coffee had me lying in bed, plus one of the little bastards, Goody, peed on the cover and pillow I just washed, had to put a new one down. Couldn't sleep practically all night, got out of bed at 115 am and had that 4th bagel one of the cinn dk brand with a slice of the roommate's American cheese, some of his mozz and parmesan from the bottle in airfryer. Studied FABS and GA1 on thoracic cage and SIJ until 315 am and did the laundry that remained from earlier before 1st bed time, Kept the personal laundry in the basket unfolded and not put away. I also found out how low my pay check was only working one weekend before taking off for TX to see my Mom on her death bed basically, bc she later died in it. Not a good check at all. Went to bed and might have gotten some sleep, don't feel out of it, and didn't earlier either, but am sure it will hit me later, and I have to drive to campus early as soon as the course lets out for the open lab. Probably got 2.5 hours of sleep. Woke up by alarm at 530 but got out of bed around 555 am.</t>
  </si>
  <si>
    <t>12 oz watermelon redbull</t>
  </si>
  <si>
    <t xml:space="preserve">2 cinn bagel dk brand
(540	6	0	24	102	6	800)
1/2 italian cheese
(180	12	7	14	4	0	420)
3 bb bagel
(780	7.5	0	33	144	9	1140)
4 welch's fruit snax
(360	0	60	4	84	52	60)
impossible patty
(240.00	14.00	8.00	19.00	9.00	3.00	370.00)
5 pickles G&amp;G brand
(0	0	0	0	0	0	260)
1 tbs mustard
(0.00	0.00	0.00	0.00	0.00	0.00	55.00)
=540+180+780+360+240+0+0
=6+12+8+0+14+0+0
=0+7+0+60+8+0+0
=24+14+33+4+19+0+0
=102+4+144+84+9+0+0
=6+0+9+52+3+0+0
=800+420+1140+60+370+260+55
</t>
  </si>
  <si>
    <t xml:space="preserve">2 bb bagel
(520.00	5.00	0.00	22.00	96.00	6.00	760.00)
impossible patty
(240.00	14.00	8.00	19.00	9.00	3.00	370.00)
6 fruit snax welchs
(480.00	0.00	0.00	6.00	114.00	0.00	120.00)
cinn bagel
(270	3	0	12	51	3	400)
american cheese slice
(70	5	3	4	1	0	250)
mozz shred cheese 1/4 cup
(80	5	3.5	6	2	0	190)
2 tbs parmesan from bottle
(20	1.5	1	2	0	0	100)
=520+240+480+270+70+80+20
=5+14+0+3+5+5+2
=0+8+0+0+3+4+1
=22+19+6+12+4+6+2
=96+9+114+51+1+2+0
=6+3+0+3+0+0+0
=760+370+120+400+250+190+100
</t>
  </si>
  <si>
    <t>3 mozzarella cheese sticks calorieking.com</t>
  </si>
  <si>
    <t xml:space="preserve">Woke up at 530 am by alarm, about 2 hours sleep, studying and that 7th cup coffee yesterday killed any sleep for me, got out of bed at 6 am roughly. Did normal routine, didn't study, need to shower, bc have open lab later and won't have time once classes start to shower. I did fucking fabulous or da bomb on my quizzes though. The FABS1 one got me but I drew a schematic on scratch paper and was all good. pulled out my ass bc I did it only for me that I didn't understand nutation and needed to. So my notes after spending 3 hours on GA1 studying where I also did fucking great 14/15 and 7/8 on FABS1 btw, so this is my understanding and bc not entirely in my thought process might forget much like transcription and translation in the cell except for the simple Sherlock Holmes fact that c comes before l in transcription and translation from a video on the amoeba sisters from genetics and/or biology. So this is the thing and my understanding, nutation is extension of the SIJ joint and the PSIS and base of the sacrum or sacral base move in the same inferior position in reference to where they start (along a circle) but different on posterior or anterior as the PSIS moves posterior inferior while the sacral base moves anterior forward, and the right and left leg move in simultaneous or different or opposite directions. A few of his questions threw me off bc they were designed like a CP1 question 'to think' by saying a person's left hip is flexed in walking and this person's right or opposite hip has an SIJ that is in nutation or counter nutation or with a sacral base or PSIS that is moving superior or inferior and anterior or posterior. But also that the nutation is also affected when the trunk extension and flexion is involved, where the opposite in quick thought occurs. Where the trunk extends and the sacral base is in nutation, and the trunk flexes and the sacrum is in counter nutation. See how easily it is to get confused, and I was at first, took a good minute and needed all the time to write down those 8 questions to study. I am already not certain. Alls I know is this: one leg moves in flexion/extension and other hip is other way, and that hip is nutation or counternutation where base of sacrum and PSIS move same inferior or superior direction but different posterior or anterior direction, the  trunk flexed is when the belly button pulled in or spine is forward so spinous processes can be palpated, rather than what a layman would think that flexing the trunk when sitting is to stick your but out and make low back concave. That schematic of simple notes I had as a 'take away' from the ppt slides on biomechanics of the sacraliliac joint were literally the only thing I thought I would absolutely need to know indefinitely and forever as a chiropractor, that and the force and ligaments and tendons and muscles and landmarks on sacrum that were not tested at all. What a gamble that paid off for me, as the members of my group did terrible on it. Also, I didn't feel tired all day until the end of DR. Bui's LE from FABS1 and felt like a normal day. I introduced an energy drink I bought a month ago at the end of September or about 2-3 weeks ago in the fridge as my 6th cup of coffee after campus CP1 course, as weather has been cloudy and drowsy. I did get tired on drive back. Thankfully I was able to manage the drive after only 2- 2.5 hours of sleep. And do great on exams. I also saw a buddhist or dahli lama type driving that sucked at it and didn't know how to change lanes safely and kept tapping her breaks in front of me right near my exit to get home. This could be that the whole chiropractic program is starting to feel more like getting a black belt in karate, as the help in open lab told me to close my eyes and feel the flutter of the SIJ on my thumb when using the prone SIJ palpation series in extension of SIJ. I need to study for. I called Becky on way home from campus around 310 pm and she told me how she is doing and getting Mom ready for funeral services in IL Bolingbrook but only had the embalming and shipping of her Monday and has yet to arrange the funeral proceedings in Bolingbrook at the Church of st francis or something like that and that she is saving us one her shirts and picking out jewelry and has a photo of Mom wearing the jade earrings I got her last year. I love Mom and it is nice to know she wore those earrings and enjoyed them. I really do think she is God's baby girl and deserved a good life or a great one for her sacrifice and hard working attitude in taking care of her household. She was a great Mom, and person. Many people loved her. Not many genuinely nice and caring people like her left in the world and it would make God's people cry and make the sky rain and lightning and thunder for losing such a valuable contribution to God's race and his people and sharing love among human beings that are more selfish and childish is some demographics than others. I loved her and am glad I was able to give her some jewelry that she appreciated. I knew my mom was into jewelry and it makes me happy to know she didn't just throw it into a drawer to never be worn or ask for the gift receipt to return it and get something else but remember me and that one and all her daughters love her and want good things for her and a good life.  She is missed and will be in a good life wherever she is if reincarnated into a better life to experience the full love and attention of a mother as her own mother had 7 boys and 7 girls and she had to drop school to help raise her siblings by the time she got to middle school. But always encouraged us to go to school and get as much education as possible and be patient and watch our tempers and not to cuss, and other stuff that isn't right for this generation. But meant from a place of love for us and wanting her children to have a better life than her. I love her and miss her and know she didn't deserve the end result of Covid, but is in a better place wherever it is. We are all guests on this planet and don't get to choose when we leave it. It just happens. Thats part of life. I know damn sure I am not going to die in a hospital. Fuck that! I drank a drink when I got back from campus and had another with the same set of ice cubes from the two ice cube trays. AT this point was within 1 hour from 410 pm to 510 pm, considering a 3rd drink. Also had a small but not tiny BM for 2nd BM today around 5 pm. After those 2 drinks. Kettle one citrus. Over ice. Bed time around 1030 pm. About 5 1/2 hours sleep. Studied flashcards for CP1 lab procedures 3x each series item. Prone SIJ and seated SIJ series. </t>
  </si>
  <si>
    <t xml:space="preserve">5 3 minute rounds cardio kickboxing, then did some cardio calistenics of body weight squats and one legged squats mixed with cardio kickboxing 1 minute and ground and pound 80-120 lb bag 1 minute with 30 seconds squats and 15 seconds each leg one legged squats. Total body workout of cardio 8 3-minute rounds for 24 minutes cardio. But before this also did some light exercises, normal weight
inner thighs 50lb
outer thighs 50 lb
quad seated extension machine 50 lb
hamstring curls seated 50 lbs
</t>
  </si>
  <si>
    <t>bench press 55lb (-10 lb)
biceps barbell instead of dumbbells 30 lbs
triceps pull down machine same weight with 1 bar
obliques twists cable machine same weight on 10.? same
obliques lifts 35 lbs each side with 35 lb disk wt
rhomboids upper trapezius back row machine 50 lb same wt
lattisimus dorsi pull down machine 70 lb same wt
hamstring curls 50 lbs same wt
no cardio at all only 30 minute workout</t>
  </si>
  <si>
    <t xml:space="preserve">Woke up at 4 am by alarm and studied the CP1 flashcards some more on prone and seated SIJ series. Did the normal routine, had a BM after 2nd cup of coffee, then had a nap at 630 am for 15 minutes, then pizza 2 slices from left over pizza from yesterday in airfryer with 3 multivitamins as normally done with breakfast. Also it had 2 tbs parmesan from the packets the FUze pizza gave delivery guy. The roommate said it stank when air fryed but doesn't and he must not like the smell of the parmesan bc he eats the same veggies on his pizza but added meat. I gave him half my bread sticks and cheese sticks last night and by the mid afternoon before leaving for work and my 30 minute gym workout with weights only had eaten all the pizza. It was good. I took the red onions off all of it. I had a meeting with the academic counselor at 930 am after the quiz in CP1 that I did ok on with 8/10 answered correctly. We didn't have LE after so I went to the store and bought groceries on my credit card. Super broke bc not taking side clients, only working weekends but only 6 hours less hours per week as my weekends added 5 hours but missed a whole weekend with trip to TX to visit Mom they robbed me of talking to sedated and coherent. But at least I saw her and she heard me. I love her and Becky is making her funeral arrangements and asked about the jewely the jade jewelry I have been gifting her on Christmas and her birthday if I wanted it, but I said it doesn't matter to me, and was glad Mom wore the jewelry like the jade earrings she is in a photo from the VFW events she went to wearing them. I love her so much and will think about her from time to time. But even though she didn't raise me and it wasn't by choice, they had a terrible divorce 30 years ago my dad and her and he took us to his grandparents to raise us who we hated being with from their discipline of belt and switches for negligible household crimes or rules broken. I remember she visited us once in the late 80s and I was sad when she left as a child down that street and yelled for her and called her name. She could hear it I thought and knew I wanted her. But also, I think this connection exists between us as on this plane of life or dimension, as when I went to work the first day back super tired and thought to myself knowing Mo was driving back from TX with the girls that she was probably driving all the way through even though she is smarter than that and there was a storm. And sure enough, she was, she texted me the next day or that day and that was exactly why she drove straight through I found out but the text was about them wanting Meow meow back so the girls could take care of her, a week before Mom was let off life support and after I texted them how she nudged my leg hard with her head smelling my clothes and them and that she missed them. I feel that connection on this dimension, and when Mom officially died and left this Earth I really felt like she was gone or not hear to communicate with. I know she was a great person and had some things twisted in terms of good fortune and her up bringing but was a great Catholic woman and of God and worshipped and loved all things she was supposed to as a Christian and Catholic. It really felt like a pit in my soul or being and gave me that empty feeling like I wouldn't be able to think about her and know she was fine any more or doing well or just living or happy as she could be. I think it hurt the most because she was so childish in her views and easily manipulated by her tv programming and stories she heard from ignorant friends that are Fox News viewers and Republicans in this time at the VFW in TX. Child like and innocent to die without even having her own marriage license or ability to work outside the home or drive anywhere for the last 5 years. She didn't get to live. Period. She was just existing and would have fun and socialize with her VFW friends of Dave. He turned out to be a good, loving husband, he was just absent minded and kept his illnesses from Mom so she wouldn't worry bc her heart and diabetes made her sick if she found out any information that could impact her loved ones or her lives. She would immediately pull out the rosaries and light the candles and pray and if she needed more insight would do that at the Church all day like she did after the real estate bubble burst and the impacts of that national event came to fruition with Dave being found to have lived off his company credit card he didn't work for anymore by a few years. He was arrested and held in jail for a week and made things right afterwards that paid for the money he spent on the card and lawyers and taxes he didn't pay for a few years while pulling money from wherever he could to keep the house they were in long enough for his only daughter Becky to graduate high school in and send her off to college. They made good, and from there decided not to be stressed with house bills and just invest in an RV, travel and settle at a cheap RV park the last 5-6 years of their life and he did the BBQ competiitions in TX and visited the VFW as he spent his early post High School years in the Marines and was in the foreign war of 1991 gulf war or  whatever they called it. Anyhow updating this db as I am drinking and its my first and only drink over ice. I have to get up early to get Growly's meds before my 8 hour massage day. Measurements taken late in afternoon and after the 6 am BM, about 7 slices of pizza, 2 servings of cheetos and working out with weights for 30 minutes at the gym. and before leaving for work, immediately before work. At work just snacks of about 3 servings cheetos and 6 fruit snacks of 3 welchs and 3 motts from arrival to 30 minute break time. Got home around 1030 pm and fed cat outside not kitten bc kitten gets many servings of cat food is still super skinny, but a sweetheart friendly, and leaves her food untouched by the 3rd can or 4th one. The outdoor cat wasn't in view when I actually came back from inside after seeing her under the roommate's truck when pulling in. I am super broke and will have to pay my van payment late this month due to not having the funds, and not for forgetting like last month. There is only a mark if it is 30 days past due, and it won't come to that. I do have midterms after this week and am in 5 courses, and won't be able to take extra clients or any clients and have to consider missing weekend work for Mom's Chicago funeral in later October fastly approaching. So I don't miss school. She Becky said the 20th which is on a Wed and would be after midterms I think or during the week of, and I wouldn't have to miss a weekend, but its not certain as she only made embalming and shipment arrangements and hadn't contacted the Church of St. Francis in Bolingbrook to book the funeral. Becky is appearing very strong and put together but I know she is aching inside and she plans to marry this Argentinian guy Marciano in a month and has to get all her documents and go through a whole process for him to work here. He is an engineer. She really likes him. At least she has her uncles who love her as their own sister or daughter and us to help her and was an only child and has many friends and the gift of gab and socializing and a great job at Blue Shield Blue Cross as an analyst to pay for this. She wants to sell all of Mom and Dave's things like the 8k BBQ grill, their RV and their truck to pull the RV that isn't working. Bed time by 12 am. It is 1131 am right now. Had a couple naps in the day at 630 am for 15 minutes before breakfast and after my BM for day and at 1215 pm for 30 minutes before CTAP1 class. We got out early from CTAP1 by about 30 minutes and was able to workout earlier and feed babies and order Growly's meds to pick up in the am. </t>
  </si>
  <si>
    <t>5at</t>
  </si>
  <si>
    <t>Woke up at 530 AM, did normal routine of feeding babies, cleaning pet messes, feeding kitten outside and giving Growly his meds, he was on last water pill called lasix or furosemide, I already made plans last night with the vet to pick up the meds in the 7 am time before getting to work by 8 am, not much sleep as Saturday I normally have to leave ready by 720 am which means getting up at 530 am and I work until 10 pm the night before on Friday plus the time to get home and get ready for bed, no BM all day, bc had to leave early to get Growlys meds he had used last of his water pill and needed it. I got it before work when they opened plus a few minutes to wait at 7 am. Need to call a few days ahead next time to have them approve the next prescription refill. Only had 4 cups of coffee all day and didn't take multivitamins forgot them when I forgot my bagels in airfryer to take them with on the way to get Growly's meds. Had cheetos and fruit snacks for breakfast and lunch. After work got Brooke and Bailey gift cards at Macy's and me a funeral dress for Mom and a cute Guess cashmere short suit that is odd but girly cute. Found Mom's funeral earlier when reading Becky's text. Its midterm week on a wed which means no work missed but do have to ask permission from Dean to miss that day and my professors and fillout a form and buy tickets. Also, when dropping off gift cards picked up meow meow and her kitty litter unaware that was what they wanted until I got there. The door to her hidden cabinet kitty litter was broke so have to use it without the top grommet. Later on in the evening made the last beyond package with the last sweet bell peppers, small yellow and red no oil as none there but cooked on low instead of med heat for 20-25 minutes without burning it. Had a serving with tortilla chips before bed. And started the draw it to know it in CTAP once situated at home around 7 pm. Its lengthy and didn't finish it. Saved some for the morning. Bed time by 9:30 am.</t>
  </si>
  <si>
    <t>Woke up before alarm at 530 am got out of bed after about 7.5-8 hours of sleep. Had 2 BMs after 1st cup coffee and after 2nd cup of coffee. Did normal routine of Growly's meds, cleaning pet messes, and feeding the kitten outside and babies inside. Finished the Draw it to Know it quizzes on connective tissue of bone and cartilage. A lot of information but just for class participation. Have to take the exam that I later found out are these quiz questions but also 49 of them compared to the quiz of 4 questions each of about 7 quizzes. Copy and pasted the notes and searched for most answers to the multiple choice questions then signed up for the certificate and viewed/printed it to the module 5 and emailed to Dr. Kono as instructed to have in by midnight Sunday which is today. Had a drink and no groceries so ordered instacart pizza, pasta frozen, bread, bagels, cheese, and cream cheese. Saves time for the roughly $5 more. Gave him a $5 tip. He got there fast. It shows each item checked off as they get it and they give a receipt. It automatically tips according to your settings or their default settings. For breakfast was a serving beyond meat with italian cheese and serving tortilla chips and Ritz plain crackers, found them last night and had a serving with the beond meat last night when pan cooking the beyond meat. I thought the roommate ate them and didn't realize I put them in the pantry behind the pan I cook with that I don't cook with anymore as I use the airfryer for everything. Had the last serving beyond meat and peppers with tortilla rounds and a serving cheetos for lunch warmed in airfryer I brought with me this morning. Meow meow didn't eat last night and not much today, but is already cozy to this place like before. Last night the skinny black kitten roamed the house and eventually went outside. He/she isn't vaccinated and doesn't use cat house, but I want her to be warm as its getting colder and she is alone outside in the cold where it can be around 40 degrees or feel like it at night. After work had a drink the same one just mentioned and made a digiorno cheese pizza and had 3/8 th of the pizza. No ranch, forgot and forgot to get more fruit snacks as out as of yesterday. Finished the exam and email to professor around 730 pm.  I got home around 545 pm. Maybe a little bit earlier as not much traffic if any after work but do clean room after each shift. Need to update this as I have been putting off entering the nutrition part and calculations. Only 5 cups coffee today, started to get a little blind spot indicator of migraine after 2nd cup coffee but had some water in am and it went away while completing the Draw It to Know it.</t>
  </si>
  <si>
    <t>ACT II butter Lovers pkg 2.5 servings per pkg, serving</t>
  </si>
  <si>
    <t>Act II butter Lovers popcorn pkg 2.5 servings per pkg, serving</t>
  </si>
  <si>
    <t xml:space="preserve">2 cinn bagels
(540.00	6.00	0.00	24.00	102.00	6.00	800.00)
1 impossible patty
(240.00	14.00	8.00	19.00	9.00	3.00	370.00)
4 pickles G&amp;G brand
(0	0	0	0	0	0	260)
1 tbs mustard
(0	0	0	0	0	0	55)
1 12oz watermelon redbull
(160.00	0.00	0.00	0.00	40.00	0.00	125.00)
2 slices or 1/6 a large veggie pizza, mushrooms, olives, tomatoes, cheese, marinara
(180	5	2.5	8	25	4	310)
3 slices of cheesey breadcut into 6 pcs
(330.00	17.00	10.00	10.00	34.00	1.00	270.00)
2 thin mozz cheese sticks
(210.00	12.00	9.00	24.00	3.00	0.00	540.00)
5 tbs marinara sauce with cheese sticks and cheesey bread
(70	1.5	0	3	10	1	360)
3/4 coca cola can
(135	0	0	0	37.5	0	45)
1/2 bag popcorn
(140	7	3	2	20	3	310)
=540+240+0+0+160+180+330+210+70+135+140
=6+14+0+0+0+5+17+12+2+0+7
=0+8+0+0+0+3+10+9+0+0+3
=24+19+0+0+0+8+10+24+3+0+2
=102+9+0+0+40+25+34+3+10+38+20
=6+3+0+0+0+4+1+0+1+0+3
=800+370+260+55+125+310+270+540+360+45+310
</t>
  </si>
  <si>
    <t>7 slices of veggie pizza from a 12 slice large pizza
(840.00	23.33	11.67	37.33	116.67	18.67	1446.67)
7 fruit snacks
(560	0	0	7	133	0	140)
5 servings cheetos
(600	20	2.5	10	90	5	1050)
1/4 coca cola can from left over of last night
(45	0	0	0	12.5	0	15)
2 tbs parmesan from bottle with breakfast pizza
(20	1.5	1	2	0	0	100)
=840+560+600+45+20
=23+0+20+0+2
=12+0+3+0+1
=37+7+10+0+2
=117+133+90+13+0
=19+0+5+0+0
=1447+140+1050+15+100</t>
  </si>
  <si>
    <t>beyond meat with red yellow sweet pepper about 3/4 a reg size orange one, 4 servings per pkg, this is 1/3 package:</t>
  </si>
  <si>
    <t xml:space="preserve">serving beyond meat peppers
(366.92	24.00	6.67	27.42	11.17	3.42	468.17)
serving tortilla rounds
(140	7	5	2	18	2	90)
5 servings cheetos
(600	20	2.5	10	90	5	1050)
7 fruit snacks
(560	0	0	7	133	0	140)
serving plain ritz thins crackers
(130.00	5.00	0.50	2.00	21.00	2.00	220.00)
=367+140+600+560+130
=24+7+20+0+5
=7+5+3+0+1
=27+2+10+7+2
=11+18+90+133+21
=3+2+5+0+2
=468+90+1050+140+220
</t>
  </si>
  <si>
    <t xml:space="preserve">2 servings beyond meat peppers
(733.83	48.00	13.33	54.83	22.33	6.83	936.33)
2 serving tortilla rounds
(280.00	14.00	2.00	4.00	36.00	4.00	180.00)
1 serving cheetos
(120	4	0.5	2	18	1	210)
3/8 digiorno cheese pizza
(675.00	22.50	11.25	36.00	83.25	2.25	1575.00)
=734+280+120+675
=48+14+4+23
=13+2+1+11
=55+4+2+36
=22+36+18+83
=7+4+1+2
=936+180+210+1575
</t>
  </si>
  <si>
    <t>quads leg extension only after cardio kickboxing, used 50 lbs machine 3 sets 10-12 reps</t>
  </si>
  <si>
    <t xml:space="preserve">Woke up at 5 am, did some review of the back muscles part 1 of prerecorded videos in FABS1 and got up until layer 5 ESM without Origin,Action,Insertion,Innervation. Then in lab we filled out a worksheet that helped study for that quiz not this week but Monday. We also have a group drawing lab due soon. The day before. In CTAP1 took quiz 3 and got another 7/10. I thought I did better before sending it in. ANd he doesn't test us on much that he gives us a study guide on but the questions are probably the ones that really have to be thought out, not just knowing the layers of epidermis but what organelles are randomly living in what layer. Took measurements after 3 coffees and a BM after my 2nd coffee, and before breakfast of left over 2 slices digiorno cheese pizza in airfryer with multivitamins. Then had a 4th cup of coffee by 830 am before the 10 am LE in FABS1. NOrmal routine to start day as always, Growly's meds, feed babies, and pulled laundry out of dryer but didn't put it away until after studying and lectures and a workout of cardio 5 3-minute boxing heavy with some kickboxing and 3 3-minute ground and pound rounds with standup. Some little misogynist skinny brown princess dude or fairy was there ruining my workout on ground and pound, that and working out to Lionel Richie while ground and pound and I got too aggressive on heavy bags working out and the dude was competing with me for muay thai bag hit sounds the loudest without saying anything, but his kicks for a male were lousy, he doesn't kick that strong. My spinning back fist is louder than his muay thai kick on the bag. Any how, it made my ANS system and metabolism use all my 5 earlier brkfst/lunch pizza energy up and hands were shaking. We saw a couple videos in CTAP that stood out about the Na-K pump on a freshly cut whole squid (RIP little squid) at a sushi restaraunt that had its brain removed but limbs and lower head with eyes were staring at patron and camera and the whole thing moved once soy sauce was poured on it. That was creepy and sad to think of the exploitation of life even sea life to amuse a predator consumer for dinner. But it was meant to show the action potential of the myosin and actin and Na-K pump, I didn't get that out of it though, just how creepy it was. Also, we watched another video of a guy who just left the gym and his calf wouldn't stop moving around and cramping up as a charlie horse due to probably not having enought potassium or K in his diet or using up his mineral reserves. The guy's charlie horse lasted a long time like more than 20 seconds. I didn't want to get a charlie horse and don't work out that hard or on the same supplements those gym folks do. I had the last 3 slices of the pizza, after breakfast, one before FABS1 started at 10 am but before my shower around 940 am, 10 minutes to eat after 930 am. Then the other two after FABS1 and before CTAP1. I only did one leg machine on quads with leg extensions after my ruined cardio workout for 3 sets 10-12 at 50 lbs. It burned as always. After working out from 320-420 pm, got home and had a drink and put away laundry then started the prerecorded video on the pericardium for lab tomorrow and reviewed all the quizzes and assignments and midterms this week. One midterm in IPA1 on 7 minutes practical demo on general survey, skin/hair/nails, and thorax/lungs. It took me a while to get through the packed info lab video by Dr. CArlos. He had 2 other options but he always has a bunch of information in his videos. Had to write it all down. And ended with the CNS/PNS postganglionic sympathetic, preganglionic parasympathetic, and other nerve information related to the heart and review of material. We will be quizzed on it in his midterm. I didn't get through those videos on the actual LE for pericardium, but its scary seeing how the bicuspid valve can tear off and allow blood to pool and back up and lead to heart disease by its attachment with the little tendons, I forgot the name, maybe the pectinar muscles and the thread like structures called ??? I would have to review that, but plan on reviewing the LE videos, FABS1 back muscles I didnt' get through, and the IPA1 material for the midterm tomorrow by looking at slides first and rubrics. I have the general survey rubric but I don't know where to find it on the dashboard of that course, and wonder if she took it down. I had a sciatic pain in LHS LB while sitting an hour and half writing lab notes and removed my waiste trimmer and it helped, then got up and finished the notes standing in kitchen. It has been chilly inside all day. I took a nap earlier right before CTAP1 from 1-120 pm and left the stove burners on. After the gym around 420 pm I noticed the electricity went out and had to reset the stove and the security camera's tv and that there is a mouse in the house. Maybe only one bc I saw it by the stove and there are mouse turds in the stove burners and later coming out my room after I was sitting note taking the lab information. Meow Meow is playing with it and knows where its at but only to amuse herself, she is not a hunter or mouse hunter, much less a murderer. I was going to stay up but I had that extra drink and a half around 8 pm that helped with LB pain as I forgot it. I also had a BB bagel with whipped cream cheese philadelphia around 820 pm. And forgot to mention after my 1st drink and before sitting to note take prerecorded lab I had a pita bread and 2 string cheeses. It must have been stress related and when I let my ANS sympathetic side partake in my cardio kickboxing ground and pound at gym. Messed up my sciatic, that and the gut in my back with waist trimmer. Was able to finish notes no problem. Went to bed after 930 pm, and around that time. But didn't sleep through the night, got up again and laid in bed around 2 am. And updated this database. I also had 6 cups of coffee all day, the last one was after FABS1 ended around 1215 pm, and the 5th one was before FABS1 was over, and 4th one around 830 am, also before FABS1. I didn't drink much water all day, and only had the bottle and a half I drank while working out and after working out. </t>
  </si>
  <si>
    <t>Galbani string cheese, serving is 1 string cheese</t>
  </si>
  <si>
    <t>Papa Pita Greek Pita, serving is 1 pita</t>
  </si>
  <si>
    <t>Philadelphia whipped cream cheese, serving is 2 tbsp</t>
  </si>
  <si>
    <t xml:space="preserve">5 slices digiorno cheese pizza
(1125	37.5	18.75	60	138.75	3.75	2625)
1 BB DK brand bagel
(260	2.5	0	11	48	3	380)
2 tbs Philadelphia whipped cream cheese
(50.00	4.00	2.50	1.00	2.00	0.00	85.00)
1 pita bread
(200.00	2.00	0.00	8.00	38.00	4.00	400.00)
2 string cheese
(180	14	9	14	0	0	340)
=1125+260+50+200+180
=38+3+4+2+14
=19+0+3+0+9
=60+11+1+8+14
=139+48+2+38+0
=4+3+0+4+0
=2625+380+85+400+340
</t>
  </si>
  <si>
    <t>Woke up at 2 am and updated this db, it was windy outside, but says its only 9 mph, there were branches strewn across lawn. It wasn't windy at all yesterday. Took babies out to potty. Then after 45 minutes of updating this db, I got tired and laid back down instead of looking at the IPA1 files and slides to review for the midterm Wednesday at 3:45 pm. ...........went to bed at 1015 pm after taking the preclass quiz in GA1 and looking over some of part 2 back muscles for FABS1. Tired. Updating this on Friday, been busy all week. About 5.5 hours sleep. Had 2 cups coffee, then 3rd with pita and 2 string cheese at 715 am approx. started 4th cup coffee at 745 am cooling 15 minutes, no BM until later. just gas. dehydrated. Drank bottle water in middle of night, no getting up to pee. Measurements not taken after breakfast, waited till after BM. Had IPA study material to go through at 6 am, rubric, flashcards, then FABS1, finished the part 1 on all 5 layers part 2 needed for 6th layer, onto LEs for GA1 before 10 am class.typing in what I wrote in journal I make notes in when unable to get to the computer db to input. Onto LEs fro GA1 before 10 am class. Showered. Had a reg BM after 4th cup of coffee, then measurements taken about 855 am. 5th cup coffee after GA1 around 1230 pm. Had BB bagel with cream cheese, lunch at 1220 pm approx, pita and 2 string cheese, 6th cup coffee on way to Target around 3 pm. 7th cup of coffee w/ International Delight coffee creamer, Pumpkin Pie spice I got from Target in refrigerated section. about 3 tbs per cup. While studying at night had a pita in the airfryer with parmesan cheese but it made a mess 2x and blew off, I had to fold it then redo it on 3rd attempt to get parmesan cheese to stay. It never did that before, but for some reason tonight. The airfryer is easy to clean just wipe it up with a paper towel when cooled. I was stuying IPA1 midterm material. Bed time was around 1030 pm tired.</t>
  </si>
  <si>
    <t>Woke up at 5 am by alarm and studied the IPA1 and made a powerpoint of the videos that I didn't check until after the fact that it wasn't recording the video pulled from zoom of the actual demos in the recorded lab meetings. …..Studied the mediastinum and had 7 cups coffee with new addition of creamer, tired by 9 pm, client cancelled earlier in day. Got the time to study and relax. Took the midterm at school after studying with group an hour or so and being basically last to go, but just components of the study material graded. Seemed good and the instructor examiner said it was good. Mario stayed to be my patient to demo on using lymph nodes, skin, heart rate and breaths per minute, and percussion of the fremico or something like that. Mind blanked on names like that for turgor. for dehydration. Mario gave me his way of how he remembered it with a definition root then a male reason for the appendage that gets tight, that I didn't ponder on and now will have to remember it bc he used that word as a weird way of how he describes it. He is a nice young father, sure he didn't mean it offensive, just biology. Doesn't hit on me or offend me or disrespect me ever, so I wouldn't consider it different, plus I was walking with him after school and we were one of the few people left on campus. I plan on getting up early to finish the studying, the post assessment guide was easier than I thought, but the questions for the earlier details I remembered a few weeks ago when going over this lesson are a little fuzzy. Need to do that. The quiz is at 8 am. Before all that from my journal making notes on Friday from it, the above was made that night. I had 3 cups of coffee when I woke up with the 3rd one the only one with creamer same ID brand PPS, then a sm BM, 4th cup also with creamer by 730 am already had 4 cups coffee and 2 with creamer. Made PPT video to study, but the audio not set so was a quiet video. Took a few hours to make too. For breakfast was a pita with parmesan cheese using foil to avoid a mess in airfryer. Had multivitamins with the pita. Measurements taken after sm BM and breakfast. Then had an everything bagel with cream cheese around 845 am. Had 4th cup of coffee at 745 am before measurements with creamer as already stated. Also had a couple string cheese before leaving for my on campus courses of which one was my midterm. Afterwards had another everything bagel with parmesan cheese and 1/2 bag of shrimp asparagus penne pasta the barilla or bertolli brand. With 1/4 cup parmesan cheese. Bed time was 10 pm but not asleep until about 1030 pm bc of singing from neighbors outside, a quincierra or something. Also forgot I snacked in my van waiting for class to start and while studying IPA1 material on 2 twix/1 3musketeers/1milky way minis left in car from before my trip to TX at end of September. And a serving of Ritz crackers baked, a serving cheetos, and a serving of tortilla rounds.</t>
  </si>
  <si>
    <t>Korbels champagne</t>
  </si>
  <si>
    <t xml:space="preserve">Woke up at 5 am bed was at 930 pm, 2 cups coffee then a sm BM, 3rd cup and last 1/2 shrimp penne pasta from last night for breakfast. Used creamer in 1st and 5th cups coffee. The 1st cup was actually warmed up in the microwave from last night that I didn't drink when studying bc it would have been my 8th cup last night. My 4th cup of coffee was at 8 am in my 1st class quiz but sitting until after the quiz. 5th cup was in 9 am class at around 930 am with creamer. Measurements taken after breakfast, a sm BM, and 4 1/2 cups coffee, two with creamer at around 935 am. During LE but a slowpoint of the LE, 6th cup coff was around 10 15 am with creamer, then a serving of Lays potato chips classic brand, serving Ritz baked crackers on way to campus and after work needed wet cat food and water so stopped by store to pick that stuff off at Ralphs and get a bottle of Korbels champagne and some kpod coffee Kroger brand. Today my group was Keven and JP, sitting lumbar, difficult bc of the tightening of ESM muscles, but its a superficial move. Then one Beyond patty, 1/4 mozz, and an everything bagel. Had 3 1/4 cup literal measure of the champagne over 2-3 hours. To study and finish the group anatomy drawings of other muscles levator costorum and suboccipitals for group due Sunday, and emailed to them. Everybody has an ipad that works much much better at doing digita drawing, and I have a subpar drawing pad with my mouse that doesn't pick up sensory information in some of the center and I think its making my tip of my index finger have cyanosis bc it gets ice cold and I cannot feel it. Managed to put it together. Did my part. They will put it together to submit. Two of the three have my phone to text and all have my schuhs email. Gerardo was in my previous group in GA1 but I got moved recently to another group. David and AnJan have my phone number. I don't think I gave it to Gerardo. Had a decaf coffee kpod last night with creamer instead of a caffeneited one as I got a box of decaf from Ralphs. Drank that bw 1/4 servings of champagne and was ok. NO HA. I forgot to do laundry and didn't have a waist trimmer to wear so didn't wear one today. </t>
  </si>
  <si>
    <t>red baron frozen cheese pizza, serving is 1/4 pizza, pizza:</t>
  </si>
  <si>
    <t xml:space="preserve">3 tbs pumpkik pie spice ID creamer
(105	4.5	0	0	15	0	45)
3 pita bread
(600	6	0	24	114	12	1200)
4 string cheese
(360	28	18	28	0	0	680)
BB bagel
(260	2.5	0	11	48	3	380)
3 tbs cream cheese
(150	12	7.5	3	6	0	255)
1/2 cup parmesan cheese
(200	12	8	16	4	0	560)
=105+600+360+260+150+200
=4.5+6+28+2.5+12+12
=0+0+18+0+7.5+8
=0+24+28+11+3+16
=15+114+0+48+6+4
=0+12+0+3+0+0
=45+1200+680+380+255+560
</t>
  </si>
  <si>
    <t>shrimp asparagus bertolli frozen penne pasta ready in 10 minutes, bag:</t>
  </si>
  <si>
    <t xml:space="preserve">2 everything bagels
(520	10	1	26	88	10	700)
4 tbs creamcheese
(200	16	10	4	8	0	340)
1/2 cup parmesan shredded cheese (pasta, bagel, pita)
(200	12	8	16	4	0	560)
1 pita
(200.00	2.00	0.00	8.00	38.00	4.00	400.00)
2 twix mini/snack
(100.00	4.67	2.67	0.67	13.33	0.00	40.00)
1 milky way mini/snack
(37.50	1.50	0.88	0.25	6.00	0.00	12.50)
1 3-musketeers mini/snack
(26.00	0.70	0.40	0.20	4.60	0.00	11.00)
1/2 bag shrimp asparagus frozen heat up meals bertolli or similar name
(425	17.5	5.5	14.5	52	3.5	780) 
8 tbs creamers in 4 coffees of 7 total all day
(280	12	0	0	40	0	120)
serving cheetos
(240.00	8.00	1.00	4.00	36.00	2.00	420.00)
serving ritz baked crackers
(130.00	5.00	0.50	2.00	21.00	2.00	220.00)
serving tortilla rounds
(140	7	1	2	18	2	90)
=520+200+200+200+100+38+26+425+280+240+130+140
=10+16+12+2+5+2+1+18+12+8+5+7
=1+10+8+0+3+1+0+6+0+1+1+1
=26+4+16+8+1+0+0+15+0+4+2+2
=88+8+4+38+13+6+5+52+40+36+21+18
=10+0+0+4+0+0+0+4+0+2+2+2
=700+340+560+400+40+13+11+780+120+420+220+90
</t>
  </si>
  <si>
    <t xml:space="preserve">1/2 shrimp asparagus penne pasta
(425.00	17.50	5.50	14.50	52.00	3.50	780.00)
1/2 mozz
(160.00	10.00	7.00	12.00	2.00	0.00	380.00)
12 tbs coffee creamer in 4 coffees approx same for coffee mate and internationl dlt
(420.00	18.00	0.00	0.00	60.00	0.00	180.00)
serving Lays potato chips
(270	13	1.5	5	34	2	640)
beyond meat patty
(260.00	18.00	5.00	20.00	5.00	2.00	350.00)
1/8 xl hersheys symphony almond toffee candy bar
(300.00	18.00	10.00	6.00	34.00	2.00	100.00)
string cheese
(90.00	7.00	4.50	7.00	0.00	0.00	170.00)
=425+160+420+270+260+300+90
=18+10+18+13+18+18+7
=6+7+0+2+5+10+5
=15+12+0+5+20+6+7
=52+2+60+34+5+34+0
=4+0+0+2+2+2+0
=780+380+180+640+350+100+170
</t>
  </si>
  <si>
    <t xml:space="preserve">pistachios from Ralphs, serving is 1/2 cup with shells or 8 g w/o shells, </t>
  </si>
  <si>
    <t>Woke up at 4 am by alarm, went to bed till 10 min utes before 5 am alarm and got out of bed. Went to bed at 1015-1030 pm last night so got about 7.5 hours sleep. Was tired waking up but not exhausted. Had 2 cups coffee w/ creamer then a sm BM by 6:20 am, 3rd cup coffee all cups coffee with creamer while studying up on CP1 by highlighting the Kindle pp read in the req readings. Had a 4th cup of decaf coffee also with creamer. Then at 715 am had a beyond patty with everything bagel 1/4 mozz and 1 tbs mustard and 3 target brand pickles before CP1 LE. Finished reading at 740 am the req readings but last 22 kindle pp weren't highlighted. The LE went over impt parts of the readings. Slightly longer by 5-10 minutes than scheduled to go. Then had a 4th cup of caffeinated or regular coffee also with creamer after LE and started the CTAP prerecorded LE he is out of his office in TX and not able to hold class. GAve us ton of work to do and study for a quiz though on Mon. Had a half of a red baron frozen pizza out of oven during notetaking of his hour LE that ended up being 2 hours bc of the lengthy additional stuff he speaks really fast on his slides about. Then a 5th cup coffee w/ creamer when done and a nap for 20 minutes around 1155 am when done, woke up at 1215 am even though set alarm for 1244 am and 1245 was already set. Then decided to update this db that I had to read from Tue from my Journal today being Friday for adding information. Been good about the measurements daily, although not taken today yet and its already 110 pm. approx. Haven't worked out in about 5 days too. Could be a habit as midterms, flight out of town, lack of sleep, work, studying, assignments, quizzes exams, practicals etc are taking over. Didn't workout and stayed at home working on Kahoots for CTAP and it was on epithelium tissue from 2 weeks ago mostly. There wasn't any information that I saw next to the Kahoots and I thought it was on this week's material. I didn't know what it was on. You can only take it once, but I took it again as JC and took the screen shots. I didn't do well at all. The team leaders were the ones who logged in like they announced on discord and got them all about the same answered correctly. I missed quite a bit, a little less than half of the quesions. They showed the images from the slides that we just spin through after spending about a good 30 seconds at the most on as he talks super fast and runs through information on each slide faster than you can draw in notes that he draws on the slide. When I am in a course like that I would rather just watch prerecorded videos to pause and write the notes and thats most likely why I do really well in the GA1 course. FABS1 I am doing pretty good too, but he spends time on each slide and allows us to write down anything he draws or jots on each slide and ask questions before moving on. Still have a draw it to know it. For early dinner before work had the other half of the Red Barron's cheese pizza and a 6th cup of coffee I had with the pizza after my nap and before the kahoots quiz for attendance. The decaf was coffee was actually on the way to work. Went to work and had a full schedule then got home and had a regular cup of white whine of the korbel champagne over ice. Was dehydrated at work and had a bottle of water after work. Was talking so much in last session wtih a regular my throat got itchy and I had to cough but I was wearing my face mask all day. So coughed in my mask. While finishing my wine and watching the latest Hulu flick of Only Murderers in the Building I had an everything bagel with cream cheese. Afterwards had 1/2 cup pistachios before bed at 11 pm.</t>
  </si>
  <si>
    <t xml:space="preserve">15 tbs coffee creamer
(525	22.5	0	0	75	0	225)
beyond patty
(260	18	5	20	5	2	350)
everything bagel
(260	5	0.5	13	44	5	350)
1/4 mozz
(80	5	3.5	6	1	0	190)
1 tbs mustard
(0.00	0.00	0.00	0.00	0.00	0.00	55.00)
3 G&amp;G Target brand pickle slices
(0	0	0	0	0	0	156)
1/2 Red Baron Cheese pizza
(640	28	14	26	68	4	1420)
1/8 hersheys symphony xl candy bar
(300	18	10	6	34	2	100)
1/2 Red Baron Cheese pizza
(640	28	14	26	68	4	1420)
everything bagel
(260	5	0.5	13	44	5	350)
2 servings cream cheese
(100	8	5	2	4	0	170)
1/2 cup pistachiios
(160.00	13.00	1.50	6.00	8.00	3.00	135.00)
=526+260+260+80+0+0+640+300+640+260+100+160
=23+18+5+5+0+0+28+18+28+5+8+13
=0+5+1+4+0+0+14+10+14+1+5+2
=0+20+13+6+0+0+26+6+26+13+2+6
=75+5+44+1+0+0+68+34+68+44+4+8
=0+2+5+0+0+0+4+2+4+5+0+3
=225+350+350+190+55+156+1420+100+1420+350+170+135
</t>
  </si>
  <si>
    <t>Woke up at 5 am but got out of bed when alarm went off at 530 am, the roommate was getting back from work at 5 am. Had a cup of coffee made my lunch for work a long day. No creamer used in 1st 3 cups coffee. Measurements taken after 2 cups coffee and before breakfast and before a BM. I had a generic Stater Bros Everything Bagel with 2-4 tbs cream cheese. Packed a grilled cheese of 2 american slices cheese and a generic everything bagel to go. The cheese from the roommate's. Had 2 serving Lays potato chips, and 1.5 servings or cups pistachios with the lunch bagel grilled cheese. Had a 4th and 5th cup regular coffee and cup decaf all with peppermint coffee mate creamer about 8 tbs, at home had a quesadilla with 1/2 cup mozz cheese and made with Target brand tortillas. Also had 2 servings the champagne, last of it while completing the merging of the group contributions to FABS project 1 but didn't get David's 1-3 layers of back muscles. Due Monday. But have quizzes and midterm to study for. I was relaxing by 815 pm after doing dishes and feeding outdoor cats. Looking over the midterm material but need to study for the skeletal muscles and back muscles for FABS quiz Monday morning and CTAP quiz Mon afternoon, and midterm GA1 Tue then fly to Moms funeral. Stopped by Dad to let him know where to send flowers and how she died without a fighting chance and that I wouldn't go to a hospital and suggest he doesn't either as they set them up to die and that he get vaccinated. He said everything was good with his tax return too. So that's good. I texted him the address of church for Mom's funeral. He looked somewhat depressed and like I just woke him up. Cody is with him being his bloodhound door alarm sound. He's a cute dog. The 2nd bloodhound that didn't seem quite all there that Dad has had since I've known him. Maybe bloodhounds aren't that all there or appear to be lacking in intelligence. He seems like a sweetheart dog nonetheless. For dinner later after completing collaborating all the group files to one except David's, and starting the DITKI musculoskeletal histology, had a quesadilla with 1/2 cup mozz inside and outside. Went to bed around 1015 pm</t>
  </si>
  <si>
    <t xml:space="preserve">Woke up at 530 am, had a cup coffee no creamer, then a 2nd with creamer, a sm BM, then took measurments and had an everything bagel with creamcheese and my 3 multivitamin gummies. Did the normal routine of Growly's meds and feeding the babies and kitten outside. It is starting to use the cat house as roommate put it onback porch and I removed or displaced the plastic on door to the side. Completed FABS group assignment additions and emailed to group members to revise if they see something needing to be fixed. 3rd cup coffee with creamer by 730 am, at work during day and on way home after work had 2 more reg coffees and a decaf all with creamer, 1/2 serving pistachios, 2 serv lays chips, 1 double salmon poke bowl normal way withbrown rice, ponzu, cream cheese wasabi cucumbers ginger sesame seeds. then a serving patron once home from roommate's stash I replaced a month ago. An impossible burger patty on everything bagel pickles and mustard and amercan cheese. swollen ankles by late day, shaveed in am and skin itched at night by 6 pm 6th cup coffee w creamer. probably got about 7 hours sleep bc went to bed around 1030 pm the other night. </t>
  </si>
  <si>
    <t xml:space="preserve">Woke up at 5 am by alarm, last night went to bed around 10 pm. Did normal routine of pets, meds, coffee. Got about 7 hours sleep. No compression socks worn today just a waist trimmer for online classes for quizzes in FABS1 and CTAP. Lg BM after 2nd coffee. Sm BM after 4th cup coffee, 730 am was everything bagel with 4 tbs cream cheese, all coffees had creamer. indigestion today, stressed. midterm week studying for GA1 midterms in lab and LE and quizzes in FABS and CTAP and going to chicago tue and wed returning. 3rd sm BM 1 hr before FABS at 10 am for quiz to start lab. measurements taken at 9am an hour before FABS. 5 cups coffee by 1145 am. lunch at 920 am was impossible patty on evry bagel with 1/4 mozz and 2tbs mustard, total of 15 creamers in all coffees by 12 pm. 3 cups of decaf coffee and 5 cups reg coffee total and 1 bottle dry champagne by end of day. With 21 tbs creamer total in all. Had a quesadilla with 2 flour tortillas G&amp;G brand and 2 slices american cheese, 3/4 shrimp asparu penne bertolli brand and 1/4 cup mozz later in day. </t>
  </si>
  <si>
    <t>white wine bottle dry wine</t>
  </si>
  <si>
    <t xml:space="preserve">Woke up at 4 am by alarm to study for Lab in GA1 midterm at 10 am. Went to be bw 945-10pm about 6 hours sleep. Normal routine of pets, meds, coffee. 4 cups coffee by 730 am , 3 with creamer about 3 tbs each like each cup is. 2 sm pizza only 3/4 eaten burnt cheese used  5 slices border brand colby jack cheese. no waist trimmer today bc travelling by plane, by 9 am had 5th cup coffee and 1 decaf, total of 12 tbs creamer. A lg BM at 530 am after 2nd cup coffee, a 2nd one at around 7 am was tiny, and a 3rd BM by 915 am also sm. Measurements taken after all BMs and breakfast earlier. Went to chicago, didn't bring scale bc coming back tomorrow night after funeral. Didn't get much sleep, got there at 1245 am, big ordeal in Phoenix with plane a mile from gate to take off and the 30 minutes leeway was cut into by 20 minutes due to American not being able to park in gate for 20 minutes. Good thing was able to get on the plane to Chicago, it landed earlier by 40 min than expected. Becky's uncle Jim Dave's brother one of them picked me up, nice guy we went to their other brother, uncle Pete. I knew him also a good guy brother of Dave's they live nicely, well off. He used to stay with Mom and Dave back when I stayed with them a year as a sophomore in HS. Didn't get to sleep until 4 am approx, chatting with Becky. Then woke up at 730 am. Was able to have coffee, had a dunkin donuts bottled one from airport in bag the next day. This day had a same bottle from airport I forgot my instant coffee and had to spend $5 per coffee and got some cheetos 3 serv/bag, got 2 bags. Ate one rest of day as most of it at airport, but got good study time done. However, forgot about preclass quiz in GA1 and forgot another one of those. Did well on midterm at 84-87% approx that was taken earlier in morning. Before leaving for Chicago in airport finished my 6th cup of kpod coffee with creamer and parked in economy lot of $16/day instead of $21/day slightly further but still walking distance. Had the last of Lays chips in van, and at home also had an ev bagel with cream cheese there was a part hard stale scraped off bc smart and final brand on sale. quality terrible. The dunkin coffee was the 7th of day and final coffee of day. </t>
  </si>
  <si>
    <t xml:space="preserve">Woke up at 4 am by alarm and went to bed at 11 pm last night, about 5 hours sleep, felt exhausted, about as exhausted as yesterday but had coffee and was able to study for GA1 LE midterm and take exam but felt sick like indigestion and then had a quiz later in my FABS1 course. Did well on both. about 87% in midterm and 7/8 on quiz in FABS. I forgot all day to take measurements and didn't take any measurements. Realized by next day. Not going to estimate it, this will just be a missing information entry. Had a couple naps. one at 510-530 am for 20 minutes, then studied some more, feeling anxious, this one seems more difficult. Also the hard drive on security cameras isn't working and not recording and I took it apart and put in a 3v battery and it still isn't being recognized. Need a new one. Had some garlic bread in oven from smart &amp; final probably , called joseph campione french garlic bread Hearth baked garlic mini loaf. it was alright. Started my rag, lt not spotty again. Noticed it in pm around 6pm. Drank more water earlier to help with dehydration. No waist trimmer or compression socks worn today. had the entire garlic bread by afternoon, an everything bagel with cream cheese, had 4 cups coffee and 3 with creamer, then a decaf and it had creamer. Then a sm BM that was dehydrated. Had 1/2 bag shrimp scampi noodles, after another afternoon nap at 1140 am -12 pm for 20 minutes started making a CP1 procedures db and notes in it with readings but not feeling great about it and not the type to spend too much time studying if it won't help and lack of sleep is not going to make my recall from memory great either. Had to go bring the roommate his keys bc he locked his inhis car on accident then went to Aldi to get paper towels as we were out and a bottle of argentina red wine and 2 pkgs aldi colby jack cheese. Drank entire bottle by end of day but felt much better and studied and made mydb and watched season finale of only murderes in the bldg. Went to bed around 830 pm and got up at 10 pm but out of bed at 1030 am thinking it was 4 am, so got out of bed to study, until 2 am, went back to bed and got up at 4 am only to be exhausted and go back to sleep and noticed rag was more light. </t>
  </si>
  <si>
    <t>red wine</t>
  </si>
  <si>
    <t>Woke up in Bolingbrooke IL (weather temperature is this city not Corona) for Mom's funeral flew in last night and got to bed at uncle pete's house with becky and uncle jim and kelly wife of pete. Bed time last night was 4 am woke up by phone call from Brooke on their arrival and how dunkin donuts was a waste of money and gross for their brkfst. Mo got sick at the funeral church services later from it. woke up at 730 am. got out of bed washed face with makeup on and brushed teeth and put on dress for funeral I got at Macy's a few weeks ago. and my makeup and brushed hair, had the remaining cheetos from airport for breakfast and the dunkin bottled coffee before going downstairs to chat with those awake like becky. had 2 of their keurig coffees for 3 total none with creamer other than dunkin in bottle as is. funeral services, didn't eat breakfsst new wouldn't have a BM that happens when in unfamiliar territory and stressed and traveling and rooming with others unless sick. Not sick. haven't been drinking water due to not wanting to get up to pee all the time on plane or any restroom. Not good for body to be dehydrated, felt it later at airport. I still looked pregnant with waist trimmer and the aunties thought I was blessed with child. I took waist trimmer off when at airport. uncle jim dropped me off after the outdoor burial services. the casket was closed whole time. we put flowers on the casket as it went into the Earth. Dad's flowers and my clients were there and all beautiful, took some with me and some of beckys family friends flowers they got Mom. It was a small funeral and I think they wanted it that way. at the church my sister becky never met my dad but never liked him for their previous marriage and the way mom still had bad feelings for him and how he snatched us from her unexpectedly taking us as tiny kids to our grandparents and her knowing she wouldn't be seeing us from the sick gut feeling she had. He was a terrible husband to her, for doing that and he never did know how to raise kids. I love him bc he is my dad and learned over time the hurt he caused her but never tried to make up for it and mom carried that with her. He got her flowers that said beloved mother on them and a nice vase of pretty red carnations and roses. Pink roses and violet colors on the beloved mother one. Becky kept them outside the church services in the doorway and I knew why after she said that. She went into her savings to pay for the funeral, embalm mom and ship her and buy the plot. A sm fortune nobody helped her with really and she was resentful of Mo for not offering any help and didn't buy that she is the sole provider of thier  household and that she was down to get her SD birth certificate so she could marry mariano in mexico she leaves this weekend to meet him in mexico city to do that. She needed it to be apostled to make the marriage official and the politics of US keep him from working here for 6 months and he needs to work is an engineer in argentina. A lot of her old neighborhood and high school soccer friends were at the funeral. One was pregnant and she just lost her brother 1-2 years ago from suicide and is familiar with loss. Was able to do alot of needed studying my meninges were sweating and eyes and nose dripping occassionally from all the information crammed into brain. Been making thse db sets to study more fast retrieval studying to and allows me to look up answers to questions on study guides. I do well with study guides and know that the CP1 exams are not only worded odd, but questions from reading materials I don't retain much information from to be quizzed on and hundreds of kindle pages to review, not going to happen, and no scratch paper and no study guide, just everything is fair game bc she has mentioned how she was an air force pilot and went and quit that and an engineer to be a chiropractor and wanted to give up but stayed in it and must want us to feel exactly what she felt. Otherwise I would have scored better on her quizzes and exams. updating this later after taking her midterm LE on this friday a few days after this and got another D on it. Better than zero but not expecting to do well on exams and quizzes that are fair game and tricky questions. Like GA1 and FABS1 we know from redundancy what is likely on exams and quizzes in emphasizing stuff, in her courses it is mentioned and possibly brought up but might not be tested on. Also, I had 2 servings of vitamins, the 1st in am and 2nd on flight back at night as exhausted and thought it might help. Not sure if it did.;</t>
  </si>
  <si>
    <t>Dunkin Donuts bottled coffee from airport Fr vanilla and reg, 1 bottle is 1 serving</t>
  </si>
  <si>
    <t>3 serving cheetos bag from airport</t>
  </si>
  <si>
    <t>Joseph Campione Hearth Baked Garlic Bread, 4 servings per loaf, 1 loaf:</t>
  </si>
  <si>
    <t>Aldi Colby jack cheese 1 slice</t>
  </si>
  <si>
    <t>bag bertolli shrimp scampi &amp; linguini</t>
  </si>
  <si>
    <t>chex mex 3.5 servings per bag, bag</t>
  </si>
  <si>
    <t>borden brand colby jack cheese 1 slice</t>
  </si>
  <si>
    <t>mini cheese pizza 1 pizza Smart&amp;Final brand</t>
  </si>
  <si>
    <t>everything bagel staterbros brand</t>
  </si>
  <si>
    <t>everything bagel smart&amp;final brand</t>
  </si>
  <si>
    <t>Target G&amp;G brand flour tortillas, 2 tortillas:</t>
  </si>
  <si>
    <t xml:space="preserve">8 tbs coffee creamer
(280	12	0	0	40	0	120)
2 servings Lays potato chips
(450.00	30.00	3.00	6.00	45.00	3.00	405.00)
2 servings pistachios
(320	26	3	12	16	6	270)
2 everything bagels
(480	5	1	18	94	6	1200)
3 tbs cream cheese
(100	8	5	2	4	0	170)
2 flour tortillas
(220	5	2	6	38	4	680)
1/2 cup mozz cheese
(160	10	7	12	2	0	380)
2 slices American cheese
(140	10	6	8	2	0	500)
=280+450+320+480+100+220+160+140
=12+30+26+5+8+5+10+10
=0+3+3+1+5+2+7+6
=0+6+12+18+2+6+12+8
=40+45+16+94+4+38+2+2
=0+3+6+6+0+4+0+0
=120+405+270+1200+170+680+380+500
</t>
  </si>
  <si>
    <t xml:space="preserve">15 creamers tbs
(525	22.5	0	0	75	0	225)
2 everything bagels
(480	5	1	18	94	6	1200)
5 tbs cream cheese
(255	25.5	16	5.5	2	0	215)
1 slice american cheese
(70	5	3	4	1	0	250)
double salmon poke bowl
(725	15.325	3.425	27.975	115.65	8.675	2277.5)
tbs mustard
(0.00	0.00	0.00	0.00	0.00	0.00	55.00)
4 pickles
(0	0	0	0	0	0	260)
=525+480+255+70+725+0+0
=22.5+5+25.5+5+15+0+0
=0+1+16+3+3+0+0
=0+18+6+4+28+0+0
=75+94+2+1+116+0+0
=0+6+0+0+9+0+0
=225+1200+215+250+2278+55+260
</t>
  </si>
  <si>
    <t xml:space="preserve">bag shrimpaspg penne bertolli
(850	35	11	29	104	7	1560)
21 tbs creamer
(735	31.5	0	0	105	0	315)
2 flour tortillas
(220	5	2	6	38	4	680)
2 slices american cheese
(140	10	6	8	2	0	500)
1/2 cup mozz
(160	10	7	12	2	0	380)
2 ev bagel
(480	5	1	18	94	6	1200)
3 tbs cream cheese
(153	15.3	9.6	3.3	1.2	0	129)
1 imposs patty
(240.00	14.00	8.00	19.00	9.00	3.00	370.00)
2 tbs mustard
(0	0	0	0	0	0	110)
=850+735+220+140+160+480+153+240+0
=35+32+5+10+10+5+15+14+0
=11+0+2+6+7+1+10+8+0
=29+0+6+8+12+18+3+19+0
=104+105+38+2+2+94+1.2+9+0
=7+0+4+0+0+6+0+3+0
=1560+315+680+500+380+1200+129+370+110
</t>
  </si>
  <si>
    <t xml:space="preserve">2 pizzas smart and final
(800	44	18	38	76	6	1840)
5 slices border brand colby jack cheese
(350	25	15	20	0	0	525)
15 tbs creamer in all coffees before trip
(525	22.5	0	0	75	0	225)
2 serving lays chips
(300	16	1	4	34	2	340)
dunkin donuts coffee
(260	7	4.5	7	41	0	100)
3 servings cheetos
(450	28	4.5	5	42	2	680)
everything bagel
(240	240	240	240	240	240	240)
4 tbs cream cheese
(100	8	5	2	4	0	170)
=800+350+525+300+260+450+240+100
=44+25+23+16+7+28+240+8
=18+15+0+1+5+5+240+5
=38+20+0+4+7+5+240+2
=76+0+75+34+41+42+240+4
=6+0+0+2+0+2+240+0
=1840+525+225+340+100+680+240+170
</t>
  </si>
  <si>
    <t>plain peanuts, 1 cup</t>
  </si>
  <si>
    <t xml:space="preserve">3 dunkin donuts bottled coffee
(780	21	13.5	21	123	0	300)
3 servings cheetos
(450	28	4.5	5	42	2	680)
chex mex bag at airport
(455	12.25	1.75	7	80.5	7	805)
1/4 cup plain peanuts
(206.75	18	2.5	9.5	6	3.25	6.5)
4 slices colby jack cheese border brand
(280	24	14	20	0	0	460)
=780+450+455+207+280
=21+28+13+18+24
=14+5+2+3+14
=21+5+7+10+20
=123+42+81+6+0
=0+2+7+3+0
=300+680+805+7+460
</t>
  </si>
  <si>
    <t xml:space="preserve">1 Joseph Campione heart baked garlic mini loaf
(800	32	12	20	104	4	1040)
1/2 bag shrimpscampinoodles bertolli
(445	21	9.5	16.5	47.5	2.5	1070)
5 slices colby jack cheese Aldi brand
(350	30	17.5	25	0	0	575)
everythig bagel
(240	2	0.5	8	46	2	630)
3 tbs creamcheese
(153	15.3	9.6	3.3	1.2	0	129)
1/4 hershey's symphony xl candy bar
(150	9	5	3	17	1	50)
15 tbs creamer
(525	22.5	0	0	75	0	225)
12 zucchini fries
(375	15	2.5	5	50	2.5	900)
=800+445+350+240+153+150+525+375
=32+21+30+2+15+9+23+15
=12+10+18+1+10+5+0+3
=20+17+25+8+3+3+0+5
=104+48+0+46+1+17+75+50
=4+3+0+2+0+1+0+3
=1040+1070+575+630+129+50+225+900
</t>
  </si>
  <si>
    <t>patrone tequila</t>
  </si>
  <si>
    <t>15 tbs creamer
(525	22.5	0	0	75	0	225)
1/2 bag shrimp scampi noodles
(445	21	9.5	16.5	47.5	2.5	1070)
6 tbs creamer
(210	9	0	0	30	0	90)
ev bagel
(240	2	0.5	8	46	2	630)
4 tbs cream cheese
(100	8	5	2	4	0	170)
12 zucchini fingers
(375	15	2.5	5	50	2.5	900)
1/8 hersheys candy bar
(75	4.5	2.5	1.5	8.5	0.5	25)
2 slices colby jack cheese
(140	12	7	10	0	0	230)
1/2 serving baked Rits crackers (crumbs in bag at break time)
(65	2.5	0.25	1	10.5	1	110)
2 slices colby jack cheese
(140	12	7	10	0	0	230)
=525+445+210+240+100+375+75+140+65+140
=23+21+9+2+8+15+5+12+3+12
=0+10+0+1+5+3+3+7+0+7
=0+17+0+8+2+5+2+10+1+10
=75+48+30+46+4+50+9+0+11+0
=0+3+0+2+0+3+1+0+1+0
=225+1070+90+630+170+900+25+230+110+230</t>
  </si>
  <si>
    <t>Woke up a 5 am again to get out of bed. Probably got about 5 hours sleep altogether from 830 pm-10 pm, 2am-4am, 415 am-5am. Studied from that time until 7am and showered after relaxing and looking at news. The brian laundrie dude's dead. thats good, he killed the gabby petito national news girl. Also LA kicking out homeless but only from public facilities and sidewalks. The population of homeless in LA was more than the city of Corona not too long ago. Took exam, got 66.67%, not surprised to do poorly even with the stress and studying like I said earlier on her exams and fair game material and testing on readings. Not designed to do well in. She said we'd survive the exams. Let me add for now to that. BC stress is the root of all sickness. Had 4 cups of coffee by 1030 am. all with creamer, then breakfast was the rest of the shrimp scampi pasta from last night I saved for roommate but he didn't eat. That was at 10 am. I also had a lg BM after 2nd cup coffee earlier in the morning around 5 30 am, then a sm BM after 3rd cup coffee around 6 am and a 3rd tiny BM before my shower around 7 am. Stress and not sleeping and not being hydrated. Stomach feels better than it did yesterday. Feeling more refreshed or awake by 1030 am without a nap. Watched the 2 1:05 to 1:10 hour long videos in CTAP on blood and special senses. WAs tired but didn't nap. Had 1/2 shrimp scampi left over from yesterday I already noted, the everything bagel w crm chs, 1/8 herseys symphony candy bar, 12 zucchini fingers, 2 slices colby jack Aldi brand cheese, 4 cups reg and 2 cups decaf all w creamer, then cleaned the pet messes from this morning, did the dishes, and fed the outdoor kitty again. Put away my laundry and it was 3:15 pm. Planning on leaving for work by 5 pm with my 5th cup coffee. and creamer. Home after full schedule all new to me clients at work. Had a Patron after doing dishes, feeding outdoor cat and cleaning a pet mess. Have to wake up and be in the shower by 630 am tomorrow for an 8 hour day 8am-5 pm. Went to bed by 1115pm. After eating 2 slices Colby Jack cheese. My rag at work was about medium to med-heavy flow. Nothing unmanageable, but the 90 minutes made me have to change my thin heavy pad after every massgae.</t>
  </si>
  <si>
    <t>Woke up at 530 am by alarm to blood clotting dropping and heavy rag flow. Lots of pet messes to clean, fed babies, Growly got his meds, fed kitty outside and already need more wet cat food. I had 2 boxes of canned wet food at the beginning of the week before my trip. Also need more dry cat food. Had 2 cups of coffee with creamer and made an everything bagel to eat with my multivitamins. Going to throw in a few more than the normal 3 bc of my heavy blood flow and feeling sort of dizzy, had 5. Might be low or super low on iron. Have a full day today too. Bringing two flour tortillas, 2 slices colby jack cheese, and 1/5 of the hershey's chocolate candy bar in pieces approximately more than 1/8th and less than 1/4. Measurements taken after the bagel with less cream cheese than normal bc last of whipped cream cheese. I have the regular bar one that I have to cut into to spread. I need new calipers. Mine broke yesterday and I didn't think it would affect the measurements or how I take them until trying it out this morning. I will have to wait until I get the same exact ones in or similar. The mm measurements could be off. Finished the exception to absense for GA1 by 945 pm, bed by 10 pm. Had LB pain today by kidney on RHS, massaged 10 seconds and went away. It started after break, dehydrated, and 5th coffee. Maybe the chocolate candy bar too and no BM, that happens when no BM for day sometimes and was on rag heavy flow.</t>
  </si>
  <si>
    <t xml:space="preserve">Woke up at 530am by alarm. Went to bed last night at 10 pm. Got about 7.5 hours sleep. Heavy clotting when I woke up, one dropped on floor about 1/4 cup fluid oz blood clot. Roommate said I left pussy blood on floor and he doesn't want to clean it up. I actually cleaned up that clot but left some other drip on the floor I didnt' think about. Did normal routine, Growlys meds, fed babies and cat outside. My coffee, had a lg BM after 2nd cup, was trying to do the exception to absense for FABS1 but it was the group assignment we did 2 weeks ago that requires a lot of filling in. We have a midterm in the lab section at 10 am tomorrow and I have work until 5 pm. Found out CTAP has another draw it to know it 1-2 hour assignment to complete by tonight. It sucks taking 5 classes mandatory for med school they do shit like this with the exam study time getting dampered by group projects, assignments, or quizzes to do in the other courses. A lot of stress.  I hate stress. I seriously think the people who want to create that much stress to move up in life are pieces of shit. Why the fuck is that necessary? Its not, but whatever. Go ahead you elitists, we all end up dust and nameless in the end. lets just murder some people with stress who won't respect you much less remember you with reverence other than disgust when your name comes up to amuse ourselves. I am bitter about the CTAP and CP1 classes I am in. The other ones are fine. They run them like they want you to succeed. The others kind of but at the same time, have this need to prove the road to becomeing a Dr. of chiropractic is stressful and not easy. Not much room for respect in that bottle or design, but whatever and ok. We see the point. From the beginning we should alll just go fuck ourselves, right? Anyhow.. updating this to unwind before I do the stupid Drw it to know it for class participation points and squeese in whatever is left of my brain to stuy for the FABS midterm. I also have about 5 hours to study in the morning once I get on track assuming I wake up around 4 am and take 1/2 hour to do my normal routine before the exam. I had 5 multivitamins again today, and had the heavy clots but med-heavy blood flow rest of day closer to med flow. Had 4 cups coffee on the way to work the 4th with creamer, and a 5th of instant no creamer on break. Lunch was 2 flour tortills and 2 slices colby jack cheese. Brkfst was another 1/3 french bread in airfryer warmed with 2 slices colby jack cheese. Trying not to spend money as tight on money due to not having time due to studying my butt off for these classes and assignments. AFter work a Jameson over ice, then another is planned as of yet, not done. It is after work updating db. I got my waist fat trimmer caliper measures a different kind from Amazon after work but didn't open the pkg or use. I ordered a new 4 camera swann DVD hard drive from Amazon thats supposed to arrive tomorrow and itsa an 8 channel one that only comes with 4, but I have 4 already. So seems to work out. Credit card almost maxed out. But made some cash tips this weekend about $140. Going straight to the bills and groceries. </t>
  </si>
  <si>
    <t xml:space="preserve">Woke up 4am, got out of bed at 415 am and studied for FABS1 midterm and some of the CTAP quiz, did normal routine, the roommate was up and making food, so I couldn't get started earlier if I had gotten out of bed at 4 am. Got about 6 hours sleep. Bed time was around 10 pm last night. Did some FABS studying before that time. I ended up getting a 77% on midterm of 100 questions. I could have gotten a better score on this lab section, but didn't try to memorize the ossifications of primary and secondary for regions of spine only and not specifics and not 100% on which was which, if primary was before birth and secondary after, but I feel like it was. Also the occipital triangle, confuses me bc the only thing I do know is that the minor one isn't included in the triangle and some attach to skull and one doesn't but all labeled with capitus, two are obliques and 2 are rectus. but the muscle patterns aren't straight up or sideways. So I forget and no mnemonic to remember. Also the exact anterior portion of the cervical costaltransverse or costotransverse area of the vertebrae. Everything else I feel like I had down and was all good with only one of the three types of spondylosis reg version and not two other derivative or similar types. I have a LE midterm in FABS1 on Thursday so it would be good to brush up better on that, and find a way to remember that shit about the occipitals and ossifications per Region and vertebrae and exactly what the difference is between the cervical costo or costal transverse process and the transverse vertebrae ones. When too similar I gamble on a question being Mult choice or T/F on generally speaking and also the nerves and insertions I feel like I got down. and muscles. But the ones that insert onto the humerus like in the intertubercular groove, the lateral or medial edge of that groove or the inferior, superior, or middle greater trochanter, seem common sense when looking at images provided and assumed given but should be studied further. I have extra credit in that class and also have been doing well on my quizzes. Not worried about that grade at all. It was passing. I should be worried about the CP1 course for all of it LE and lab bc the lab midterm coming up and the short little Robin, Beavis and Butthead, Spongebob Dr. Caper dude who never sanitizes his hands but demos procedures on all of his in each group in every class will be our judge for my group Wednesday. He is a nice, friendly dude, but I do not like him touching me to demo when a group member asks, bc he never sanitizes his hands. He also always adds to every demo he does that, 'not like this, (weird sound effects back and forth) like some people do' and shows us it like someone in our group WAS doing that. So I don't know if he is seeing it as someone doing that, or if he is just saying that he doesn't like seeing that as an aside that is added everytime he demos a procedure that none of us were doing. So I feel like maybe he thinks we are doing it and will mark or dock points. I had him specifically look at one of our group members' Kevin doing a wiggle of SIJ or lumar from endrange to endfeel knowing it wasn't that bambam thing Dr. Caper doesn't like seeing and had him come over to make sure Keven was doing it correctly and not doing that thing he always adds to the demos after every demo. That was a week ago before midterms started and before my trip to Chicago for my mom's funeral services. Its 3 days of midterm lab practicals in CP1 bc of the large class size and limited instructors to grade and evaluate everyone with 12 minutes each. Anyhow. For CTAP on the quiz later, using the time I logged off early from FABS after finishing midterm to study the material more than time used before that of about an hour, the break offered 2 hours. I got an 8/10 on that quiz. Our midterm in his class is next Monday. I have the CP1 practical midterm on campus Wed and the FABS1 LE on this Thurs. I have a client who has cancelled 2 weeks in a row this Wed so not sure if she is still on, but I think I could squeeze her in if she doesn't. I just spent all my cash other than fuel money to get to campus at Winco on groceries. I am super broke. ATT gonna get paid late again this month and $200 on my credit card. Bc Next insurance went ahead and charged me the increased rate they said would start November. But its October and they charged me the increase of $50 bc they suck, I am a great driver and they are greedy and raised my rate.. I had to cancel my subscriptions and pause some for prime, hulu, and hbo/max bc I got my auto registration due this Nov too for $300-$400 and my increased auto insurance and Growly's meds and no time to work due to these midterms to study for and quizzes and assisgnments. Time is going by fast though. It should be a little easier next few weeks. I don't want too many clients right now unless they make it worth it. Tia and Beulah are keepers and the Garcias's but the timing cannot be a week that I have to do a lot of studying bc I cannot stay up past 10 pm some nights. Going to bed early saves my ankles from being swollen. And CTAP said that can lead to congestive heart failure and eventual death due to blockage of the veinous and lymphatics and having water in the heart. No good fix. I don't have congestive heart failure, but I do get swollen ankles and it backs up fluid and is not good for my health. Its from my large fibroid(s) that are blocking veinous return up from legs on the thoracic artery and inferior vena cava and thoracic duct.  Today ate an eV bagel with cream cheese, had 3 cups coffee with creamer, a reg BM after 2nd cup and a tiny 2nd and 3rd BM bw my 3rd to 4th cups coffee before 8 am. Had 5th cup coffee after CTAP, after a decaf coffee, then a decaf coffee after 5th cup coffee. Ate a 1/5 hersheys symphony candy bar while studying before CTAP quiz, and had a mini pizza with colby jack cheese after scraping off the other cheese bc it got black and burnt in the air fryer for 10 minutes at 375. After CTAP at 3 went to Winco and it was raining lightly while in the store, got TP and PT and cat food wet/dry bc it runs out fast, laundry detergent cheese, pistachios, bagels, and oat milk creamer. The prices are high there and no savings really felt, but probably saved about $30. I normally spend about $140 but spent $112 of tips. Had a Jameson when I got home and then checked emails and saw the announcement to CP1 posting some videos to complete to get credit for no class due to separate midterms being held on class/lab days. She is only giving credit for watching it but will need to as we will be tested on everything or anything from those videos. Ankles swollen and body itched with compression socks on from shower time around 920 am till about 2 pm, no waist trimmer worn. Skin dry too. Need to stay hydrated or drink more water. Menstruation is med lt today and only took the normal 3 multivitamins today after the bagel about 20 minutes afterwards bc I forgot. I got the new mm calipers and they cut into my skin. I don't recommend them and they aren't fast or quick, takes time to take the measurement, the measurements are not the same due to the sharp edges cutting into the fat. If you pinch more than the fat amount they cut you like a sharp edge of a plastic or metal bottle cap. I got it from Amazon called 'Carbon Fiber Composites Digital Caliper' and not happy with it. Might keep it around but now it takes more time to take the measurements and they still aren't accurate due to the large and painful amount of room and not getting the right angle to see the results when doing your self. </t>
  </si>
  <si>
    <t>Planet Oat Oat milk coffee creamer carmel flavored, serving 1 tbs</t>
  </si>
  <si>
    <t>First Street Mozzarella sliced, serving 1 slice</t>
  </si>
  <si>
    <t>Thomas's Plain Bagels</t>
  </si>
  <si>
    <t>First Street cream cheese, 2 tbs serving</t>
  </si>
  <si>
    <t>Winco string cheese mozzarella 1 piece</t>
  </si>
  <si>
    <t>Winco colby and Monterey jack cheese sticks</t>
  </si>
  <si>
    <t>1 patron,2 jameson</t>
  </si>
  <si>
    <t xml:space="preserve">Mon </t>
  </si>
  <si>
    <t>Woke up at 5 am bed time last night was 850 pm. No rag</t>
  </si>
  <si>
    <t>woke up at 4 am bed by  10 pm. No rag.</t>
  </si>
  <si>
    <t>woke up at 430 am by alarm, bed by 10 pm. Had spotty rag in day.</t>
  </si>
  <si>
    <t>Woke up 4:30 am by alarm, no cramps when waking, no BM, no waist trimmer or compression socks worn all day, had a nap at 140 pm for 20 minutes. Was on a light rag. Bed was at 10 pm. No drinks of alcohol today. Texted Becky happy birthday earlier in day. Had 6 cups of coffee all day with creamer. light rag all day almost spotty.</t>
  </si>
  <si>
    <t>woke up at 530 am, bed time was 1130 pm got about 6 hours sleep. 5 multivitamins. Measurements taken after breakfast and 2 cups coffee. Went to bed at 830 pm. No BM all day.</t>
  </si>
  <si>
    <t xml:space="preserve">woke up at 510 am got about 8 hours sleep. No BM all day. Stress from CTAP midterm and FABS1 quiz having to study for after work on weekends for Monday morning and afternoon. </t>
  </si>
  <si>
    <t>Woke up at 4 am, lg BM after 3 cups coffee, had 5 multivitamins, ankles noticebly swollen but not much even with the multivitamins and not sitting so much while studying. I have been standing for studying most of the time. Got about 5 hours sleep and went to bed later in day at 10 pm</t>
  </si>
  <si>
    <t>aldi swiss slices, serving is 1 slice</t>
  </si>
  <si>
    <t>aldi instant hazelnut coffee creamer, serving is 4 tbs</t>
  </si>
  <si>
    <t>aldi Lovin Fresh white pita bread, serving is 1 pita</t>
  </si>
  <si>
    <t>sandwhich skinnys aldi brand whole wheat thin bagels serving is 1 roll</t>
  </si>
  <si>
    <t>aldi mixed nuts, serving is 1/4 cup</t>
  </si>
  <si>
    <t>Signature French Bread serving is 2 oz and 8 per pkg</t>
  </si>
  <si>
    <t>2 flour tortillas
(440.00	10.00	4.00	12.00	76.00	8.00	1360.00)
4 slices colby jack cheese
(280.00	24.00	14.00	20.00	0.00	0.00	460.00)
ev bagel
(240.00	2.50	0.50	9.00	47.00	3.00	600.00)
2 tbs creamchees
(100.00	10.00	6.00	2.00	2.00	0.00	105.00)
1/5 XL hersheys symphony candy bar
(480.00	28.80	16.00	9.60	54.40	3.20	160.00)
1/3 French bread bakery from Vons
(400.00	2.67	0.00	13.33	82.67	2.67	933.33)
15 coffee creamers
(525.00	22.50	0.00	0.00	75.00	0.00	225.00)
=440+280+240+100+480+400+525
=10+24+3+10+29+3+23
=4+14+1+6+16+0+0
=12+20+9+2+10+13+0
=76+0+47+2+54+83+75
=8+0+3+0+3+3+0
=1360+460+600+105+160+933+225</t>
  </si>
  <si>
    <t>2/3 french bread
(800.00	5.33	0.00	26.67	165.33	5.33	1866.67)
6 slices colby jack cheese
(350	30	17.5	25	0	0	575)
2 flour tortillas
(440	10	4	12	76	8	1360)
12 coffee creamers
(420	18	0	0	60	0	180)
mini pizza
(400	22	9	19	38	3	920)
=800+350+440+420+400
=5+30+10+18+22
=0+18+4+0+9
=27+25+12+0+19
=165+0+76+60+38
=5+0+8+0+3
=1867+575+1360+180+920</t>
  </si>
  <si>
    <t>12 creamers
(420	18	0	0	60	0	180)
3 tbs cream cheese
(150	15	9	3	3	0	157.5)
ev bagel
(240	2	0.5	8	46	2	630)
mini cheese pizza
(400	22	9	19	38	3	920)
2 slices colby jack cheese
(140	12	7	10	0	0	230)
1/5 hersheys symphony XL candy bar
(480	28.8	16	9.6	54.4	3.2	160)
=420+150+240+400+140+480
=18+15+2+22+12+29
=0+9+1+9+7+16
=0+3+8+19+10+10
=60+3+46+38+0+54
=0+0+2+3+0+3
=180+158+630+920+230+160</t>
  </si>
  <si>
    <t>2 cups pistachios
(640	52	6	24	32	12	540)
15 zucchini fingers/fries
(450	18	3	6	60	3	1080)
1 ev bagels
(240	2	0.5	8	46	2	630)
3 tbs cream cheese
(150	15	9	3	3	0	157.5)
1 plain Thomas's bagel
(270	1.5	0.5	9	53	2	450)
2 slices mozz cheese
(120	8	5	10	2	0	280)
=640+450+240+150+270+120
=52+18+2+15+2+8
=6+3+1+9+1+5
=24+6+8+3+9+10
=32+60+46+3+53+2
=12+3+2+0+2+0
=540+1080+630+158+450+280</t>
  </si>
  <si>
    <t>15 tbs oatmilk coffee creamer
(375	15	0	0	60	0	300)
3 plain bagels
(810	4.5	1.5	27	159	6	1350)
5 slices mozz cheese
(300	20	12.5	25	5	0	700)
=375+810+300
=15+5+20
=0+2+13
=0+27+25
=60+159+5
=0+6+0
=300+1350+700</t>
  </si>
  <si>
    <t>15 tbs oatmilk coffee creamer
(375	15	0	0	60	0	300)
4 tbs ampm int delt coffee creamer
(140	6	0	0	20	0	60)
2 string cheese mozz
(160	12	7	12	2	0	300)
2 string cheese colbyJack
(180	16	9	12	0	0	320)
3/4 bag 3 serving cheetos
(1350	84	13.5	15	126	6	2040)
2 plain bagels
(540	3	1	18	106	4	900)
1 ev bagel
(240	2	0.5	8	46	2	630)
3 slices mozz cheese
(180	12	7.5	15	3	0	420)
=375+140+160+180+1350+540+240+180
=15+6+12+16+84+3+2+12
=0+0+7+9+14+1+1+8
=0+0+12+12+15+18+8+15
=60+20+2+0+126+106+46+3
=0+0+0+0+6+4+2+0
=300+60+300+320+2040+900+630+420</t>
  </si>
  <si>
    <t>2 EV bagels
(480	4	1	16	92	4	1260)
3 tbs cream cheese
(150	15	9	3	3	0	157.5)
2 string cheese mozz
(160	12	7	12	2	0	300)
2 colby jack string cheese
(180	16	9	12	0	0	320)
1/4 bag of the 3 serving bag cheetos
(337.5	21	3.375	3.75	31.5	1.5	510)
baked cheddar potato chips a 3 serving bag
(360	10.5	1.5	6	66	3	750)
21 tbs oatmilk coffee creamer
(525	21	0	0	84	0	420)
=480+150+160+180+338+360+525
=4+15+12+16+21+11+21
=1+9+7+9+3+2+0
=16+3+12+12+4+6+0
=92+3+2+0+32+66+84
=4+0+0+0+2+3+0
=1260+158+300+320+510+750+420</t>
  </si>
  <si>
    <t>5 fruit snax aldi
(400	0	0	5	95	0	100)
2 pita
(360	0	0	12	78	2	420)
2 mozz string cheese
(160	12	7	12	2	0	300)
2 CJ string cheese
(180	16	9	12	0	0	320)
2 slices mozz
(120	8	5	10	2	0	280)
2 slices swiss
(140	12	7	10	0	0	70)
4 tbs instanst hazelnut coffee creamer
(60	2	1	0	9	0	0)
=400+360+160+180+120+140+60
=0+0+12+16+8+12+2
=0+0+7+9+5+7+1
=5+12+12+12+10+10+0
=95+78+2+0+2+0+9
=0+2+0+0+0+0+0
=100+420+300+320+280+70+0</t>
  </si>
  <si>
    <t>EV bagel
(240	2.5	0.5	9	47	3	600)
2 mozz string cheese
(160	12	7	12	2	0	300)
1/4 cup mixed nuts Aldi
(170	15	2	6	5	2	85)
5 fruit snax aldi
(400	0	0	5	95	0	100)
9 tbs oatmilk carmel coffee creamer
(225	9	0	0	36	0	180)
8 tbs instant hazelnut coffee creamer
(135	4.5	2.25	0	20.25	0	0)
2 wheat flat bagels from Aldi
(200.00	2.00	0.00	8.00	40.00	10.00	360.00)
1 slice mozz
(60	4	2.5	5	1	0	140)
1 slice swiss
(70	6	3.5	5	0	0	35)
=240+160+170+400+225+135+200+60+70
=3+12+15+0+9+5+2+4+6
=1+7+2+0+0+2+0+3+4
=9+12+6+5+0+0+8+5+5
=47+2+5+95+36+20+40+1+0
=3+0+2+0+0+0+10+0+0
=600+300+85+100+180+0+360+140+35</t>
  </si>
  <si>
    <t>4 tbs instant hazelnut coffee creamer
(60	2	1	0	9	0	0)
3 pitas
(540	0	0	18	117	3	630)
3 slices swiss
(210	18	10.5	15	0	0	105)
1 slice mozz
(60	4	2.5	5	1	0	140)
2 impossible burger patties
(480	28	16	38	18	6	740)
2 mozz string cheese
(160	12	7	12	2	0	300)
1 CJ string cheese
(90	8	4.5	6	0	0	160)
1 cup instant mashed potatos
(120	3	2	2	20	1	410)
=60+540+210+60+480+160+90+120
=2+0+18+4+28+12+8+3
=1+0+11+3+16+7+5+2
=0+18+15+5+38+12+6+2
=9+117+0+1+18+2+0+20
=0+3+0+0+6+0+0+1
=0+630+105+140+740+300+160+410</t>
  </si>
  <si>
    <t>4 flour tortillas
(440	10	4	12	76	8	1360)
3/2 cup mashed potatoes instant same as yesterday
(360	9	6	6	60	3	1230)
6 slices swiss cheese
(420	36	21	30	0	0	210)
1 stick CJ cheese
(90	8	4.5	6	0	0	160)
2 flat wheat bagels or bagel thins
(360	0	0	12	78	2	420)
8 tbs instant hazelnut coffee creamer
(120	4	2	0	18	0	0)
5 fruit snax aldi
(400	0	0	5	95	0	100)
=440+360+420+90+360+120+400
=10+9+36+8+0+4+0
=4+6+21+5+0+2+0
=12+6+30+6+12+0+5
=76+60+0+0+78+18+95
=8+3+0+0+2+0+0
=1360+1230+210+160+420+0+100</t>
  </si>
  <si>
    <t xml:space="preserve">woke up at 4 am by alarm and went to bed at 10 pm last night, but didn't get out of bed until 5 am. Was able to go back to sleep. Had a reg BM after 2nd cup coffee. Got Growly's meds, was studying. The last few notes were mixed up dates for last week so that is why they are minimal. I did a lot of stuying though and was stressed with midterms and work. This database is done. I don't have time. I will only keep track of it minimally but not rely on it to see the daily changes much less measurements, bc they are skewed and the new mm fat tool cuts and hurts to use so I eliminated it from use, it is inconsistent in results due to  the fact I can't get it to be precise bc it cuts into my skin. Measurements taken after 4 cups coffee and 1 decaf with instant hazelnut creamer. Bed time by 10 pm. </t>
  </si>
  <si>
    <t>L'oven Fresh Tandoori Naan pita bread, serving 1/2 slice, 2 servings:</t>
  </si>
  <si>
    <t>Jameson Whiskey and Patron tequila</t>
  </si>
  <si>
    <t>Woke up at 5 am and had about 7 hours sleep as bed time last night was around 10 pm. I slept in to the 5 am alarm after 4 am alarm. Had a tiny BM after 2 cups instant coffee. Pre-prepped my study dbs for the 2 quizzes tomorrow I plan on studying before returning from client's tonight after campus. My regular, she didn't cancel. Had a vision migraine after class and drank 7th cup instant coffee on way home w/o warming it up. Also had a cup of salted mixed nuts from aldi on way home. Bkfst was 2 flour tortillas with last of instant mashed potatoes and 2 slices swiss cheese, lunch was 5 fruit snx aldi brand. Had 3/4 coca cola of roommates at night when I had a pita bread and slice of CJ cheese and slice of mozz in airfryer. drank about 15 tbs instant creamer. No waist trimmer today bc of the campus class, did wear compression socks. Got back at 930 after Aldi trip after client's appointment. Waze had me take the 91fwy after school home btw from yorba linda blvd and arrived normal time about 20 minutes before time to leave to go to my client's house. Studied by answering 1st half of study guide questions in db I made for it with notes and already had the FABS db and study guide questions answered. bed time at 12 am. no problems sleeping</t>
  </si>
  <si>
    <t xml:space="preserve">Woke at 4 am by alarm, and finished last 1/2 study guide, had a lg BM after 2 cups instant coffee no creamer, and studied into memory from images in pdfs, labs, notes, and dbs I made for both courses, showered early and did more studying, got 80% in GA1 and 87% in FABS1. Went to campus tired on my 5th cup instant coffee. Wore waist trimmer and compression socks, but only the waist trimmer about 5 hours as CP1 class at 1 pm. Did cervicals and Atlas assessments. Been taking 5 mutis regularly. Had 6th cup coffee on way home. Brkfst much earlier was pita with 2 CJ/1mozz and lunch pita w/ 2 mozz/1CJ slices. Had 2 cups decaf too both with instant creamer and the one on way to school with instant creamer. About 9 tbs instant creamer. Mario in lab checked he had a cough system and was red screened btw and has to take a covid test today and tomorrow and be neg both times to go to class next week. No more quizzes this week but stuying for the CP1 and IPA1 quizzes next week. Updated the SOAP notes and receipt for client last night and input this data into db for today and yesterday and had a Jameson before starting then a pita with only 2 CJ slices before starting the patron. No ice ready for it and roommate was gone when I got home. I stole more of his stash that I replaced earlier. </t>
  </si>
  <si>
    <t>Jameson whiskey</t>
  </si>
  <si>
    <t xml:space="preserve">Woke up at 5 am after sleeping through 4 am alarm, laid in bed bc today long day with work until 10 pm after online courses. At work some female bum did a 90 minute and didn't leave gratuity. That always makes me not want to work when thankless people come in. I never had her before but her last name was Cota like the town a rapist that drugs pretty girls and rapes them named Jesse from 2003 lives in a place by that name, Cota de Casa. And she saw a dude named Chad in Ontario 3 times and Alex here and was wearing red lace thongs. Chad was a homeless dude that stayed with my ex's mom before she lost her house bc they knew him and his family but he was a gambling addict and a loser who quit bc he fell into drugs. </t>
  </si>
  <si>
    <t>2 flour tortillas
()
2 slices swiss
()
12 tbs instant coffee creamer hzlnt
()
pita bread
()2 flour tortillas
(220	5	2	6	38	4	680)
2 slices swiss
(140	12	7	10	0	0	70)
12 tbs instant coffee creamer hzlnt
(180	6	3	0	27	0	0)
pita bread
(200.00	2.00	0.00	8.00	38.00	4.00	400.00)
slice mozz
(60	4	2.5	5	1	0	140)
slice CJ
(70	5	3	4	0	0	105)
1 cup mixed and salted nuts
(340	30	4	12	10	4	170)
1 cup pistachios
(320	26	3	12	16	6	270)
=220+140+180+200+60+70+340+320
=5+12+6+2+4+5+30+26
=2+7+3+0+3+3+4+3
=6+10+0+8+5+4+12+12
=38+0+27+38+1+0+10+16
=4+0+0+4+0+0+4+6
=680+70+0+400+140+105+170+270
slice mozz
()
slice CJ
()
1 cup mixed and salted nuts
()
1 cup pistachios
()</t>
  </si>
  <si>
    <t xml:space="preserve">3 pita bread 
(930	18	3	27	159	6	2580)
5 CJ slices
(350	25	15	20	0	0	525)
4 mozz slices
(240	16	10	20	4	0	560)
1 cup pistachios
(320	26	3	12	16	6	270)
6 fruit snax
(480	0	0	6	114	0	120)
3 tbs creamer instant hazelnut
(60	2	1	0	9	0	0)
1/2 cup pistachios
(160.00	13.00	1.50	6.00	8.00	3.00	135.00)
=930+350+240+320+480+60+160
=18+25+16+26+0+2+13
=3+15+10+3+0+1+2
=27+20+20+12+6+0+6
=159+0+4+16+114+9+8
=6+0+0+6+0+0+3
=2580+525+560+270+120+0+135
</t>
  </si>
  <si>
    <t>potatoes au gratin, pkg, servings are 5/pkg add milk and butter but used creamcheese instead, pkg</t>
  </si>
  <si>
    <t xml:space="preserve">2 pita
(400	4	0	16	76	8	800)
5 slices CJ
(350	25	15	20	0	0	525)
1 flour tortilla
(110	2.5	1	3	19	2	340)
3 slices mozz
(180	12	7.5	15	3	0	420)
3 tbs cream cheese
(150	15	9	3	3	0	157.5)
3/4 potatoes au grautan
(562.5	22.5	13.125	7.5	86.25	3.75	1800)
9 tbs instant coffee creamer hazelnut
(120	4	2	0	18	0	0)
=400+350+110+180+150+563+120
=4+25+3+12+15+23+4
=0+15+1+8+9+13+2
=16+20+3+15+3+8+0
=76+0+19+3+3+86+18
=8+0+2+0+0+4+0
=800+525+340+420+158+1800+0
</t>
  </si>
  <si>
    <t>Jameson Whiskey</t>
  </si>
  <si>
    <t xml:space="preserve">Woke up at 530 am and got to bed last night at 12 am. Had a lg BM after 2 cups coffee, the first 3 no creamer, the 4th with creamer and the 5th one at lunch time also had instant creamer, and the 6th cup on the way home no creamer. No waisttrimmer all day, and had gas even with the lg BM earlier in am. It was probably those au gratin potatos from yesterday bc nothing was different. Had a kink in neck, but I usually get that on day 2 or 3 of straight massages in a row on the weekend that goes away with self massage and stretching and rest. Put away the laundry I had in the basket from this morning when I got home, had a Jameson then another by 7 pm and a tiny BM after that and went to bed around 830 pm. Brkfst was pia w/ swiss, lunch the same plus 1 flour tortilla and 1 slice CJ cheese rollup, 1/2 cup pistachios and 4 fruit snax for lunch at work. At home had 3 more fruit snax another 1/2 cup pistachios, 2 mini naan pitas with CJ each 1 slice, also a 1/2 cup mixed nuts on lunch break when taking my van through a much needed car wash. I stopped at Aldis afterwards to get water, pistachios, fruit snacks and pita bread. I had an extended lunch due to the noshow the hour slot before that time. </t>
  </si>
  <si>
    <t>mini naan flatbread from Aldi a pita, serving 1 naan, for 2:</t>
  </si>
  <si>
    <t>white pita bread, serving 1, aldis</t>
  </si>
  <si>
    <t xml:space="preserve">2 pita
(360	0	0	12	78	2	420)
2 mozz
(120	8	5	10	2	0	280)
3 CJ
(210	15	9	12	0	0	315)
1 cup pistachios
(320	26	3	12	16	6	270)
1/2 cup mixed nuts
(340	30	4	12	10	4	170)
7 frt snx
(560	0	0	7	133	0	140)
2 mini naan pita
(280	8	2	8	42	2	660)
1 flour tortilla
(110	2.5	1	3	19	2	340)
8 tbs instant hzlnt coffee crmer
(480	16	8	0	72	0	0)
=360+120+210+320+340+560+280+110+480
=0+8+15+26+30+0+8+3+16
=0+5+9+3+4+0+2+1+8
=12+10+12+12+12+7+8+3+0
=78+2+0+16+10+133+42+19+72
=2+0+0+6+4+0+2+2+0
=420+280+315+270+170+140+660+340+0
</t>
  </si>
  <si>
    <t>Naan flatbread serving is 1/3 bread, this is 3 servings or 1 flatbread:</t>
  </si>
  <si>
    <t>Woke up at 4 am but got out of bed 10 minutes after 4 am bc I hit snooze instead of stop and didn't feel tired. I went to bed at 830 pm last night and got about 7.5 hours sleep. I realized when I looked at the stove that said 5 am that I actually got 8.5 hours of sleep bc it was daylight savings time last night and I reset the clock to the current time an hour earlier. Had 2 mini naan pitas, 2 CJ slices for bkft, reg BM after 203 cups coffee, showered after bkfst, another 90 min today didn't tip a med student, gross. That makes 3 90-min and 1-60 min that was a douche that didn't tip in last 2-3 weeks. Considering a wellness center instead since the people would be more in line with my education goals and massage therapy and welcoming to me to work at. The people I work with aren't that great to see daily as not friendly as in do not say hi when you say hi other than a few people out of about 20 people. Not worth it. Last check was good, but this one has the regular days, last check had 2 more days on it, this one will have 40 hours and low tips as a pool. Had a couple Jameson and worked on the nervous system review material and drawing in for FABS1 before bed time around 9 pm. Closer to 845 pm. Was tired. I also had 7 frt snx, 4 more mini naans pita, 3 CJ slices, 2 slices mozz, 1 reg pita before bed and a cup pistachios.</t>
  </si>
  <si>
    <t xml:space="preserve">Woke up at 4 am, got out of bed at 430 am. Ranted about bums not tipping on facebook, applied to a few wellness massage center jobs, did some anatomy FABS search on GSF and LSF grtr/lssr sciatic foramina structures that go through those foramen made by the ligaments and muscles of the gluteal region. Had a lg BM after 2 cups coffee instant as always., 4 cups coffee before grocery store to get more household goods and cat food. Dry at Winco the rest at Staters Bros at 7 am. Coffee creamer instant hzlnt in cups 4, 5 and decaf before 1 pm. Got Growlys other meds pimbendan from Riverside by 1 pm at 1245 pm after class transferred $100 to get other 2 meds for Growly from roomate's acct bc he knows about it and bitched about it and getting a job I can start paying for it. Today I had to text the CP1 group for the zoom link as canvas school dash was down for maintenance when time to login 45 min prior at 915 am class starts 10 am. Max gave me the link but too long to enter into computer so I found it from my web history and used it. Showered on my break in FABS then tried to complete the group project with only 1 slide but I couldn't tell what nerve started where bc they looked like all L1-S3 but it was L2-S2 that made more sense. Aaron helped me with that thankfully that group is also a cool group to be in for group projects. I will for sure use that file to study from. Had a flatbrad new pita for bkft and lunch with 2 mozz bkft and 2 CJ lunch. later lunch after getting Growly's meds had a previous type pita bread on wheat that isn't good and bought 2 pkgs. Had that w/ 2 CJ slices. Then started on the GA1 prerecorded videos. I have a quiz in IPA1 this Wed to study for and my client is tomorrow at 5 pm who is back from Louisiana. It will be great to see her again. Also another client Wed. Changed my prices on mobile massage for new clients only too, bc not getting tipped at work and doing way more work than paid for is not enough to make me want to work. So the new prices make me happy and the old prices for existing members make me happy for those clients only. </t>
  </si>
  <si>
    <t>6 mini naan pitas
(1680	48	12	48	252	12	3960)
5 CJ slices
(350	25	15	20	0	0	525)
2 mozz
(120	8	5	10	2	0	280)
1 reg pita
(200.00	2.00	0.00	8.00	38.00	4.00	400.00)
7 frt snx
(560	0	0	7	133	0	140)
1 cup pistachios
(320	26	3	12	16	6	270)
=1680+350+120+200+560+320
=48+25+8+2+0+26
=12+15+5+0+0+3
=48+20+10+8+7+12
=252+0+2+38+133+16
=12+0+0+4+0+6
=3960+525+280+400+140+270</t>
  </si>
  <si>
    <t xml:space="preserve">2 flatbread pitas
(760	22	4	22	118	6	1820)
1 cup pistachios
(320	26	3	12	16	6	270)
2 mozz
(120	8	5	10	2	0	280)
7 CJ
(280	20	12	16	0	0	420)
1 wheat pita
(200.00	2.00	0.00	8.00	38.00	4.00	400.00)
6 fruit snax
()
1 cup pistachios
()
1 reg coca cola
()
2 servings butter popcorn
()
</t>
  </si>
  <si>
    <t>Woke up at 4 am went to bed @ 8 pm. I forgot CTAP login yesterday @ 130 pm. Felt like a free day after picking up Growly's meds @ 1245 pm yesterday, Missed 1 day of CTAP no excuse. No prerecorded video LE up so I read both ppts on lymphatic tissue and digestive tissue. Had 2 wheat pitas later in day, had a reg/lg BM after 3 cups coffee early in the day, the pias were for lunch and bdfst w/ 3 CJ and 4 swiss and lg flatbread, 7 frt snx last of them, 6 cups coffee and 2 decaf all day, the 1st 4 cups no creamer. About 4 servings instant creamer, it lasts a while. Had GA1 at 10 am - 12 pm and watched the lab yesterday during CTAP and the prerecorded LEs part 1 and 2 earlier in the morning before class bw 4am and 9am. Went to Anaheim for chiro interview at 1 pm then had another intrvw booked while waitning in Anaheim in Yorba Linda, went to both and they can only offer 3 hours a week and would have to quit my 8 hour ME gauranteed income to work there. One the 2nd can guarantee 3 hours paid and both pay $25/hour the latter cash, and my old friend co-worker from ME Tustin is leaving there but worked there since 2011 approx. Diane. She's a cool Diane though. I actually like this one and a client I knew named Diane. She's moving to TX and I would take her place and the Dr is an SCUHS grad '91. Cool dude, reminds me of a tall sons of anarchy type dude with no mask policy, its OC. I had to decline later in day after going to my 5 pm regulars appointment shes back from AL vacation. Very nice lady. Her norm routine is noon Tuesdays, but due to class we push for 1230 pm. Had another decaf w/creamer in bw coming back from the intrvews and leaving for clients house and set up the equipment and put hydrocollator in van in its own basket to balance in front seat. Need an extra extension cord. Might get one later. I got class at 8am FABS, then GA1 2 hours, then leave for campus CP1 2 hours then IPA a quiz and 2 hours. Maybe after work. I have my reg at 7 pm too. I got tomorrow off but do have prerecorded video LEs and can use time to stdy for CP1 quiz Fri at 8 am. Had a Jameson when I got home and gave client her receipt and SOAP notes and then reviewed the kahoots and the lab for the preclass quiz in GA1 which btw Max reminded up to all take on group chat. Thats cool bc I know I have forgotten 2 already and JP has forgotten 1, we seem to be the only ones (who admit it anyways). Took quiz and got 5/5, some questions threw me off but just went with what I know and didn't try to think it could be some answer I never heard of and that i just forgot that part of the LEs or lab. Thank fully not bc I would have missed 2 if I would have done that on the lig of Traitz and the vagus nerve questions. all splanchnic nerves appear to all be pregg SP not PS and the question asked for PS, and there was one ligament that could have been likely for the lig that holds the duodenojejuno flexure junction up as the hepatopancreatico ligament bc near that area. I had another wheat pita w/ Mozz 1 and 2 swiss. then bed around 8 pm. Planned on getting up early to study for IPA1.</t>
  </si>
  <si>
    <t>Woke up at 4 am by alarm as always at this time, and went to bed last night around 8 am, got about 8 hours sleep. Had a reg BM after 2 cups coffee no creamer in 1st 3 cups coffee, then a decaf with creamer instant hzl and a 4the caffentd coffee w/ instant creamer. Had a couple swiss and 1 mozz slice on the flatbread pita earler. Class at 8am, showered by 725 am.</t>
  </si>
  <si>
    <t>saltpepper pistachios 1/2 c serving with shells</t>
  </si>
  <si>
    <t>morning star chk'n nuggets, vegan, serving 4</t>
  </si>
  <si>
    <t>morning starveggie pepperoni pizza bites serving is 6</t>
  </si>
  <si>
    <t xml:space="preserve">Woke up at 4 am studied CP1 then bored so did facebook posts of news across world had a lg BM after 2nd coffee, had 4 coffees by quiz time 30 min after LE , 1st 30 min @ 8 am got an 8/10. The reading db helped a lot but blanked on memory somewhat on motion of CS Flexion/extenion or rotation for the Atlas/Axis/occiput/lower cervicals questions but ok w/ score. Otherwise I would have tried to really burn it into my brain by reading and rereading and rereading and so on the db content. Had a wheat pita and CJ and mozz and then 10 vegi pizza rolls and 1 cup pistacios salt and pepper same as last 3 days, had a coca cola w/ pizza rolls also 2 flour tortills, mashed potatoes w/ cream cheese about 5 tbs in the bag of oreida mashed frozen microwaveable, and 2 mozz slcies airfryed as roll-ups, 20 min nap @ 10 am, 5 multivit same as have been, slight swollen ankles, compression socks and waist trimmer worn today, but only about 4 hours before work on the waist trimmer. had 2 more flour tortilla potato mozz rollups before work, and 1/2 cup pistachios then another 1/2 cup pistachios at work on my mini break. Had a 6th cup of coffee by the time I left. Went to Aldis by work to get more white pita and instant coffee creamer hazelnut and french vanilla. At end of work found ou tthe med student 90 min did tip me cash the front just didn't give it to me when waiting up front for her to. Had a no show and left early a regular, he works late in LA and drives in traffic was too exhausted to come in. Got home and was tired myself and had a Jameson and looked at news on internet and went to bed around 1030 pm. Yesterday I went to bed around 12 am bc I had 2 canned cokes and for some reason it kept me from falling asleep. I tried to go to sleep around 830 pm but laid in bed until 1030 pm, studied CP1 until 12 am then went to bed. Must have gotten about 4.5 hours sleep in all to start the day. </t>
  </si>
  <si>
    <t>Woke up at 5 am after sleeping through the 4 am alarm by turning it off and waiting for 5 am alarm to go off but was able to sleep. I went to bed around 11 pm last night after putting laundry in the dryer and getting back from grocery store after my 7 pm appointment in Yorba Linda. Had a reg BM after the earlier 2 cups coffee, a 3rd coffee, a wheat pita w/ 2 CJ clides for bkfst and a 4th coffee. No creamer in them all. Worked on FABS muscles as a db format and then did the readings for CS quiz in CP1 plus readings for week 9, and found out from Max that the quiz is only on wk 8 CS material in CP1 and had to recheck. bc I thought it included the wk 9 joint mobility LEs but didn't quick scan the recorded LE of last Fri to confirm so am studying less material with CS instead. Had a serving of morning star ckn nuggets a 5th coffe w decaf and a pure decaf before that both with creamer, and actually the 4th had the crmr too for this week and last of instant hzlnt crmer. Work called at 8 am to see if I could cover a call out but I thought not, as I have hw and quz prep todo and did by 4 pm. That and the people are usually bitches and cheapskates that I pick up that someone else usually massages so thought it was the universe getting back at them by having their LMT call out on them. This last weekend I had 2 90-min from new clients to me that didn't tip. Not happy about that at all. Not trying to repeat that same negative self-esteem feelings or reconfirm that people out there dont give a fuck about tippling the service industry first line to make them feel better. Those clients can go fuck themselves I seriously don't know what type of people believe that who are not young z gen or young millenials handed everything to them. I would rather have the young z gen that uses mommy and daddy s cc to give me way more of a tip than normal than zero. Who the fuck taught these people service ettiquette?! So wasn't about to bring that shit up again on repeat. It is getting closer to the holidays but seriously I would never not tip my service worker, and those that have tipped this weekend tipped on the low end for the most part. Universe getting back at them is what I think. After I took the kahoots quiz and got a 10/10 for CTAP I had my 1st Jameson then listened to the roommate scream about someone taking the recycling trashcan, since its a holiday today I can't call to speak to WM to see if they picked it up. I looked at the security footage and found out it does record, hallelujah! Praise Jesus! but not the right angle. I and the roommate who said he would this last Sunday didn't put up the extra 4 security cams. We're missing a recycling trash can, and its odd that WM is running today bc they get other holidays off. My dad works there, his work and cell phone block my number, ever since I asked him to send flowr s to mom's funeral haven't been able to contact him so sent him an email shortly before work asked me to cover for someone. After doing the security camera maintenance and looking over this group 2 project in FABS due at the end of the month and emailing group members about it and asking to tell me who to assign what regions to. I had a 2nd jameson and put away the laundry and did the dishes and made a serving for myself of pizza rolls vegan morning star pepp ones and updated this db. I also forgot that I texted my client from last night's possible dad that texted me on prices for massage yesterday but didn't hear a reply by 430 pm. Then planned on studying some more for CP1 by reviewing db made on readings and LE material and the pdf on it. I did do just that after having another Jameson with coke, and a couple slices of CJ and pistachios and watching a movie from 10 years ago or more, 10000 BC. It was great. Tried to go to bed early at around 830 pm after looking over the CP1 material for about 45 minutes after the movie that I watched earlier that ended around 7 pm. But couldn't go to sleep at 830 and got out of bed at 1030 did more studying of CP1 and went to bed at 12 am.</t>
  </si>
  <si>
    <t xml:space="preserve">3 wheat pita
(540	0	0	18	117	3	630)
1 flat bread pita
(380	11	2	11	59	3	910)
3 CJ slices
(210	15	9	12	0	0	315)
6 Swiss
(420	36	21	30	0	0	210)
1 mozz
(60	4	2.5	5	1	0	140)
7 frt snx
(560	0	0	7	133	0	140)
15 tbs instant creamer hzlnt
(900	30	15	0	135	0	0)
1/4 cup pistachios
(80	6.5	0.75	3	4	1.5	67.5)
=540+380+210+420+60+560+900+80
=0+11+15+36+4+0+30+7
=0+2+9+21+3+0+15+1
=18+11+12+30+5+7+0+3
=117+59+0+0+1+133+135+4
=3+3+0+0+0+0+0+2
=630+910+315+210+140+140+0+68
</t>
  </si>
  <si>
    <t xml:space="preserve">flatbread pita
(380	11	2	11	59	3	910)
2 wheat pita
(360	0	0	12	78	2	420)
6 swiss slices
(420	36	21	30	0	0	210)
3 mozz slices
(180	12	7.5	15	3	0	420)
15 tbs instant hzlnt crmr
(900	30	15	0	135	0	0)
2 servings cheetos
(300.00	18.67	3.00	3.33	28.00	1.33	453.33)
=380+360+420+180+900+300
=11+0+36+12+30+19
=2+0+21+8+15+3
=11+12+30+15+0+3
=59+78+0+3+135+28
=3+2+0+0+0+1
=910+420+210+420+0+453
</t>
  </si>
  <si>
    <t xml:space="preserve">2 cups pistachios
(320.00	26.00	3.00	12.00	16.00	66.00	460.00)
2 pita
(360.00	0.00	0.00	12.00	78.00	2.00	420.00)
6 CJ slices
(420.00	30.00	18.00	24.00	0.00	0.00	630.00)
serving 4 pcs morning star ckn nuggets
(190.00	8.00	1.00	13.00	18.00	4.00	300.00)
serving 6 pcs morning star pepperoni pizza bites
(180	7	2	9	21	3	410)
2 coca cola full size reg can
(360.00	0.00	0.00	0.00	100.00	0.00	120.00)
9 tbs instant hzlnt crmer
(540.00	18.00	9.00	0.00	81.00	0.00	0.00)
4 servings cheetos
(598.50	37.24	5.99	6.65	55.86	2.66	904.40)
=320+360+420+190+180+360+540+599
=26+0+30+8+7+0+18+37
=3+0+18+1+2+0+9+6
=12+12+24+13+9+0+0+7
=16+78+0+18+21+100+81+56
=66+2+0+4+3+0+0+3
=460+420+630+300+410+120+0+904
</t>
  </si>
  <si>
    <t>orieda homestyle steam n' mash, mashed potatoes, serving 3/4 cup</t>
  </si>
  <si>
    <t xml:space="preserve">4 flour tortillas
(440.00	10.00	4.00	12.00	76.00	8.00	1360.00)
5 mozz
(300.00	20.00	12.50	25.00	5.00	0.00	700.00)
2 cups mashed potatoes Orida microwaveable cubes
(160.00	0.00	0.00	5.33	40.00	5.33	853.33)
1 coca cola
(180.00	0.00	0.00	0.00	50.00	0.00	60.00)
10 veggie morning start pizza rolls
(288.00	11.20	3.20	14.40	33.60	4.80	656.00)
wheat pita
(180.00	0.00	0.00	6.00	39.00	1.00	210.00)
CJ slice
(70.00	5.00	3.00	4.00	0.00	0.00	105.00)
2 cups pistachios
(320.00	26.00	3.00	12.00	16.00	66.00	460.00)
=440+300+160+180+288+180+70+320
=10+20+0+0+11+0+5+26
=4+13+0+0+3+0+3+3
=12+25+5+0+14+6+4+12
=76+5+40+50+34+39+0+16
=8+0+5+0+5+1+0+66
=1360+700+853+60+656+210+105+460
</t>
  </si>
  <si>
    <t xml:space="preserve">Woke up at 4 am by alarm but got out of bed at 510 am, normal routine. I got a couple quizzes on Monday to study for in FABS1 and CTAP1. But work first leaving by 720 am and getting ready by 630 am. Updated this db as much as I could for yesterday and today's notes and just the nutrition for yesterday, but also calculations for food items for last 4 days before work. Had 2 cups instant coffee without the instant creamer I just bought and a reg lg BM. Finished updating this by 637 am then made brkfst, had 3 rd cup and 4th cup (planned) before HA and before work if not. and multivitamins 5 now. Had a potato mozz flour tortilla rollup for brkfst left over and warmed in airfryer. At work had 1 cup pistachios approximately and a double salmon poki bowl normal style with added albacore. And a 5th cup coffee with fr. vanilla creamer about 4 tbs. Had my 4th cup w/ same creamer and amount before leaving for work. After work had a shot and a half of Jameson and swept the floor. MeowMeow is pissing/spraying on all the bedding and the furniture covers and I didn't see the little blck kitty or the bigger one today. On my Blink cam I saw the little one ate the peanuts I put out front for the squirrel but she has her own cat food out back. Hopefully they are alright. Not worried about the big one, but the little one is a shy little one. </t>
  </si>
  <si>
    <t>DOUBLE salmon, 1 serv albarcore, brown rice, masago, cucumbers, wasabi, ginger, ponzu sauce, sesame seeds poki bowl</t>
  </si>
  <si>
    <t xml:space="preserve">1 cup pistachios
(320	26	3	12	16	66	460)
1 flour tortilla
(110.00	2.50	1.00	3.00	19.00	2.00	340.00)
1 mozz
(70	4.5	2.5	5	1	0	150)
1/2 cup potatoes mashed oreida
(40.00	0.00	0.00	1.33	10.00	1.33	213.33)
double salmon poki bowl with house sauce/ponzu sauce and added albacore
(691.00	11.53	2.33	28.58	114.45	8.38	2267.50)
cream cheese 3 tbs with poki bowl
(200.00	20.00	12.00	4.00	4.00	0.00	210.00)
=320+110+70+40+691+200
=26+3+5+0+12+20
=3+1+3+0+2+12
=12+3+5+1+29+4
=16+19+1+10+114+4
=66+2+0+1+8+0
=460+340+150+213+2268+210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</si>
</sst>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1" tint="0.499984740745262"/>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57">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0" fontId="0" fillId="0" borderId="0" xfId="0" applyFill="1" applyAlignment="1">
      <alignment vertical="top"/>
    </xf>
    <xf numFmtId="14" fontId="0" fillId="0" borderId="0" xfId="0" applyNumberFormat="1" applyFill="1" applyAlignment="1">
      <alignment vertical="top"/>
    </xf>
    <xf numFmtId="18" fontId="0" fillId="0" borderId="0" xfId="0" applyNumberFormat="1" applyFill="1" applyAlignment="1">
      <alignment vertical="top"/>
    </xf>
    <xf numFmtId="1" fontId="0" fillId="0" borderId="0" xfId="0" applyNumberFormat="1" applyFill="1" applyAlignment="1">
      <alignment vertical="top"/>
    </xf>
    <xf numFmtId="2" fontId="0" fillId="0" borderId="0" xfId="0" applyNumberFormat="1" applyFill="1" applyAlignment="1">
      <alignment vertical="top"/>
    </xf>
    <xf numFmtId="0" fontId="0" fillId="0" borderId="0" xfId="0" applyFill="1" applyAlignment="1">
      <alignment vertical="top" wrapText="1"/>
    </xf>
    <xf numFmtId="0" fontId="0" fillId="0" borderId="0" xfId="0" applyFill="1" applyAlignment="1">
      <alignment vertical="center" wrapText="1"/>
    </xf>
    <xf numFmtId="1" fontId="0" fillId="0" borderId="0" xfId="0" applyNumberFormat="1" applyFill="1" applyAlignment="1">
      <alignment horizontal="center" vertical="center" wrapText="1"/>
    </xf>
    <xf numFmtId="0" fontId="0" fillId="0" borderId="0" xfId="0" applyFill="1" applyAlignment="1">
      <alignment horizontal="center" vertical="center" wrapText="1"/>
    </xf>
    <xf numFmtId="0" fontId="0" fillId="2" borderId="0" xfId="0" applyFill="1"/>
    <xf numFmtId="2" fontId="0" fillId="2" borderId="0" xfId="0" applyNumberFormat="1" applyFill="1"/>
    <xf numFmtId="2" fontId="0" fillId="2" borderId="0" xfId="0" applyNumberFormat="1" applyFill="1" applyAlignment="1">
      <alignment horizontal="center"/>
    </xf>
    <xf numFmtId="2" fontId="0" fillId="2" borderId="0" xfId="0" applyNumberFormat="1" applyFill="1" applyAlignment="1">
      <alignment vertical="top"/>
    </xf>
    <xf numFmtId="0" fontId="0" fillId="2" borderId="0" xfId="0" applyFill="1" applyAlignment="1">
      <alignment vertical="top"/>
    </xf>
    <xf numFmtId="14" fontId="0" fillId="0" borderId="0" xfId="0" applyNumberFormat="1" applyFill="1" applyAlignment="1">
      <alignment vertical="center" wrapText="1"/>
    </xf>
    <xf numFmtId="18" fontId="0" fillId="0" borderId="0" xfId="0" applyNumberFormat="1" applyFill="1" applyAlignment="1">
      <alignment vertical="center" wrapText="1"/>
    </xf>
    <xf numFmtId="1" fontId="0" fillId="0" borderId="0" xfId="0" applyNumberFormat="1" applyFill="1" applyAlignment="1">
      <alignment vertical="center" wrapText="1"/>
    </xf>
    <xf numFmtId="2" fontId="0" fillId="0" borderId="0" xfId="0" applyNumberFormat="1" applyFill="1" applyAlignment="1">
      <alignment vertical="center" wrapText="1"/>
    </xf>
    <xf numFmtId="2" fontId="0" fillId="0" borderId="0" xfId="0" applyNumberFormat="1" applyFill="1" applyAlignment="1">
      <alignment horizontal="center" vertical="center" wrapText="1"/>
    </xf>
    <xf numFmtId="2" fontId="0" fillId="2" borderId="0" xfId="0" applyNumberFormat="1" applyFill="1" applyAlignment="1">
      <alignment vertical="center" wrapText="1"/>
    </xf>
    <xf numFmtId="14" fontId="0" fillId="0" borderId="0" xfId="0" applyNumberFormat="1" applyFill="1" applyAlignment="1">
      <alignment horizontal="center" vertical="center" wrapText="1"/>
    </xf>
    <xf numFmtId="18" fontId="0" fillId="0" borderId="0" xfId="0" applyNumberFormat="1" applyFill="1" applyAlignment="1">
      <alignment horizontal="center" vertical="center" wrapText="1"/>
    </xf>
    <xf numFmtId="2" fontId="0" fillId="2" borderId="0" xfId="0" applyNumberFormat="1" applyFill="1" applyAlignment="1">
      <alignment horizontal="center" vertical="center" wrapText="1"/>
    </xf>
    <xf numFmtId="0" fontId="0" fillId="2" borderId="0" xfId="0" applyFill="1" applyAlignment="1">
      <alignment horizontal="center" vertical="center" wrapText="1"/>
    </xf>
    <xf numFmtId="14" fontId="0" fillId="0" borderId="0" xfId="0" applyNumberFormat="1" applyFill="1" applyAlignment="1">
      <alignment vertical="top" wrapText="1"/>
    </xf>
    <xf numFmtId="18" fontId="0" fillId="0" borderId="0" xfId="0" applyNumberFormat="1" applyFill="1" applyAlignment="1">
      <alignment vertical="top" wrapText="1"/>
    </xf>
    <xf numFmtId="1" fontId="0" fillId="0" borderId="0" xfId="0" applyNumberFormat="1" applyFill="1" applyAlignment="1">
      <alignment vertical="top" wrapText="1"/>
    </xf>
    <xf numFmtId="2" fontId="0" fillId="0" borderId="0" xfId="0" applyNumberFormat="1" applyFill="1" applyAlignment="1">
      <alignment vertical="top" wrapText="1"/>
    </xf>
    <xf numFmtId="2" fontId="0" fillId="2" borderId="0" xfId="0" applyNumberFormat="1" applyFill="1" applyAlignment="1">
      <alignment vertical="top" wrapText="1"/>
    </xf>
    <xf numFmtId="2" fontId="0" fillId="0" borderId="0" xfId="0" applyNumberFormat="1" applyFill="1" applyAlignment="1">
      <alignment horizontal="center" vertical="top" wrapText="1"/>
    </xf>
    <xf numFmtId="1" fontId="0" fillId="0" borderId="0" xfId="0" applyNumberFormat="1" applyFill="1" applyAlignment="1">
      <alignment horizontal="center" vertical="top" wrapText="1"/>
    </xf>
    <xf numFmtId="0" fontId="0" fillId="0" borderId="0" xfId="0" applyFill="1" applyAlignment="1">
      <alignment horizontal="center" vertical="top" wrapText="1"/>
    </xf>
    <xf numFmtId="0" fontId="0" fillId="3" borderId="0" xfId="0" applyFill="1" applyAlignment="1">
      <alignment vertical="top" wrapText="1"/>
    </xf>
    <xf numFmtId="2" fontId="0" fillId="3" borderId="0" xfId="0" applyNumberFormat="1" applyFill="1" applyAlignment="1">
      <alignment vertical="top" wrapText="1"/>
    </xf>
    <xf numFmtId="0" fontId="0" fillId="3" borderId="0" xfId="0" applyFill="1"/>
    <xf numFmtId="2" fontId="0" fillId="3" borderId="0" xfId="0" applyNumberFormat="1" applyFill="1"/>
    <xf numFmtId="2" fontId="0" fillId="3" borderId="0" xfId="0" applyNumberForma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66"/>
  <sheetViews>
    <sheetView workbookViewId="0">
      <pane ySplit="1" topLeftCell="A645" activePane="bottomLeft" state="frozen"/>
      <selection pane="bottomLeft" activeCell="B666" sqref="B666:H66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1190</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1191</v>
      </c>
      <c r="B546">
        <v>410</v>
      </c>
      <c r="C546">
        <v>15</v>
      </c>
      <c r="D546">
        <v>9</v>
      </c>
      <c r="E546">
        <v>10</v>
      </c>
      <c r="F546">
        <v>55</v>
      </c>
      <c r="G546">
        <v>0</v>
      </c>
      <c r="H546">
        <v>650</v>
      </c>
    </row>
    <row r="547" spans="1:8" x14ac:dyDescent="0.3">
      <c r="A547" s="16" t="s">
        <v>1192</v>
      </c>
      <c r="B547">
        <v>100</v>
      </c>
      <c r="C547">
        <v>9</v>
      </c>
      <c r="D547">
        <v>6</v>
      </c>
      <c r="E547">
        <v>2</v>
      </c>
      <c r="F547">
        <v>2</v>
      </c>
      <c r="G547">
        <v>0</v>
      </c>
      <c r="H547">
        <v>150</v>
      </c>
    </row>
    <row r="548" spans="1:8" x14ac:dyDescent="0.3">
      <c r="A548" s="16" t="s">
        <v>1193</v>
      </c>
      <c r="B548">
        <v>70</v>
      </c>
      <c r="C548">
        <v>3.5</v>
      </c>
      <c r="D548">
        <v>0</v>
      </c>
      <c r="E548">
        <v>1</v>
      </c>
      <c r="F548">
        <v>9</v>
      </c>
      <c r="G548">
        <v>1</v>
      </c>
      <c r="H548">
        <v>110</v>
      </c>
    </row>
    <row r="549" spans="1:8" x14ac:dyDescent="0.3">
      <c r="A549" s="16" t="s">
        <v>1198</v>
      </c>
      <c r="B549">
        <v>1040</v>
      </c>
      <c r="C549">
        <v>32</v>
      </c>
      <c r="D549">
        <v>12</v>
      </c>
      <c r="E549">
        <v>44</v>
      </c>
      <c r="F549">
        <v>144</v>
      </c>
      <c r="G549">
        <v>16</v>
      </c>
      <c r="H549">
        <v>1360</v>
      </c>
    </row>
    <row r="550" spans="1:8" x14ac:dyDescent="0.3">
      <c r="A550" s="16" t="s">
        <v>1199</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1202</v>
      </c>
      <c r="B551">
        <f>4*350</f>
        <v>1400</v>
      </c>
      <c r="C551">
        <f>4*15</f>
        <v>60</v>
      </c>
      <c r="D551">
        <f>4*8</f>
        <v>32</v>
      </c>
      <c r="E551">
        <f>4*17</f>
        <v>68</v>
      </c>
      <c r="F551">
        <f>4*37</f>
        <v>148</v>
      </c>
      <c r="G551">
        <f>4*3</f>
        <v>12</v>
      </c>
      <c r="H551">
        <f>4*780</f>
        <v>3120</v>
      </c>
    </row>
    <row r="552" spans="1:8" x14ac:dyDescent="0.3">
      <c r="A552" s="16" t="s">
        <v>1207</v>
      </c>
      <c r="B552">
        <v>150</v>
      </c>
      <c r="C552">
        <v>11</v>
      </c>
      <c r="D552">
        <v>4.5</v>
      </c>
      <c r="E552">
        <v>2</v>
      </c>
      <c r="F552">
        <v>14</v>
      </c>
      <c r="G552">
        <v>1</v>
      </c>
      <c r="H552">
        <v>220</v>
      </c>
    </row>
    <row r="553" spans="1:8" x14ac:dyDescent="0.3">
      <c r="A553" s="16" t="s">
        <v>1208</v>
      </c>
      <c r="B553">
        <v>100</v>
      </c>
      <c r="C553">
        <v>1</v>
      </c>
      <c r="D553">
        <v>0</v>
      </c>
      <c r="E553">
        <v>16</v>
      </c>
      <c r="F553">
        <v>6</v>
      </c>
      <c r="G553">
        <v>4</v>
      </c>
      <c r="H553">
        <v>320</v>
      </c>
    </row>
    <row r="554" spans="1:8" x14ac:dyDescent="0.3">
      <c r="A554" s="16" t="s">
        <v>1209</v>
      </c>
      <c r="B554">
        <v>160</v>
      </c>
      <c r="C554">
        <v>9</v>
      </c>
      <c r="D554">
        <v>2</v>
      </c>
      <c r="E554">
        <v>2</v>
      </c>
      <c r="F554">
        <v>15</v>
      </c>
      <c r="G554">
        <v>1</v>
      </c>
      <c r="H554">
        <v>180</v>
      </c>
    </row>
    <row r="555" spans="1:8" x14ac:dyDescent="0.3">
      <c r="A555" s="16" t="s">
        <v>1216</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1217</v>
      </c>
      <c r="B556">
        <v>130</v>
      </c>
      <c r="C556">
        <v>7</v>
      </c>
      <c r="D556">
        <v>1</v>
      </c>
      <c r="E556">
        <v>2</v>
      </c>
      <c r="F556">
        <v>17</v>
      </c>
      <c r="G556">
        <v>1</v>
      </c>
      <c r="H556">
        <v>450</v>
      </c>
    </row>
    <row r="557" spans="1:8" x14ac:dyDescent="0.3">
      <c r="A557" s="16" t="s">
        <v>1218</v>
      </c>
      <c r="B557">
        <v>80</v>
      </c>
      <c r="C557">
        <v>0</v>
      </c>
      <c r="D557">
        <v>0</v>
      </c>
      <c r="E557">
        <v>0</v>
      </c>
      <c r="F557">
        <v>19</v>
      </c>
      <c r="G557">
        <v>0</v>
      </c>
      <c r="H557">
        <v>30</v>
      </c>
    </row>
    <row r="558" spans="1:8" x14ac:dyDescent="0.3">
      <c r="A558" s="16" t="s">
        <v>1219</v>
      </c>
      <c r="B558">
        <v>120</v>
      </c>
      <c r="C558">
        <v>4</v>
      </c>
      <c r="D558">
        <v>0.5</v>
      </c>
      <c r="E558">
        <v>2</v>
      </c>
      <c r="F558">
        <v>18</v>
      </c>
      <c r="G558">
        <v>1</v>
      </c>
      <c r="H558">
        <v>210</v>
      </c>
    </row>
    <row r="559" spans="1:8" x14ac:dyDescent="0.3">
      <c r="A559" s="16" t="s">
        <v>1220</v>
      </c>
      <c r="B559">
        <v>80</v>
      </c>
      <c r="C559">
        <v>5</v>
      </c>
      <c r="D559">
        <v>1</v>
      </c>
      <c r="E559">
        <v>2</v>
      </c>
      <c r="F559">
        <v>7</v>
      </c>
      <c r="G559">
        <v>1</v>
      </c>
      <c r="H559">
        <v>120</v>
      </c>
    </row>
    <row r="560" spans="1:8" x14ac:dyDescent="0.3">
      <c r="A560" s="16" t="s">
        <v>1222</v>
      </c>
      <c r="B560" s="17">
        <v>140</v>
      </c>
      <c r="C560" s="17">
        <v>9</v>
      </c>
      <c r="D560" s="17">
        <v>1.5</v>
      </c>
      <c r="E560" s="17">
        <v>2</v>
      </c>
      <c r="F560" s="17">
        <v>14</v>
      </c>
      <c r="G560" s="17">
        <v>1</v>
      </c>
      <c r="H560" s="17">
        <v>230</v>
      </c>
    </row>
    <row r="561" spans="1:8" x14ac:dyDescent="0.3">
      <c r="A561" s="16" t="s">
        <v>1223</v>
      </c>
      <c r="B561">
        <v>150</v>
      </c>
      <c r="C561">
        <v>8</v>
      </c>
      <c r="D561">
        <v>1</v>
      </c>
      <c r="E561">
        <v>2</v>
      </c>
      <c r="F561">
        <v>18</v>
      </c>
      <c r="G561">
        <v>1</v>
      </c>
      <c r="H561">
        <v>190</v>
      </c>
    </row>
    <row r="562" spans="1:8" x14ac:dyDescent="0.3">
      <c r="A562" s="16" t="s">
        <v>1224</v>
      </c>
      <c r="B562">
        <v>150</v>
      </c>
      <c r="C562">
        <v>8</v>
      </c>
      <c r="D562">
        <v>1</v>
      </c>
      <c r="E562">
        <v>2</v>
      </c>
      <c r="F562">
        <v>18</v>
      </c>
      <c r="G562">
        <v>1</v>
      </c>
      <c r="H562">
        <v>210</v>
      </c>
    </row>
    <row r="563" spans="1:8" x14ac:dyDescent="0.3">
      <c r="A563" s="16" t="s">
        <v>1229</v>
      </c>
      <c r="B563">
        <v>110</v>
      </c>
      <c r="C563">
        <v>3</v>
      </c>
      <c r="D563">
        <v>0</v>
      </c>
      <c r="E563">
        <v>2</v>
      </c>
      <c r="F563">
        <v>19</v>
      </c>
      <c r="G563">
        <v>1</v>
      </c>
      <c r="H563">
        <v>125</v>
      </c>
    </row>
    <row r="564" spans="1:8" x14ac:dyDescent="0.3">
      <c r="A564" s="16" t="s">
        <v>1230</v>
      </c>
      <c r="B564">
        <v>110</v>
      </c>
      <c r="C564">
        <v>3</v>
      </c>
      <c r="D564">
        <v>0</v>
      </c>
      <c r="E564">
        <v>2</v>
      </c>
      <c r="F564">
        <v>19</v>
      </c>
      <c r="G564">
        <v>1</v>
      </c>
      <c r="H564">
        <v>220</v>
      </c>
    </row>
    <row r="565" spans="1:8" x14ac:dyDescent="0.3">
      <c r="A565" s="16" t="s">
        <v>1231</v>
      </c>
      <c r="B565">
        <v>160</v>
      </c>
      <c r="C565">
        <v>10</v>
      </c>
      <c r="D565">
        <v>1.5</v>
      </c>
      <c r="E565">
        <v>2</v>
      </c>
      <c r="F565">
        <v>15</v>
      </c>
      <c r="G565">
        <v>1</v>
      </c>
      <c r="H565">
        <v>250</v>
      </c>
    </row>
    <row r="566" spans="1:8" x14ac:dyDescent="0.3">
      <c r="A566" s="16" t="s">
        <v>1235</v>
      </c>
      <c r="B566">
        <v>150</v>
      </c>
      <c r="C566">
        <v>1.5</v>
      </c>
      <c r="D566">
        <v>0.5</v>
      </c>
      <c r="E566">
        <v>5</v>
      </c>
      <c r="F566">
        <v>30</v>
      </c>
      <c r="G566">
        <v>1</v>
      </c>
      <c r="H566">
        <v>200</v>
      </c>
    </row>
    <row r="567" spans="1:8" x14ac:dyDescent="0.3">
      <c r="A567" s="16" t="s">
        <v>1246</v>
      </c>
      <c r="B567" s="17">
        <v>150</v>
      </c>
      <c r="C567" s="17">
        <v>8</v>
      </c>
      <c r="D567" s="17">
        <v>4</v>
      </c>
      <c r="E567" s="17">
        <v>3</v>
      </c>
      <c r="F567" s="17">
        <v>16</v>
      </c>
      <c r="G567" s="17">
        <v>1</v>
      </c>
      <c r="H567" s="17">
        <v>25</v>
      </c>
    </row>
    <row r="568" spans="1:8" x14ac:dyDescent="0.3">
      <c r="A568" s="16" t="s">
        <v>1247</v>
      </c>
      <c r="B568">
        <v>370</v>
      </c>
      <c r="C568">
        <v>16</v>
      </c>
      <c r="D568">
        <v>16</v>
      </c>
      <c r="E568">
        <v>0</v>
      </c>
      <c r="F568">
        <v>64</v>
      </c>
      <c r="G568">
        <v>0</v>
      </c>
      <c r="H568">
        <v>5</v>
      </c>
    </row>
    <row r="569" spans="1:8" x14ac:dyDescent="0.3">
      <c r="A569" s="16" t="s">
        <v>1249</v>
      </c>
      <c r="B569" s="17">
        <v>180</v>
      </c>
      <c r="C569" s="17">
        <v>5</v>
      </c>
      <c r="D569" s="17">
        <v>3</v>
      </c>
      <c r="E569" s="17">
        <v>6</v>
      </c>
      <c r="F569" s="17">
        <v>28</v>
      </c>
      <c r="G569" s="17">
        <v>1</v>
      </c>
      <c r="H569" s="17">
        <v>360</v>
      </c>
    </row>
    <row r="570" spans="1:8" x14ac:dyDescent="0.3">
      <c r="A570" s="16" t="s">
        <v>1252</v>
      </c>
      <c r="B570">
        <v>330</v>
      </c>
      <c r="C570">
        <v>18</v>
      </c>
      <c r="D570">
        <v>9</v>
      </c>
      <c r="E570">
        <v>26</v>
      </c>
      <c r="F570">
        <v>16</v>
      </c>
      <c r="G570">
        <v>2</v>
      </c>
      <c r="H570">
        <v>420</v>
      </c>
    </row>
    <row r="571" spans="1:8" x14ac:dyDescent="0.3">
      <c r="A571" s="16" t="s">
        <v>1253</v>
      </c>
      <c r="B571" s="17">
        <v>240</v>
      </c>
      <c r="C571" s="17">
        <v>2</v>
      </c>
      <c r="D571" s="17">
        <v>0.5</v>
      </c>
      <c r="E571" s="17">
        <v>8</v>
      </c>
      <c r="F571" s="17">
        <v>46</v>
      </c>
      <c r="G571" s="17">
        <v>2</v>
      </c>
      <c r="H571" s="17">
        <v>630</v>
      </c>
    </row>
    <row r="572" spans="1:8" x14ac:dyDescent="0.3">
      <c r="A572" s="16" t="s">
        <v>1254</v>
      </c>
      <c r="B572">
        <v>80</v>
      </c>
      <c r="C572">
        <v>5</v>
      </c>
      <c r="D572">
        <v>3.5</v>
      </c>
      <c r="E572">
        <v>6</v>
      </c>
      <c r="F572">
        <v>2</v>
      </c>
      <c r="G572">
        <v>0</v>
      </c>
      <c r="H572">
        <v>190</v>
      </c>
    </row>
    <row r="573" spans="1:8" x14ac:dyDescent="0.3">
      <c r="A573" s="16" t="s">
        <v>1255</v>
      </c>
      <c r="B573" s="17">
        <v>0</v>
      </c>
      <c r="C573" s="17">
        <v>0</v>
      </c>
      <c r="D573" s="17">
        <v>0</v>
      </c>
      <c r="E573" s="17">
        <v>0</v>
      </c>
      <c r="F573" s="17">
        <v>0</v>
      </c>
      <c r="G573" s="17">
        <v>0</v>
      </c>
      <c r="H573" s="17">
        <v>55</v>
      </c>
    </row>
    <row r="574" spans="1:8" x14ac:dyDescent="0.3">
      <c r="A574" s="16" t="s">
        <v>1256</v>
      </c>
      <c r="B574">
        <v>0</v>
      </c>
      <c r="C574">
        <v>0</v>
      </c>
      <c r="D574">
        <v>0</v>
      </c>
      <c r="E574">
        <v>0</v>
      </c>
      <c r="F574">
        <v>1</v>
      </c>
      <c r="G574">
        <v>0</v>
      </c>
      <c r="H574">
        <v>260</v>
      </c>
    </row>
    <row r="575" spans="1:8" x14ac:dyDescent="0.3">
      <c r="A575" s="16" t="s">
        <v>1263</v>
      </c>
      <c r="B575">
        <v>210</v>
      </c>
      <c r="C575">
        <v>12</v>
      </c>
      <c r="D575">
        <v>4.5</v>
      </c>
      <c r="E575">
        <v>6</v>
      </c>
      <c r="F575">
        <v>17</v>
      </c>
      <c r="G575">
        <v>0</v>
      </c>
      <c r="H575">
        <v>350</v>
      </c>
    </row>
    <row r="576" spans="1:8" x14ac:dyDescent="0.3">
      <c r="A576" s="16" t="s">
        <v>1265</v>
      </c>
      <c r="B576">
        <v>5</v>
      </c>
      <c r="C576">
        <v>0</v>
      </c>
      <c r="D576">
        <v>0</v>
      </c>
      <c r="E576">
        <v>0</v>
      </c>
      <c r="F576">
        <v>1</v>
      </c>
      <c r="G576">
        <v>0</v>
      </c>
      <c r="H576">
        <v>400</v>
      </c>
    </row>
    <row r="577" spans="1:8" x14ac:dyDescent="0.3">
      <c r="A577" s="16" t="s">
        <v>1268</v>
      </c>
      <c r="B577">
        <v>80</v>
      </c>
      <c r="C577">
        <v>0</v>
      </c>
      <c r="D577">
        <v>0</v>
      </c>
      <c r="E577">
        <v>1</v>
      </c>
      <c r="F577">
        <v>19</v>
      </c>
      <c r="G577">
        <v>0</v>
      </c>
      <c r="H577">
        <v>20</v>
      </c>
    </row>
    <row r="578" spans="1:8" x14ac:dyDescent="0.3">
      <c r="A578" s="16" t="s">
        <v>1269</v>
      </c>
      <c r="B578">
        <v>140</v>
      </c>
      <c r="C578">
        <v>7</v>
      </c>
      <c r="D578">
        <v>1</v>
      </c>
      <c r="E578">
        <v>0</v>
      </c>
      <c r="F578">
        <v>20</v>
      </c>
      <c r="G578">
        <v>2</v>
      </c>
      <c r="H578">
        <v>15</v>
      </c>
    </row>
    <row r="579" spans="1:8" x14ac:dyDescent="0.3">
      <c r="A579" s="16" t="s">
        <v>1271</v>
      </c>
      <c r="B579" s="17">
        <v>380</v>
      </c>
      <c r="C579" s="17">
        <v>17</v>
      </c>
      <c r="D579" s="17">
        <v>9</v>
      </c>
      <c r="E579" s="17">
        <v>9</v>
      </c>
      <c r="F579" s="17">
        <v>48</v>
      </c>
      <c r="G579" s="17">
        <v>3</v>
      </c>
      <c r="H579" s="17">
        <v>880</v>
      </c>
    </row>
    <row r="580" spans="1:8" x14ac:dyDescent="0.3">
      <c r="A580" s="16" t="s">
        <v>1275</v>
      </c>
      <c r="B580">
        <v>230</v>
      </c>
      <c r="C580">
        <v>1</v>
      </c>
      <c r="D580">
        <v>0.5</v>
      </c>
      <c r="E580">
        <v>8</v>
      </c>
      <c r="F580">
        <v>46</v>
      </c>
      <c r="G580">
        <v>2</v>
      </c>
      <c r="H580">
        <v>400</v>
      </c>
    </row>
    <row r="581" spans="1:8" x14ac:dyDescent="0.3">
      <c r="A581" s="16" t="s">
        <v>1277</v>
      </c>
      <c r="B581">
        <v>150</v>
      </c>
      <c r="C581">
        <v>6</v>
      </c>
      <c r="D581">
        <v>1</v>
      </c>
      <c r="E581">
        <v>2</v>
      </c>
      <c r="F581">
        <v>20</v>
      </c>
      <c r="G581">
        <v>1</v>
      </c>
      <c r="H581">
        <v>360</v>
      </c>
    </row>
    <row r="582" spans="1:8" x14ac:dyDescent="0.3">
      <c r="A582" s="16" t="s">
        <v>1281</v>
      </c>
      <c r="B582">
        <v>220</v>
      </c>
      <c r="C582">
        <v>4.5</v>
      </c>
      <c r="D582">
        <v>2.5</v>
      </c>
      <c r="E582">
        <v>7</v>
      </c>
      <c r="F582">
        <v>39</v>
      </c>
      <c r="G582">
        <v>1</v>
      </c>
      <c r="H582">
        <v>280</v>
      </c>
    </row>
    <row r="583" spans="1:8" x14ac:dyDescent="0.3">
      <c r="A583" s="16" t="s">
        <v>1290</v>
      </c>
      <c r="B583" s="17">
        <v>160</v>
      </c>
      <c r="C583" s="17">
        <v>11</v>
      </c>
      <c r="D583" s="17">
        <v>2</v>
      </c>
      <c r="E583" s="17">
        <v>3</v>
      </c>
      <c r="F583" s="17">
        <v>13</v>
      </c>
      <c r="G583" s="17">
        <v>2</v>
      </c>
      <c r="H583" s="17">
        <v>260</v>
      </c>
    </row>
    <row r="584" spans="1:8" x14ac:dyDescent="0.3">
      <c r="A584" s="16" t="s">
        <v>1292</v>
      </c>
      <c r="B584" s="17">
        <v>19</v>
      </c>
      <c r="C584" s="17">
        <v>0.3</v>
      </c>
      <c r="D584" s="17">
        <v>0.1</v>
      </c>
      <c r="E584" s="17">
        <v>1.8</v>
      </c>
      <c r="F584" s="17">
        <v>3.3</v>
      </c>
      <c r="G584" s="17">
        <v>1.1000000000000001</v>
      </c>
      <c r="H584" s="17">
        <v>8</v>
      </c>
    </row>
    <row r="585" spans="1:8" x14ac:dyDescent="0.3">
      <c r="A585" s="16" t="s">
        <v>1295</v>
      </c>
      <c r="B585">
        <v>200</v>
      </c>
      <c r="C585">
        <v>9</v>
      </c>
      <c r="D585">
        <v>4</v>
      </c>
      <c r="E585">
        <v>9</v>
      </c>
      <c r="F585">
        <v>20</v>
      </c>
      <c r="G585">
        <v>2</v>
      </c>
      <c r="H585">
        <v>80</v>
      </c>
    </row>
    <row r="586" spans="1:8" x14ac:dyDescent="0.3">
      <c r="A586" s="16" t="s">
        <v>1296</v>
      </c>
      <c r="B586">
        <v>110</v>
      </c>
      <c r="C586">
        <v>0</v>
      </c>
      <c r="D586">
        <v>0</v>
      </c>
      <c r="E586">
        <v>12</v>
      </c>
      <c r="F586">
        <v>15</v>
      </c>
      <c r="G586">
        <v>0</v>
      </c>
      <c r="H586">
        <v>60</v>
      </c>
    </row>
    <row r="587" spans="1:8" x14ac:dyDescent="0.3">
      <c r="A587" s="16" t="s">
        <v>1298</v>
      </c>
      <c r="B587">
        <v>260</v>
      </c>
      <c r="C587">
        <v>2.5</v>
      </c>
      <c r="D587">
        <v>0</v>
      </c>
      <c r="E587">
        <v>11</v>
      </c>
      <c r="F587">
        <v>48</v>
      </c>
      <c r="G587">
        <v>3</v>
      </c>
      <c r="H587">
        <v>380</v>
      </c>
    </row>
    <row r="588" spans="1:8" x14ac:dyDescent="0.3">
      <c r="A588" s="16" t="s">
        <v>1303</v>
      </c>
      <c r="B588">
        <v>110</v>
      </c>
      <c r="C588">
        <v>1</v>
      </c>
      <c r="D588">
        <v>0.5</v>
      </c>
      <c r="E588">
        <v>1</v>
      </c>
      <c r="F588">
        <v>24</v>
      </c>
      <c r="G588">
        <v>0</v>
      </c>
      <c r="H588">
        <v>150</v>
      </c>
    </row>
    <row r="589" spans="1:8" x14ac:dyDescent="0.3">
      <c r="A589" s="16" t="s">
        <v>1304</v>
      </c>
      <c r="B589">
        <v>130</v>
      </c>
      <c r="C589">
        <v>5</v>
      </c>
      <c r="D589">
        <v>0</v>
      </c>
      <c r="E589">
        <v>2</v>
      </c>
      <c r="F589">
        <v>20</v>
      </c>
      <c r="G589">
        <v>3</v>
      </c>
      <c r="H589">
        <v>330</v>
      </c>
    </row>
    <row r="590" spans="1:8" x14ac:dyDescent="0.3">
      <c r="A590" s="16" t="s">
        <v>1307</v>
      </c>
      <c r="B590">
        <v>260</v>
      </c>
      <c r="C590">
        <v>5</v>
      </c>
      <c r="D590">
        <v>0.5</v>
      </c>
      <c r="E590">
        <v>13</v>
      </c>
      <c r="F590">
        <v>44</v>
      </c>
      <c r="G590">
        <v>5</v>
      </c>
      <c r="H590">
        <v>350</v>
      </c>
    </row>
    <row r="591" spans="1:8" x14ac:dyDescent="0.3">
      <c r="A591" s="16" t="s">
        <v>1386</v>
      </c>
      <c r="B591">
        <v>140</v>
      </c>
      <c r="C591">
        <v>7</v>
      </c>
      <c r="D591">
        <v>3</v>
      </c>
      <c r="E591">
        <v>2</v>
      </c>
      <c r="F591">
        <v>20</v>
      </c>
      <c r="G591">
        <v>3</v>
      </c>
      <c r="H591">
        <v>310</v>
      </c>
    </row>
    <row r="592" spans="1:8" x14ac:dyDescent="0.3">
      <c r="A592" s="16" t="s">
        <v>1314</v>
      </c>
      <c r="B592">
        <v>110</v>
      </c>
      <c r="C592">
        <v>7</v>
      </c>
      <c r="D592">
        <v>4.5</v>
      </c>
      <c r="E592">
        <v>10</v>
      </c>
      <c r="F592">
        <v>2</v>
      </c>
      <c r="G592">
        <v>0</v>
      </c>
      <c r="H592">
        <v>370</v>
      </c>
    </row>
    <row r="593" spans="1:8" x14ac:dyDescent="0.3">
      <c r="A593" s="16" t="s">
        <v>1315</v>
      </c>
      <c r="B593">
        <v>270</v>
      </c>
      <c r="C593">
        <v>3</v>
      </c>
      <c r="D593">
        <v>0</v>
      </c>
      <c r="E593">
        <v>12</v>
      </c>
      <c r="F593">
        <v>51</v>
      </c>
      <c r="G593">
        <v>3</v>
      </c>
      <c r="H593">
        <v>400</v>
      </c>
    </row>
    <row r="594" spans="1:8" x14ac:dyDescent="0.3">
      <c r="A594" s="16" t="s">
        <v>1316</v>
      </c>
      <c r="B594">
        <v>150</v>
      </c>
      <c r="C594">
        <v>6</v>
      </c>
      <c r="D594">
        <v>3.5</v>
      </c>
      <c r="E594">
        <v>1</v>
      </c>
      <c r="F594">
        <v>24</v>
      </c>
      <c r="G594">
        <v>0</v>
      </c>
      <c r="H594">
        <v>50</v>
      </c>
    </row>
    <row r="595" spans="1:8" x14ac:dyDescent="0.3">
      <c r="A595" s="16" t="s">
        <v>1317</v>
      </c>
      <c r="B595">
        <v>130</v>
      </c>
      <c r="C595">
        <v>5</v>
      </c>
      <c r="D595">
        <v>3</v>
      </c>
      <c r="E595">
        <v>1</v>
      </c>
      <c r="F595">
        <v>19</v>
      </c>
      <c r="G595">
        <v>1</v>
      </c>
      <c r="H595">
        <v>20</v>
      </c>
    </row>
    <row r="596" spans="1:8" x14ac:dyDescent="0.3">
      <c r="A596" s="16" t="s">
        <v>1318</v>
      </c>
      <c r="B596">
        <v>130</v>
      </c>
      <c r="C596">
        <v>6</v>
      </c>
      <c r="D596">
        <v>2.5</v>
      </c>
      <c r="E596">
        <v>2</v>
      </c>
      <c r="F596">
        <v>17</v>
      </c>
      <c r="G596">
        <v>1</v>
      </c>
      <c r="H596">
        <v>65</v>
      </c>
    </row>
    <row r="597" spans="1:8" x14ac:dyDescent="0.3">
      <c r="A597" s="16" t="s">
        <v>1319</v>
      </c>
      <c r="B597">
        <v>150</v>
      </c>
      <c r="C597">
        <v>7</v>
      </c>
      <c r="D597">
        <v>4</v>
      </c>
      <c r="E597">
        <v>1</v>
      </c>
      <c r="F597">
        <v>20</v>
      </c>
      <c r="G597">
        <v>0</v>
      </c>
      <c r="H597">
        <v>60</v>
      </c>
    </row>
    <row r="598" spans="1:8" x14ac:dyDescent="0.3">
      <c r="A598" s="16" t="s">
        <v>1320</v>
      </c>
      <c r="B598">
        <v>130</v>
      </c>
      <c r="C598">
        <v>3.5</v>
      </c>
      <c r="D598">
        <v>2</v>
      </c>
      <c r="E598">
        <v>1</v>
      </c>
      <c r="F598">
        <v>23</v>
      </c>
      <c r="G598">
        <v>0</v>
      </c>
      <c r="H598">
        <v>55</v>
      </c>
    </row>
    <row r="599" spans="1:8" x14ac:dyDescent="0.3">
      <c r="A599" s="16" t="s">
        <v>1321</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1328</v>
      </c>
      <c r="B600" s="17">
        <v>70</v>
      </c>
      <c r="C600" s="17">
        <v>0</v>
      </c>
      <c r="D600" s="17">
        <v>0</v>
      </c>
      <c r="E600" s="17">
        <v>1</v>
      </c>
      <c r="F600" s="17">
        <v>16</v>
      </c>
      <c r="G600" s="17">
        <v>1</v>
      </c>
      <c r="H600" s="17">
        <v>0</v>
      </c>
    </row>
    <row r="601" spans="1:8" x14ac:dyDescent="0.3">
      <c r="A601" s="16" t="s">
        <v>1329</v>
      </c>
      <c r="B601">
        <v>90</v>
      </c>
      <c r="C601">
        <v>0</v>
      </c>
      <c r="D601">
        <v>15</v>
      </c>
      <c r="E601">
        <v>1</v>
      </c>
      <c r="F601">
        <v>21</v>
      </c>
      <c r="G601">
        <v>13</v>
      </c>
      <c r="H601">
        <v>15</v>
      </c>
    </row>
    <row r="602" spans="1:8" x14ac:dyDescent="0.3">
      <c r="A602" s="16" t="s">
        <v>1330</v>
      </c>
      <c r="B602">
        <v>90</v>
      </c>
      <c r="C602">
        <v>0.5</v>
      </c>
      <c r="D602">
        <v>0</v>
      </c>
      <c r="E602">
        <v>0</v>
      </c>
      <c r="F602">
        <v>20</v>
      </c>
      <c r="G602">
        <v>0</v>
      </c>
      <c r="H602">
        <v>15</v>
      </c>
    </row>
    <row r="603" spans="1:8" x14ac:dyDescent="0.3">
      <c r="A603" s="16" t="s">
        <v>1331</v>
      </c>
      <c r="B603">
        <v>270</v>
      </c>
      <c r="C603">
        <v>13</v>
      </c>
      <c r="D603">
        <v>1.5</v>
      </c>
      <c r="E603">
        <v>5</v>
      </c>
      <c r="F603">
        <v>34</v>
      </c>
      <c r="G603">
        <v>2</v>
      </c>
      <c r="H603">
        <v>640</v>
      </c>
    </row>
    <row r="604" spans="1:8" x14ac:dyDescent="0.3">
      <c r="A604" s="16" t="s">
        <v>1332</v>
      </c>
      <c r="B604">
        <v>350</v>
      </c>
      <c r="C604">
        <v>13</v>
      </c>
      <c r="D604">
        <v>5</v>
      </c>
      <c r="E604">
        <v>15</v>
      </c>
      <c r="F604">
        <v>42</v>
      </c>
      <c r="G604">
        <v>3</v>
      </c>
      <c r="H604">
        <v>570</v>
      </c>
    </row>
    <row r="605" spans="1:8" x14ac:dyDescent="0.3">
      <c r="A605" s="16" t="s">
        <v>1337</v>
      </c>
      <c r="B605">
        <v>300</v>
      </c>
      <c r="C605">
        <v>7</v>
      </c>
      <c r="D605">
        <v>4.5</v>
      </c>
      <c r="E605">
        <v>12</v>
      </c>
      <c r="F605">
        <v>47</v>
      </c>
      <c r="G605">
        <v>0</v>
      </c>
      <c r="H605">
        <v>280</v>
      </c>
    </row>
    <row r="606" spans="1:8" x14ac:dyDescent="0.3">
      <c r="A606" s="16" t="s">
        <v>1333</v>
      </c>
      <c r="B606">
        <v>250</v>
      </c>
      <c r="C606">
        <v>12</v>
      </c>
      <c r="D606">
        <v>8</v>
      </c>
      <c r="E606">
        <v>3</v>
      </c>
      <c r="F606">
        <v>31</v>
      </c>
      <c r="G606">
        <v>0</v>
      </c>
      <c r="H606">
        <v>55</v>
      </c>
    </row>
    <row r="607" spans="1:8" x14ac:dyDescent="0.3">
      <c r="A607" s="16" t="s">
        <v>1334</v>
      </c>
      <c r="B607">
        <v>140</v>
      </c>
      <c r="C607">
        <v>8</v>
      </c>
      <c r="D607">
        <v>0.5</v>
      </c>
      <c r="E607">
        <v>2</v>
      </c>
      <c r="F607">
        <v>16</v>
      </c>
      <c r="G607">
        <v>0</v>
      </c>
      <c r="H607">
        <v>140</v>
      </c>
    </row>
    <row r="608" spans="1:8" x14ac:dyDescent="0.3">
      <c r="A608" s="16" t="s">
        <v>1335</v>
      </c>
      <c r="B608">
        <v>95</v>
      </c>
      <c r="C608">
        <v>0.3</v>
      </c>
      <c r="D608">
        <v>0.1</v>
      </c>
      <c r="E608">
        <v>0.5</v>
      </c>
      <c r="F608">
        <v>25</v>
      </c>
      <c r="G608">
        <v>4.4000000000000004</v>
      </c>
      <c r="H608">
        <v>2</v>
      </c>
    </row>
    <row r="609" spans="1:8" x14ac:dyDescent="0.3">
      <c r="A609" s="16" t="s">
        <v>1339</v>
      </c>
      <c r="B609">
        <v>140</v>
      </c>
      <c r="C609">
        <v>6</v>
      </c>
      <c r="D609">
        <v>3.5</v>
      </c>
      <c r="E609">
        <v>4</v>
      </c>
      <c r="F609">
        <v>18</v>
      </c>
      <c r="G609">
        <v>0</v>
      </c>
      <c r="H609">
        <v>65</v>
      </c>
    </row>
    <row r="610" spans="1:8" x14ac:dyDescent="0.3">
      <c r="A610" s="16" t="s">
        <v>1341</v>
      </c>
      <c r="B610">
        <v>160</v>
      </c>
      <c r="C610">
        <v>9</v>
      </c>
      <c r="D610">
        <v>1.5</v>
      </c>
      <c r="E610">
        <v>2</v>
      </c>
      <c r="F610">
        <v>16</v>
      </c>
      <c r="G610">
        <v>1</v>
      </c>
      <c r="H610">
        <v>280</v>
      </c>
    </row>
    <row r="611" spans="1:8" x14ac:dyDescent="0.3">
      <c r="A611" s="16" t="s">
        <v>1342</v>
      </c>
      <c r="B611">
        <v>150</v>
      </c>
      <c r="C611">
        <v>8</v>
      </c>
      <c r="D611">
        <v>1.5</v>
      </c>
      <c r="E611">
        <v>2</v>
      </c>
      <c r="F611">
        <v>16</v>
      </c>
      <c r="G611">
        <v>1</v>
      </c>
      <c r="H611">
        <v>170</v>
      </c>
    </row>
    <row r="612" spans="1:8" x14ac:dyDescent="0.3">
      <c r="A612" s="16" t="s">
        <v>1343</v>
      </c>
      <c r="B612" s="17">
        <v>250</v>
      </c>
      <c r="C612" s="17">
        <v>0</v>
      </c>
      <c r="D612" s="17">
        <v>0</v>
      </c>
      <c r="E612" s="17">
        <v>0</v>
      </c>
      <c r="F612" s="17">
        <v>66</v>
      </c>
      <c r="G612" s="17">
        <v>0</v>
      </c>
      <c r="H612" s="17">
        <v>100</v>
      </c>
    </row>
    <row r="613" spans="1:8" x14ac:dyDescent="0.3">
      <c r="A613" s="16" t="s">
        <v>1344</v>
      </c>
      <c r="B613">
        <v>249</v>
      </c>
      <c r="C613">
        <v>5.9</v>
      </c>
      <c r="D613">
        <v>2.9</v>
      </c>
      <c r="E613">
        <v>11</v>
      </c>
      <c r="F613">
        <v>38</v>
      </c>
      <c r="G613">
        <v>1.5</v>
      </c>
      <c r="H613">
        <v>329</v>
      </c>
    </row>
    <row r="614" spans="1:8" x14ac:dyDescent="0.3">
      <c r="A614" s="16" t="s">
        <v>1345</v>
      </c>
      <c r="B614">
        <v>80</v>
      </c>
      <c r="C614">
        <v>1</v>
      </c>
      <c r="D614">
        <v>0</v>
      </c>
      <c r="E614">
        <v>2</v>
      </c>
      <c r="F614">
        <v>15</v>
      </c>
      <c r="G614">
        <v>1</v>
      </c>
      <c r="H614">
        <v>220</v>
      </c>
    </row>
    <row r="615" spans="1:8" x14ac:dyDescent="0.3">
      <c r="A615" s="16" t="s">
        <v>1354</v>
      </c>
      <c r="B615" s="17">
        <v>290</v>
      </c>
      <c r="C615" s="17">
        <v>3.5</v>
      </c>
      <c r="D615" s="17">
        <v>0.5</v>
      </c>
      <c r="E615" s="17">
        <v>9</v>
      </c>
      <c r="F615" s="17">
        <v>53</v>
      </c>
      <c r="G615" s="17">
        <v>2</v>
      </c>
      <c r="H615" s="17">
        <v>410</v>
      </c>
    </row>
    <row r="616" spans="1:8" x14ac:dyDescent="0.3">
      <c r="A616" s="16" t="s">
        <v>1355</v>
      </c>
      <c r="B616">
        <v>0</v>
      </c>
      <c r="C616">
        <v>0</v>
      </c>
      <c r="D616">
        <v>0</v>
      </c>
      <c r="E616">
        <v>0</v>
      </c>
      <c r="F616">
        <v>0</v>
      </c>
      <c r="G616">
        <v>0</v>
      </c>
      <c r="H616">
        <v>260</v>
      </c>
    </row>
    <row r="617" spans="1:8" x14ac:dyDescent="0.3">
      <c r="A617" s="16" t="s">
        <v>1356</v>
      </c>
      <c r="B617">
        <v>80</v>
      </c>
      <c r="C617">
        <v>0</v>
      </c>
      <c r="D617">
        <v>0</v>
      </c>
      <c r="E617">
        <v>1</v>
      </c>
      <c r="F617">
        <v>19</v>
      </c>
      <c r="G617">
        <v>0</v>
      </c>
      <c r="H617">
        <v>20</v>
      </c>
    </row>
    <row r="618" spans="1:8" x14ac:dyDescent="0.3">
      <c r="A618" s="16" t="s">
        <v>1358</v>
      </c>
      <c r="B618" s="17">
        <v>130</v>
      </c>
      <c r="C618" s="17">
        <v>5</v>
      </c>
      <c r="D618" s="17">
        <v>0.5</v>
      </c>
      <c r="E618" s="17">
        <v>2</v>
      </c>
      <c r="F618" s="17">
        <v>21</v>
      </c>
      <c r="G618" s="17">
        <v>2</v>
      </c>
      <c r="H618" s="17">
        <v>220</v>
      </c>
    </row>
    <row r="619" spans="1:8" x14ac:dyDescent="0.3">
      <c r="A619" s="16" t="s">
        <v>1362</v>
      </c>
      <c r="B619">
        <v>90</v>
      </c>
      <c r="C619">
        <v>6</v>
      </c>
      <c r="D619">
        <v>3.5</v>
      </c>
      <c r="E619">
        <v>7</v>
      </c>
      <c r="F619">
        <v>2</v>
      </c>
      <c r="G619">
        <v>0</v>
      </c>
      <c r="H619">
        <v>210</v>
      </c>
    </row>
    <row r="620" spans="1:8" x14ac:dyDescent="0.3">
      <c r="A620" s="16" t="s">
        <v>1363</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row r="621" spans="1:8" x14ac:dyDescent="0.3">
      <c r="A621" s="16" t="s">
        <v>1366</v>
      </c>
      <c r="B621">
        <v>190</v>
      </c>
      <c r="C621">
        <v>11</v>
      </c>
      <c r="D621">
        <v>6</v>
      </c>
      <c r="E621">
        <v>16</v>
      </c>
      <c r="F621">
        <v>7</v>
      </c>
      <c r="G621">
        <v>1</v>
      </c>
      <c r="H621">
        <v>310</v>
      </c>
    </row>
    <row r="622" spans="1:8" x14ac:dyDescent="0.3">
      <c r="A622" s="16" t="s">
        <v>1374</v>
      </c>
      <c r="B622" s="17">
        <v>160</v>
      </c>
      <c r="C622" s="17">
        <v>0</v>
      </c>
      <c r="D622" s="17">
        <v>0</v>
      </c>
      <c r="E622" s="17">
        <v>0</v>
      </c>
      <c r="F622" s="17">
        <v>40</v>
      </c>
      <c r="G622" s="17">
        <v>0</v>
      </c>
      <c r="H622" s="17">
        <v>125</v>
      </c>
    </row>
    <row r="623" spans="1:8" x14ac:dyDescent="0.3">
      <c r="A623" s="16" t="s">
        <v>1377</v>
      </c>
      <c r="B623" s="17">
        <v>210</v>
      </c>
      <c r="C623" s="17">
        <v>12</v>
      </c>
      <c r="D623" s="17">
        <v>9</v>
      </c>
      <c r="E623" s="17">
        <v>24</v>
      </c>
      <c r="F623" s="17">
        <v>3</v>
      </c>
      <c r="G623" s="17">
        <v>0</v>
      </c>
      <c r="H623" s="17">
        <v>540</v>
      </c>
    </row>
    <row r="624" spans="1:8" x14ac:dyDescent="0.3">
      <c r="A624" s="16" t="s">
        <v>1385</v>
      </c>
      <c r="B624">
        <f>B343*1.5</f>
        <v>135</v>
      </c>
      <c r="C624">
        <f t="shared" ref="C624:H624" si="128">C343*1.5</f>
        <v>0</v>
      </c>
      <c r="D624">
        <f t="shared" si="128"/>
        <v>0</v>
      </c>
      <c r="E624">
        <f t="shared" si="128"/>
        <v>0</v>
      </c>
      <c r="F624">
        <f t="shared" si="128"/>
        <v>37.5</v>
      </c>
      <c r="G624">
        <f t="shared" si="128"/>
        <v>0</v>
      </c>
      <c r="H624">
        <f t="shared" si="128"/>
        <v>45</v>
      </c>
    </row>
    <row r="625" spans="1:8" x14ac:dyDescent="0.3">
      <c r="A625" s="16" t="s">
        <v>1389</v>
      </c>
      <c r="B625" s="17">
        <f>B37*(4/3)+B41*(3/4)</f>
        <v>366.91666666666663</v>
      </c>
      <c r="C625" s="17">
        <f t="shared" ref="C625:H625" si="129">C37*(4/3)+C41*(3/4)</f>
        <v>24</v>
      </c>
      <c r="D625" s="17">
        <f t="shared" si="129"/>
        <v>6.6666666666666661</v>
      </c>
      <c r="E625" s="17">
        <f t="shared" si="129"/>
        <v>27.416666666666664</v>
      </c>
      <c r="F625" s="17">
        <f t="shared" si="129"/>
        <v>11.166666666666666</v>
      </c>
      <c r="G625" s="17">
        <f t="shared" si="129"/>
        <v>3.4166666666666665</v>
      </c>
      <c r="H625" s="17">
        <f t="shared" si="129"/>
        <v>468.16666666666663</v>
      </c>
    </row>
    <row r="626" spans="1:8" x14ac:dyDescent="0.3">
      <c r="A626" s="16" t="s">
        <v>1394</v>
      </c>
      <c r="B626" s="17">
        <v>90</v>
      </c>
      <c r="C626" s="17">
        <v>7</v>
      </c>
      <c r="D626" s="17">
        <v>4.5</v>
      </c>
      <c r="E626" s="17">
        <v>7</v>
      </c>
      <c r="F626" s="17">
        <v>0</v>
      </c>
      <c r="G626" s="17">
        <v>0</v>
      </c>
      <c r="H626" s="17">
        <v>170</v>
      </c>
    </row>
    <row r="627" spans="1:8" x14ac:dyDescent="0.3">
      <c r="A627" s="16" t="s">
        <v>1395</v>
      </c>
      <c r="B627" s="17">
        <v>200</v>
      </c>
      <c r="C627" s="17">
        <v>2</v>
      </c>
      <c r="D627" s="17">
        <v>0</v>
      </c>
      <c r="E627" s="17">
        <v>8</v>
      </c>
      <c r="F627" s="17">
        <v>38</v>
      </c>
      <c r="G627" s="17">
        <v>4</v>
      </c>
      <c r="H627" s="17">
        <v>400</v>
      </c>
    </row>
    <row r="628" spans="1:8" x14ac:dyDescent="0.3">
      <c r="A628" s="16" t="s">
        <v>1396</v>
      </c>
      <c r="B628" s="17">
        <v>50</v>
      </c>
      <c r="C628" s="17">
        <v>4</v>
      </c>
      <c r="D628" s="17">
        <v>2.5</v>
      </c>
      <c r="E628" s="17">
        <v>1</v>
      </c>
      <c r="F628" s="17">
        <v>2</v>
      </c>
      <c r="G628" s="17">
        <v>0</v>
      </c>
      <c r="H628" s="17">
        <v>85</v>
      </c>
    </row>
    <row r="629" spans="1:8" x14ac:dyDescent="0.3">
      <c r="A629" s="16" t="s">
        <v>1402</v>
      </c>
      <c r="B629">
        <f>320*4</f>
        <v>1280</v>
      </c>
      <c r="C629">
        <f>14*4</f>
        <v>56</v>
      </c>
      <c r="D629">
        <f>7*4</f>
        <v>28</v>
      </c>
      <c r="E629">
        <f>13*4</f>
        <v>52</v>
      </c>
      <c r="F629">
        <f>34*4</f>
        <v>136</v>
      </c>
      <c r="G629">
        <f>2*4</f>
        <v>8</v>
      </c>
      <c r="H629">
        <f>710*4</f>
        <v>2840</v>
      </c>
    </row>
    <row r="630" spans="1:8" x14ac:dyDescent="0.3">
      <c r="A630" s="16" t="s">
        <v>1404</v>
      </c>
      <c r="B630">
        <v>850</v>
      </c>
      <c r="C630">
        <v>35</v>
      </c>
      <c r="D630">
        <v>11</v>
      </c>
      <c r="E630">
        <v>29</v>
      </c>
      <c r="F630">
        <v>104</v>
      </c>
      <c r="G630">
        <v>7</v>
      </c>
      <c r="H630">
        <v>1560</v>
      </c>
    </row>
    <row r="631" spans="1:8" x14ac:dyDescent="0.3">
      <c r="A631" s="16" t="s">
        <v>1407</v>
      </c>
      <c r="B631" s="17">
        <v>160</v>
      </c>
      <c r="C631" s="17">
        <v>13</v>
      </c>
      <c r="D631" s="17">
        <v>1.5</v>
      </c>
      <c r="E631" s="17">
        <v>6</v>
      </c>
      <c r="F631" s="17">
        <v>8</v>
      </c>
      <c r="G631" s="17">
        <v>3</v>
      </c>
      <c r="H631" s="17">
        <v>135</v>
      </c>
    </row>
    <row r="632" spans="1:8" x14ac:dyDescent="0.3">
      <c r="A632" s="16" t="s">
        <v>1418</v>
      </c>
      <c r="B632">
        <v>260</v>
      </c>
      <c r="C632">
        <v>7</v>
      </c>
      <c r="D632">
        <v>4.5</v>
      </c>
      <c r="E632">
        <v>7</v>
      </c>
      <c r="F632">
        <v>41</v>
      </c>
      <c r="G632">
        <v>0</v>
      </c>
      <c r="H632">
        <v>100</v>
      </c>
    </row>
    <row r="633" spans="1:8" x14ac:dyDescent="0.3">
      <c r="A633" s="16" t="s">
        <v>1419</v>
      </c>
      <c r="B633">
        <v>450</v>
      </c>
      <c r="C633">
        <v>28</v>
      </c>
      <c r="D633">
        <v>4.5</v>
      </c>
      <c r="E633">
        <v>5</v>
      </c>
      <c r="F633">
        <v>42</v>
      </c>
      <c r="G633">
        <v>2</v>
      </c>
      <c r="H633">
        <v>680</v>
      </c>
    </row>
    <row r="634" spans="1:8" x14ac:dyDescent="0.3">
      <c r="A634" s="16" t="s">
        <v>1420</v>
      </c>
      <c r="B634">
        <f>4*200</f>
        <v>800</v>
      </c>
      <c r="C634">
        <f>4*8</f>
        <v>32</v>
      </c>
      <c r="D634">
        <f>8*1.5</f>
        <v>12</v>
      </c>
      <c r="E634">
        <f>4*5</f>
        <v>20</v>
      </c>
      <c r="F634">
        <f>4*26</f>
        <v>104</v>
      </c>
      <c r="G634">
        <f>4*1</f>
        <v>4</v>
      </c>
      <c r="H634">
        <f>4*260</f>
        <v>1040</v>
      </c>
    </row>
    <row r="635" spans="1:8" x14ac:dyDescent="0.3">
      <c r="A635" s="16" t="s">
        <v>1421</v>
      </c>
      <c r="B635">
        <v>70</v>
      </c>
      <c r="C635">
        <v>6</v>
      </c>
      <c r="D635">
        <v>3.5</v>
      </c>
      <c r="E635">
        <v>5</v>
      </c>
      <c r="F635">
        <v>0</v>
      </c>
      <c r="G635">
        <v>0</v>
      </c>
      <c r="H635">
        <v>115</v>
      </c>
    </row>
    <row r="636" spans="1:8" x14ac:dyDescent="0.3">
      <c r="A636" s="16" t="s">
        <v>1422</v>
      </c>
      <c r="B636">
        <v>890</v>
      </c>
      <c r="C636">
        <v>42</v>
      </c>
      <c r="D636">
        <v>19</v>
      </c>
      <c r="E636">
        <v>33</v>
      </c>
      <c r="F636">
        <v>95</v>
      </c>
      <c r="G636">
        <v>5</v>
      </c>
      <c r="H636">
        <v>2140</v>
      </c>
    </row>
    <row r="637" spans="1:8" x14ac:dyDescent="0.3">
      <c r="A637" s="16" t="s">
        <v>1423</v>
      </c>
      <c r="B637">
        <f>3.5*130</f>
        <v>455</v>
      </c>
      <c r="C637">
        <f>3.5*3.5</f>
        <v>12.25</v>
      </c>
      <c r="D637">
        <f>3.5*0.5</f>
        <v>1.75</v>
      </c>
      <c r="E637">
        <f>3.5*2</f>
        <v>7</v>
      </c>
      <c r="F637">
        <f>3.5*23</f>
        <v>80.5</v>
      </c>
      <c r="G637">
        <f>3.5*2</f>
        <v>7</v>
      </c>
      <c r="H637">
        <f>3.5*230</f>
        <v>805</v>
      </c>
    </row>
    <row r="638" spans="1:8" x14ac:dyDescent="0.3">
      <c r="A638" s="16" t="s">
        <v>1424</v>
      </c>
      <c r="B638">
        <v>70</v>
      </c>
      <c r="C638">
        <v>5</v>
      </c>
      <c r="D638">
        <v>3</v>
      </c>
      <c r="E638">
        <v>4</v>
      </c>
      <c r="F638">
        <v>0</v>
      </c>
      <c r="G638">
        <v>0</v>
      </c>
      <c r="H638">
        <v>105</v>
      </c>
    </row>
    <row r="639" spans="1:8" x14ac:dyDescent="0.3">
      <c r="A639" s="16" t="s">
        <v>1425</v>
      </c>
      <c r="B639">
        <v>400</v>
      </c>
      <c r="C639">
        <v>22</v>
      </c>
      <c r="D639">
        <v>9</v>
      </c>
      <c r="E639">
        <v>19</v>
      </c>
      <c r="F639">
        <v>38</v>
      </c>
      <c r="G639">
        <v>3</v>
      </c>
      <c r="H639">
        <v>920</v>
      </c>
    </row>
    <row r="640" spans="1:8" x14ac:dyDescent="0.3">
      <c r="A640" s="16" t="s">
        <v>1426</v>
      </c>
      <c r="B640">
        <v>240</v>
      </c>
      <c r="C640">
        <v>2.5</v>
      </c>
      <c r="D640">
        <v>0.5</v>
      </c>
      <c r="E640">
        <v>9</v>
      </c>
      <c r="F640">
        <v>47</v>
      </c>
      <c r="G640">
        <v>3</v>
      </c>
      <c r="H640">
        <v>600</v>
      </c>
    </row>
    <row r="641" spans="1:8" x14ac:dyDescent="0.3">
      <c r="A641" s="16" t="s">
        <v>1427</v>
      </c>
      <c r="B641">
        <v>240</v>
      </c>
      <c r="C641">
        <v>2</v>
      </c>
      <c r="D641">
        <v>0.5</v>
      </c>
      <c r="E641">
        <v>8</v>
      </c>
      <c r="F641">
        <v>46</v>
      </c>
      <c r="G641">
        <v>2</v>
      </c>
      <c r="H641">
        <v>630</v>
      </c>
    </row>
    <row r="642" spans="1:8" x14ac:dyDescent="0.3">
      <c r="A642" s="16" t="s">
        <v>1428</v>
      </c>
      <c r="B642">
        <f>110*2</f>
        <v>220</v>
      </c>
      <c r="C642">
        <f>2.5*2</f>
        <v>5</v>
      </c>
      <c r="D642">
        <f>1*2</f>
        <v>2</v>
      </c>
      <c r="E642">
        <f>3*2</f>
        <v>6</v>
      </c>
      <c r="F642">
        <f>19*2</f>
        <v>38</v>
      </c>
      <c r="G642">
        <f>2*2</f>
        <v>4</v>
      </c>
      <c r="H642">
        <f>340*2</f>
        <v>680</v>
      </c>
    </row>
    <row r="643" spans="1:8" x14ac:dyDescent="0.3">
      <c r="A643" s="16" t="s">
        <v>1433</v>
      </c>
      <c r="B643">
        <v>827</v>
      </c>
      <c r="C643">
        <v>72</v>
      </c>
      <c r="D643">
        <v>10</v>
      </c>
      <c r="E643">
        <v>38</v>
      </c>
      <c r="F643">
        <v>24</v>
      </c>
      <c r="G643">
        <v>13</v>
      </c>
      <c r="H643">
        <v>26</v>
      </c>
    </row>
    <row r="644" spans="1:8" x14ac:dyDescent="0.3">
      <c r="A644" s="16" t="s">
        <v>1442</v>
      </c>
      <c r="B644">
        <v>25</v>
      </c>
      <c r="C644">
        <v>1</v>
      </c>
      <c r="D644">
        <v>0</v>
      </c>
      <c r="E644">
        <v>0</v>
      </c>
      <c r="F644">
        <v>4</v>
      </c>
      <c r="G644">
        <v>0</v>
      </c>
      <c r="H644">
        <v>20</v>
      </c>
    </row>
    <row r="645" spans="1:8" x14ac:dyDescent="0.3">
      <c r="A645" s="16" t="s">
        <v>1443</v>
      </c>
      <c r="B645">
        <v>70</v>
      </c>
      <c r="C645">
        <v>4.5</v>
      </c>
      <c r="D645">
        <v>2.5</v>
      </c>
      <c r="E645">
        <v>5</v>
      </c>
      <c r="F645">
        <v>1</v>
      </c>
      <c r="G645">
        <v>0</v>
      </c>
      <c r="H645">
        <v>150</v>
      </c>
    </row>
    <row r="646" spans="1:8" x14ac:dyDescent="0.3">
      <c r="A646" s="16" t="s">
        <v>1444</v>
      </c>
      <c r="B646">
        <v>270</v>
      </c>
      <c r="C646">
        <v>1.5</v>
      </c>
      <c r="D646">
        <v>0.5</v>
      </c>
      <c r="E646">
        <v>9</v>
      </c>
      <c r="F646">
        <v>53</v>
      </c>
      <c r="G646">
        <v>2</v>
      </c>
      <c r="H646">
        <v>450</v>
      </c>
    </row>
    <row r="647" spans="1:8" x14ac:dyDescent="0.3">
      <c r="A647" s="16" t="s">
        <v>1445</v>
      </c>
      <c r="B647">
        <v>100</v>
      </c>
      <c r="C647">
        <v>10</v>
      </c>
      <c r="D647">
        <v>6</v>
      </c>
      <c r="E647">
        <v>2</v>
      </c>
      <c r="F647">
        <v>2</v>
      </c>
      <c r="G647">
        <v>0</v>
      </c>
      <c r="H647">
        <v>105</v>
      </c>
    </row>
    <row r="648" spans="1:8" x14ac:dyDescent="0.3">
      <c r="A648" s="16" t="s">
        <v>1446</v>
      </c>
      <c r="B648">
        <v>80</v>
      </c>
      <c r="C648">
        <v>6</v>
      </c>
      <c r="D648">
        <v>3.5</v>
      </c>
      <c r="E648">
        <v>6</v>
      </c>
      <c r="F648">
        <v>1</v>
      </c>
      <c r="G648">
        <v>0</v>
      </c>
      <c r="H648">
        <v>150</v>
      </c>
    </row>
    <row r="649" spans="1:8" x14ac:dyDescent="0.3">
      <c r="A649" s="16" t="s">
        <v>1447</v>
      </c>
      <c r="B649">
        <v>90</v>
      </c>
      <c r="C649">
        <v>8</v>
      </c>
      <c r="D649">
        <v>4.5</v>
      </c>
      <c r="E649">
        <v>6</v>
      </c>
      <c r="F649">
        <v>0</v>
      </c>
      <c r="G649">
        <v>0</v>
      </c>
      <c r="H649">
        <v>160</v>
      </c>
    </row>
    <row r="650" spans="1:8" x14ac:dyDescent="0.3">
      <c r="A650" s="16" t="s">
        <v>1457</v>
      </c>
      <c r="B650">
        <v>70</v>
      </c>
      <c r="C650">
        <v>6</v>
      </c>
      <c r="D650">
        <v>3.5</v>
      </c>
      <c r="E650">
        <v>5</v>
      </c>
      <c r="F650">
        <v>0</v>
      </c>
      <c r="G650">
        <v>0</v>
      </c>
      <c r="H650">
        <v>35</v>
      </c>
    </row>
    <row r="651" spans="1:8" x14ac:dyDescent="0.3">
      <c r="A651" s="16" t="s">
        <v>1458</v>
      </c>
      <c r="B651">
        <v>60</v>
      </c>
      <c r="C651">
        <v>2</v>
      </c>
      <c r="D651">
        <v>1</v>
      </c>
      <c r="E651">
        <v>0</v>
      </c>
      <c r="F651">
        <v>9</v>
      </c>
      <c r="G651">
        <v>0</v>
      </c>
      <c r="H651">
        <v>0</v>
      </c>
    </row>
    <row r="652" spans="1:8" x14ac:dyDescent="0.3">
      <c r="A652" s="16" t="s">
        <v>1459</v>
      </c>
      <c r="B652">
        <v>180</v>
      </c>
      <c r="C652">
        <v>0</v>
      </c>
      <c r="D652">
        <v>0</v>
      </c>
      <c r="E652">
        <v>6</v>
      </c>
      <c r="F652">
        <v>39</v>
      </c>
      <c r="G652">
        <v>1</v>
      </c>
      <c r="H652">
        <v>210</v>
      </c>
    </row>
    <row r="653" spans="1:8" x14ac:dyDescent="0.3">
      <c r="A653" s="16" t="s">
        <v>1460</v>
      </c>
      <c r="B653">
        <v>100</v>
      </c>
      <c r="C653">
        <v>1</v>
      </c>
      <c r="D653">
        <v>0</v>
      </c>
      <c r="E653">
        <v>4</v>
      </c>
      <c r="F653">
        <v>20</v>
      </c>
      <c r="G653">
        <v>5</v>
      </c>
      <c r="H653">
        <v>180</v>
      </c>
    </row>
    <row r="654" spans="1:8" x14ac:dyDescent="0.3">
      <c r="A654" s="16" t="s">
        <v>1461</v>
      </c>
      <c r="B654">
        <v>170</v>
      </c>
      <c r="C654">
        <v>15</v>
      </c>
      <c r="D654">
        <v>2</v>
      </c>
      <c r="E654">
        <v>6</v>
      </c>
      <c r="F654">
        <v>5</v>
      </c>
      <c r="G654">
        <v>2</v>
      </c>
      <c r="H654">
        <v>85</v>
      </c>
    </row>
    <row r="655" spans="1:8" x14ac:dyDescent="0.3">
      <c r="A655" s="16" t="s">
        <v>1462</v>
      </c>
      <c r="B655">
        <v>150</v>
      </c>
      <c r="C655">
        <v>1</v>
      </c>
      <c r="D655">
        <v>0</v>
      </c>
      <c r="E655">
        <v>5</v>
      </c>
      <c r="F655">
        <v>31</v>
      </c>
      <c r="G655">
        <v>1</v>
      </c>
      <c r="H655">
        <v>350</v>
      </c>
    </row>
    <row r="656" spans="1:8" x14ac:dyDescent="0.3">
      <c r="A656" s="16" t="s">
        <v>1475</v>
      </c>
      <c r="B656" s="17">
        <v>310</v>
      </c>
      <c r="C656" s="17">
        <v>6</v>
      </c>
      <c r="D656" s="17">
        <v>1</v>
      </c>
      <c r="E656" s="17">
        <v>9</v>
      </c>
      <c r="F656" s="17">
        <v>53</v>
      </c>
      <c r="G656" s="17">
        <v>2</v>
      </c>
      <c r="H656" s="17">
        <v>860</v>
      </c>
    </row>
    <row r="657" spans="1:8" x14ac:dyDescent="0.3">
      <c r="A657" s="16" t="s">
        <v>1483</v>
      </c>
      <c r="B657">
        <f>150*5</f>
        <v>750</v>
      </c>
      <c r="C657">
        <f>6*5</f>
        <v>30</v>
      </c>
      <c r="D657">
        <f>3.5*5</f>
        <v>17.5</v>
      </c>
      <c r="E657">
        <f>2*5</f>
        <v>10</v>
      </c>
      <c r="F657">
        <f>23*5</f>
        <v>115</v>
      </c>
      <c r="G657">
        <f>1*5</f>
        <v>5</v>
      </c>
      <c r="H657">
        <f>480*5</f>
        <v>2400</v>
      </c>
    </row>
    <row r="658" spans="1:8" x14ac:dyDescent="0.3">
      <c r="A658" s="16" t="s">
        <v>1487</v>
      </c>
      <c r="B658">
        <f>140*2</f>
        <v>280</v>
      </c>
      <c r="C658">
        <f>4*2</f>
        <v>8</v>
      </c>
      <c r="D658">
        <f>1*2</f>
        <v>2</v>
      </c>
      <c r="E658">
        <f>4*2</f>
        <v>8</v>
      </c>
      <c r="F658">
        <f>21*2</f>
        <v>42</v>
      </c>
      <c r="G658">
        <f>1*2</f>
        <v>2</v>
      </c>
      <c r="H658">
        <f>330*2</f>
        <v>660</v>
      </c>
    </row>
    <row r="659" spans="1:8" x14ac:dyDescent="0.3">
      <c r="A659" s="16" t="s">
        <v>1488</v>
      </c>
      <c r="B659">
        <v>180</v>
      </c>
      <c r="C659">
        <v>0</v>
      </c>
      <c r="D659">
        <v>0</v>
      </c>
      <c r="E659">
        <v>6</v>
      </c>
      <c r="F659">
        <v>39</v>
      </c>
      <c r="G659">
        <v>1</v>
      </c>
      <c r="H659">
        <v>210</v>
      </c>
    </row>
    <row r="660" spans="1:8" x14ac:dyDescent="0.3">
      <c r="A660" s="16" t="s">
        <v>1490</v>
      </c>
      <c r="B660">
        <v>380</v>
      </c>
      <c r="C660">
        <v>11</v>
      </c>
      <c r="D660">
        <v>2</v>
      </c>
      <c r="E660">
        <v>11</v>
      </c>
      <c r="F660">
        <v>59</v>
      </c>
      <c r="G660">
        <v>3</v>
      </c>
      <c r="H660">
        <v>910</v>
      </c>
    </row>
    <row r="661" spans="1:8" x14ac:dyDescent="0.3">
      <c r="A661" s="16" t="s">
        <v>1497</v>
      </c>
      <c r="B661">
        <v>160</v>
      </c>
      <c r="C661">
        <v>13</v>
      </c>
      <c r="D661">
        <v>1.5</v>
      </c>
      <c r="E661">
        <v>6</v>
      </c>
      <c r="F661">
        <v>8</v>
      </c>
      <c r="G661">
        <v>33</v>
      </c>
      <c r="H661">
        <v>230</v>
      </c>
    </row>
    <row r="662" spans="1:8" x14ac:dyDescent="0.3">
      <c r="A662" s="16" t="s">
        <v>1498</v>
      </c>
      <c r="B662">
        <v>190</v>
      </c>
      <c r="C662">
        <v>8</v>
      </c>
      <c r="D662">
        <v>1</v>
      </c>
      <c r="E662">
        <v>13</v>
      </c>
      <c r="F662">
        <v>18</v>
      </c>
      <c r="G662">
        <v>4</v>
      </c>
      <c r="H662">
        <v>300</v>
      </c>
    </row>
    <row r="663" spans="1:8" x14ac:dyDescent="0.3">
      <c r="A663" s="16" t="s">
        <v>1499</v>
      </c>
      <c r="B663">
        <v>180</v>
      </c>
      <c r="C663">
        <v>7</v>
      </c>
      <c r="D663">
        <v>2</v>
      </c>
      <c r="E663">
        <v>9</v>
      </c>
      <c r="F663">
        <v>21</v>
      </c>
      <c r="G663">
        <v>3</v>
      </c>
      <c r="H663">
        <v>410</v>
      </c>
    </row>
    <row r="664" spans="1:8" x14ac:dyDescent="0.3">
      <c r="A664" s="16" t="s">
        <v>1505</v>
      </c>
      <c r="B664" s="17">
        <v>60</v>
      </c>
      <c r="C664" s="17">
        <v>0</v>
      </c>
      <c r="D664" s="17">
        <v>0</v>
      </c>
      <c r="E664" s="17">
        <v>2</v>
      </c>
      <c r="F664" s="17">
        <v>15</v>
      </c>
      <c r="G664" s="17">
        <v>2</v>
      </c>
      <c r="H664" s="17">
        <v>320</v>
      </c>
    </row>
    <row r="665" spans="1:8" x14ac:dyDescent="0.3">
      <c r="A665" s="16" t="s">
        <v>1508</v>
      </c>
      <c r="B665" s="17">
        <f>B173+B171+B172+B170+B168+B161+B456+B251+B162</f>
        <v>691</v>
      </c>
      <c r="C665" s="17">
        <f t="shared" ref="C665:H665" si="130">C173+C171+C172+C170+C168+C161+C456+C251+C162</f>
        <v>11.525</v>
      </c>
      <c r="D665" s="17">
        <f t="shared" si="130"/>
        <v>2.3250000000000002</v>
      </c>
      <c r="E665" s="17">
        <f t="shared" si="130"/>
        <v>28.574999999999999</v>
      </c>
      <c r="F665" s="17">
        <f t="shared" si="130"/>
        <v>114.44999999999999</v>
      </c>
      <c r="G665" s="17">
        <f t="shared" si="130"/>
        <v>8.375</v>
      </c>
      <c r="H665" s="17">
        <f t="shared" si="130"/>
        <v>2267.5</v>
      </c>
    </row>
    <row r="666" spans="1:8" x14ac:dyDescent="0.3">
      <c r="B666" s="17">
        <f>B647*2</f>
        <v>200</v>
      </c>
      <c r="C666" s="17">
        <f t="shared" ref="C666:H666" si="131">C647*2</f>
        <v>20</v>
      </c>
      <c r="D666" s="17">
        <f t="shared" si="131"/>
        <v>12</v>
      </c>
      <c r="E666" s="17">
        <f t="shared" si="131"/>
        <v>4</v>
      </c>
      <c r="F666" s="17">
        <f t="shared" si="131"/>
        <v>4</v>
      </c>
      <c r="G666" s="17">
        <f t="shared" si="131"/>
        <v>0</v>
      </c>
      <c r="H666" s="17">
        <f t="shared" si="131"/>
        <v>210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468"/>
  <sheetViews>
    <sheetView tabSelected="1" zoomScale="74" zoomScaleNormal="85" workbookViewId="0">
      <pane ySplit="1" topLeftCell="A301" activePane="bottomLeft" state="frozen"/>
      <selection pane="bottomLeft" activeCell="L310" sqref="L31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ustomWidth="1"/>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28" customWidth="1"/>
    <col min="47" max="47" width="29.44140625" style="27" customWidth="1"/>
    <col min="48" max="48" width="32.6640625" style="28"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65" width="9.109375" style="11"/>
    <col min="66"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28" t="s">
        <v>21</v>
      </c>
      <c r="AS1" s="27" t="s">
        <v>91</v>
      </c>
      <c r="AT1" s="27" t="s">
        <v>92</v>
      </c>
      <c r="AU1" s="27" t="s">
        <v>98</v>
      </c>
      <c r="AV1" s="2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11"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28" t="s">
        <v>72</v>
      </c>
      <c r="AS2" s="28">
        <v>0</v>
      </c>
      <c r="AT2" s="28" t="s">
        <v>97</v>
      </c>
      <c r="AU2" s="27">
        <v>0</v>
      </c>
      <c r="AV2" s="28">
        <f>-10</f>
        <v>-10</v>
      </c>
      <c r="AW2" s="3">
        <v>31</v>
      </c>
      <c r="AX2" s="3">
        <v>1</v>
      </c>
      <c r="AY2" s="5">
        <v>7</v>
      </c>
      <c r="AZ2" s="3">
        <v>1</v>
      </c>
      <c r="BA2" s="3">
        <v>1</v>
      </c>
      <c r="BB2" s="3">
        <v>1</v>
      </c>
      <c r="BC2" s="3">
        <v>1</v>
      </c>
      <c r="BD2" s="3">
        <v>1</v>
      </c>
      <c r="BE2" s="3">
        <v>0</v>
      </c>
      <c r="BF2" s="3">
        <v>0</v>
      </c>
      <c r="BG2" s="3">
        <v>0</v>
      </c>
      <c r="BH2" s="3">
        <v>0</v>
      </c>
      <c r="BI2" s="3">
        <v>0</v>
      </c>
      <c r="BJ2" s="3">
        <v>0</v>
      </c>
      <c r="BK2" s="3">
        <v>0</v>
      </c>
      <c r="BL2" s="3">
        <v>0</v>
      </c>
      <c r="BM2" s="11">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28">
        <v>0</v>
      </c>
      <c r="AS3" s="28">
        <v>0</v>
      </c>
      <c r="AT3" s="28">
        <v>0</v>
      </c>
      <c r="AU3" s="27">
        <v>0</v>
      </c>
      <c r="AV3" s="28">
        <v>0</v>
      </c>
      <c r="AW3" s="3">
        <v>31</v>
      </c>
      <c r="AX3" s="3">
        <v>1</v>
      </c>
      <c r="AY3" s="5">
        <v>7</v>
      </c>
      <c r="AZ3" s="3">
        <v>1</v>
      </c>
      <c r="BA3" s="3">
        <v>1</v>
      </c>
      <c r="BB3" s="3">
        <v>1</v>
      </c>
      <c r="BC3" s="3">
        <v>1</v>
      </c>
      <c r="BD3" s="3">
        <v>1</v>
      </c>
      <c r="BE3" s="3">
        <v>0</v>
      </c>
      <c r="BF3" s="3">
        <v>0</v>
      </c>
      <c r="BG3" s="3">
        <v>0</v>
      </c>
      <c r="BH3" s="3">
        <v>0</v>
      </c>
      <c r="BI3" s="3">
        <v>0</v>
      </c>
      <c r="BJ3" s="3">
        <v>1</v>
      </c>
      <c r="BK3" s="3">
        <v>0</v>
      </c>
      <c r="BL3" s="3">
        <v>0</v>
      </c>
      <c r="BM3" s="11">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28">
        <v>0</v>
      </c>
      <c r="AS4" s="28">
        <v>0</v>
      </c>
      <c r="AT4" s="28">
        <v>0</v>
      </c>
      <c r="AU4" s="27">
        <v>0</v>
      </c>
      <c r="AV4" s="28">
        <v>0</v>
      </c>
      <c r="AW4" s="3">
        <v>31</v>
      </c>
      <c r="AX4" s="3">
        <v>1</v>
      </c>
      <c r="AY4" s="5">
        <v>7</v>
      </c>
      <c r="AZ4" s="3">
        <v>0</v>
      </c>
      <c r="BA4" s="3">
        <v>1</v>
      </c>
      <c r="BB4" s="3">
        <v>0</v>
      </c>
      <c r="BC4" s="3">
        <v>1</v>
      </c>
      <c r="BD4" s="3">
        <v>1</v>
      </c>
      <c r="BE4" s="3">
        <v>0</v>
      </c>
      <c r="BF4" s="3">
        <v>0</v>
      </c>
      <c r="BG4" s="3">
        <v>0</v>
      </c>
      <c r="BH4" s="3">
        <v>0</v>
      </c>
      <c r="BI4" s="3">
        <v>0</v>
      </c>
      <c r="BJ4" s="3">
        <v>0</v>
      </c>
      <c r="BK4" s="3">
        <v>0</v>
      </c>
      <c r="BL4" s="3">
        <v>0</v>
      </c>
      <c r="BM4" s="11">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28" t="s">
        <v>113</v>
      </c>
      <c r="AS5" s="28">
        <v>0</v>
      </c>
      <c r="AT5" s="28">
        <v>0</v>
      </c>
      <c r="AU5" s="27">
        <v>0</v>
      </c>
      <c r="AV5" s="28">
        <v>0</v>
      </c>
      <c r="AW5" s="3">
        <v>31</v>
      </c>
      <c r="AX5" s="3">
        <v>1</v>
      </c>
      <c r="AY5" s="5">
        <v>8.5</v>
      </c>
      <c r="AZ5" s="3">
        <v>1</v>
      </c>
      <c r="BA5" s="3">
        <v>1</v>
      </c>
      <c r="BB5" s="3">
        <v>1</v>
      </c>
      <c r="BC5" s="3">
        <v>1</v>
      </c>
      <c r="BD5" s="3">
        <v>1</v>
      </c>
      <c r="BE5" s="3">
        <v>0</v>
      </c>
      <c r="BF5" s="3">
        <v>0</v>
      </c>
      <c r="BG5" s="3">
        <v>0</v>
      </c>
      <c r="BH5" s="3">
        <v>0</v>
      </c>
      <c r="BI5" s="3">
        <v>0</v>
      </c>
      <c r="BJ5" s="3">
        <v>0</v>
      </c>
      <c r="BK5" s="3">
        <v>0</v>
      </c>
      <c r="BL5" s="3">
        <v>0</v>
      </c>
      <c r="BM5" s="11">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28">
        <v>0</v>
      </c>
      <c r="AS6" s="28">
        <v>0</v>
      </c>
      <c r="AT6" s="28">
        <v>0</v>
      </c>
      <c r="AU6" s="27">
        <v>0</v>
      </c>
      <c r="AV6" s="28">
        <v>0</v>
      </c>
      <c r="AW6" s="3">
        <v>31</v>
      </c>
      <c r="AX6" s="3">
        <v>1</v>
      </c>
      <c r="AY6" s="5">
        <v>7</v>
      </c>
      <c r="AZ6" s="3">
        <v>1</v>
      </c>
      <c r="BA6" s="3">
        <v>0</v>
      </c>
      <c r="BB6" s="3">
        <v>1</v>
      </c>
      <c r="BC6" s="3">
        <v>1</v>
      </c>
      <c r="BD6" s="3">
        <v>1</v>
      </c>
      <c r="BE6" s="3">
        <v>0</v>
      </c>
      <c r="BF6" s="3">
        <v>0</v>
      </c>
      <c r="BG6" s="3">
        <v>0</v>
      </c>
      <c r="BH6" s="3">
        <v>0</v>
      </c>
      <c r="BI6" s="3">
        <v>0</v>
      </c>
      <c r="BJ6" s="3">
        <v>0</v>
      </c>
      <c r="BK6" s="11">
        <v>5</v>
      </c>
      <c r="BL6" s="3" t="s">
        <v>972</v>
      </c>
      <c r="BM6" s="11">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28" t="s">
        <v>129</v>
      </c>
      <c r="AS7" s="28" t="s">
        <v>130</v>
      </c>
      <c r="AU7" s="27">
        <f>5+10+10</f>
        <v>25</v>
      </c>
      <c r="AV7" s="28">
        <v>0</v>
      </c>
      <c r="AW7" s="3">
        <v>31</v>
      </c>
      <c r="AX7" s="3">
        <v>1</v>
      </c>
      <c r="AY7" s="5">
        <v>6</v>
      </c>
      <c r="AZ7" s="3">
        <v>1</v>
      </c>
      <c r="BA7" s="3">
        <v>1</v>
      </c>
      <c r="BB7" s="3">
        <v>1</v>
      </c>
      <c r="BC7" s="3">
        <v>1</v>
      </c>
      <c r="BD7" s="3">
        <v>1</v>
      </c>
      <c r="BE7" s="3">
        <v>0</v>
      </c>
      <c r="BF7" s="3">
        <v>1</v>
      </c>
      <c r="BG7" s="3">
        <v>120</v>
      </c>
      <c r="BH7" s="3">
        <v>0</v>
      </c>
      <c r="BI7" s="3">
        <v>0</v>
      </c>
      <c r="BJ7" s="3">
        <v>0</v>
      </c>
      <c r="BK7" s="3">
        <v>0</v>
      </c>
      <c r="BL7" s="3">
        <v>0</v>
      </c>
      <c r="BM7" s="11">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28">
        <v>0</v>
      </c>
      <c r="AS8" s="28">
        <v>0</v>
      </c>
      <c r="AT8" s="28">
        <v>0</v>
      </c>
      <c r="AU8" s="27">
        <v>0</v>
      </c>
      <c r="AV8" s="28">
        <v>0</v>
      </c>
      <c r="AW8" s="3">
        <v>31</v>
      </c>
      <c r="AX8" s="3">
        <v>1</v>
      </c>
      <c r="AY8" s="5">
        <v>6.5</v>
      </c>
      <c r="AZ8" s="3">
        <v>1</v>
      </c>
      <c r="BA8" s="3">
        <v>1</v>
      </c>
      <c r="BB8" s="3">
        <v>1</v>
      </c>
      <c r="BC8" s="3">
        <v>1</v>
      </c>
      <c r="BD8" s="3">
        <v>1</v>
      </c>
      <c r="BE8" s="3">
        <v>0</v>
      </c>
      <c r="BF8" s="3">
        <v>0</v>
      </c>
      <c r="BG8" s="3">
        <v>0</v>
      </c>
      <c r="BH8" s="3">
        <v>0</v>
      </c>
      <c r="BI8" s="3">
        <v>0</v>
      </c>
      <c r="BJ8" s="3">
        <v>0</v>
      </c>
      <c r="BK8" s="3">
        <v>0</v>
      </c>
      <c r="BL8" s="3">
        <v>0</v>
      </c>
      <c r="BM8" s="11">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28" t="s">
        <v>139</v>
      </c>
      <c r="AS9" s="28" t="s">
        <v>138</v>
      </c>
      <c r="AT9" s="28">
        <v>0</v>
      </c>
      <c r="AU9" s="27">
        <v>0</v>
      </c>
      <c r="AV9" s="28">
        <v>0</v>
      </c>
      <c r="AW9" s="3">
        <v>31</v>
      </c>
      <c r="AX9" s="3">
        <v>1</v>
      </c>
      <c r="AY9" s="5">
        <v>7.5</v>
      </c>
      <c r="AZ9" s="3">
        <v>1</v>
      </c>
      <c r="BA9" s="3">
        <v>1</v>
      </c>
      <c r="BB9" s="3">
        <v>1</v>
      </c>
      <c r="BC9" s="3">
        <v>1</v>
      </c>
      <c r="BD9" s="3">
        <v>1</v>
      </c>
      <c r="BE9" s="3">
        <v>0</v>
      </c>
      <c r="BF9" s="3">
        <v>1</v>
      </c>
      <c r="BG9" s="3">
        <v>30</v>
      </c>
      <c r="BH9" s="3">
        <v>0</v>
      </c>
      <c r="BI9" s="3">
        <v>0</v>
      </c>
      <c r="BJ9" s="3">
        <v>0</v>
      </c>
      <c r="BK9" s="3">
        <v>0</v>
      </c>
      <c r="BL9" s="3">
        <v>0</v>
      </c>
      <c r="BM9" s="11">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28" t="s">
        <v>139</v>
      </c>
      <c r="AS10" s="28" t="s">
        <v>138</v>
      </c>
      <c r="AT10" s="28">
        <v>0</v>
      </c>
      <c r="AU10" s="27">
        <v>0</v>
      </c>
      <c r="AV10" s="28">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11">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28">
        <v>0</v>
      </c>
      <c r="AS11" s="28">
        <v>0</v>
      </c>
      <c r="AT11" s="28">
        <v>0</v>
      </c>
      <c r="AU11" s="27">
        <v>0</v>
      </c>
      <c r="AV11" s="28">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11">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28" t="s">
        <v>147</v>
      </c>
      <c r="AS12" s="28" t="s">
        <v>149</v>
      </c>
      <c r="AT12" s="28" t="s">
        <v>148</v>
      </c>
      <c r="AU12" s="27">
        <v>20</v>
      </c>
      <c r="AV12" s="28">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11">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28" t="s">
        <v>147</v>
      </c>
      <c r="AS13" s="28" t="s">
        <v>149</v>
      </c>
      <c r="AT13" s="28" t="s">
        <v>148</v>
      </c>
      <c r="AU13" s="27">
        <v>20</v>
      </c>
      <c r="AV13" s="28">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11">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27">
        <v>0</v>
      </c>
      <c r="AS14" s="27">
        <v>0</v>
      </c>
      <c r="AT14" s="28">
        <v>0</v>
      </c>
      <c r="AU14" s="27">
        <v>0</v>
      </c>
      <c r="AV14" s="28">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11">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28" t="s">
        <v>159</v>
      </c>
      <c r="AS15" s="28" t="s">
        <v>160</v>
      </c>
      <c r="AU15" s="27">
        <f>5*7</f>
        <v>35</v>
      </c>
      <c r="AV15" s="28">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11">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28" t="s">
        <v>159</v>
      </c>
      <c r="AS16" s="28" t="s">
        <v>160</v>
      </c>
      <c r="AU16" s="27">
        <f>5*7</f>
        <v>35</v>
      </c>
      <c r="AV16" s="28">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11">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27">
        <v>0</v>
      </c>
      <c r="AS17" s="27">
        <v>0</v>
      </c>
      <c r="AT17" s="27">
        <v>0</v>
      </c>
      <c r="AU17" s="27">
        <v>0</v>
      </c>
      <c r="AV17" s="28">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11">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27">
        <v>0</v>
      </c>
      <c r="AS18" s="27">
        <v>0</v>
      </c>
      <c r="AT18" s="27">
        <v>0</v>
      </c>
      <c r="AU18" s="27">
        <v>0</v>
      </c>
      <c r="AV18" s="28">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11">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28" t="s">
        <v>171</v>
      </c>
      <c r="AS19" s="27">
        <v>0</v>
      </c>
      <c r="AT19" s="27">
        <v>0</v>
      </c>
      <c r="AU19" s="27">
        <v>0</v>
      </c>
      <c r="AV19" s="28">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11">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28" t="s">
        <v>171</v>
      </c>
      <c r="AS20" s="27">
        <v>0</v>
      </c>
      <c r="AT20" s="27">
        <v>0</v>
      </c>
      <c r="AU20" s="27">
        <v>0</v>
      </c>
      <c r="AV20" s="28">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11">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27">
        <v>0</v>
      </c>
      <c r="AS21" s="27">
        <v>0</v>
      </c>
      <c r="AT21" s="27">
        <v>0</v>
      </c>
      <c r="AU21" s="27">
        <v>0</v>
      </c>
      <c r="AV21" s="28">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11">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27">
        <v>0</v>
      </c>
      <c r="AS22" s="27">
        <v>0</v>
      </c>
      <c r="AT22" s="27">
        <v>0</v>
      </c>
      <c r="AU22" s="27">
        <v>0</v>
      </c>
      <c r="AV22" s="28">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11">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28" t="s">
        <v>193</v>
      </c>
      <c r="AS23" s="28" t="s">
        <v>254</v>
      </c>
      <c r="AT23" s="27" t="s">
        <v>255</v>
      </c>
      <c r="AU23" s="27">
        <v>10</v>
      </c>
      <c r="AV23" s="28">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11">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28" t="s">
        <v>193</v>
      </c>
      <c r="AS24" s="28" t="s">
        <v>254</v>
      </c>
      <c r="AT24" s="27" t="s">
        <v>255</v>
      </c>
      <c r="AU24" s="27">
        <v>10</v>
      </c>
      <c r="AV24" s="28">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11">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27">
        <v>0</v>
      </c>
      <c r="AS25" s="27">
        <v>0</v>
      </c>
      <c r="AT25" s="27">
        <v>0</v>
      </c>
      <c r="AU25" s="27">
        <v>0</v>
      </c>
      <c r="AV25" s="28">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11">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27">
        <v>0</v>
      </c>
      <c r="AS26" s="27">
        <v>0</v>
      </c>
      <c r="AT26" s="27">
        <v>0</v>
      </c>
      <c r="AU26" s="27">
        <v>0</v>
      </c>
      <c r="AV26" s="28">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11">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28" t="s">
        <v>257</v>
      </c>
      <c r="AS27" s="27" t="s">
        <v>260</v>
      </c>
      <c r="AT27" s="27">
        <v>0</v>
      </c>
      <c r="AU27" s="27">
        <f>5+10+5+5+5+10+10+10</f>
        <v>60</v>
      </c>
      <c r="AV27" s="2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11">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28" t="s">
        <v>257</v>
      </c>
      <c r="AS28" s="27" t="s">
        <v>260</v>
      </c>
      <c r="AT28" s="27">
        <v>0</v>
      </c>
      <c r="AU28" s="27">
        <f>5+10+5+5+5+10+10+10</f>
        <v>60</v>
      </c>
      <c r="AV28" s="2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11">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28" t="s">
        <v>257</v>
      </c>
      <c r="AS29" s="27" t="s">
        <v>260</v>
      </c>
      <c r="AT29" s="27">
        <v>0</v>
      </c>
      <c r="AU29" s="27">
        <f>5+10+5+5+5+10+10+10</f>
        <v>60</v>
      </c>
      <c r="AV29" s="2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11">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27">
        <v>0</v>
      </c>
      <c r="AS30" s="27">
        <v>0</v>
      </c>
      <c r="AT30" s="27">
        <v>0</v>
      </c>
      <c r="AU30" s="27">
        <v>0</v>
      </c>
      <c r="AV30" s="2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11">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28">
        <v>0</v>
      </c>
      <c r="AS31" s="28">
        <v>0</v>
      </c>
      <c r="AT31" s="27">
        <v>0</v>
      </c>
      <c r="AU31" s="27">
        <v>0</v>
      </c>
      <c r="AV31" s="2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11">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27">
        <v>0</v>
      </c>
      <c r="AS32" s="27">
        <v>0</v>
      </c>
      <c r="AT32" s="27">
        <v>0</v>
      </c>
      <c r="AU32" s="27">
        <v>0</v>
      </c>
      <c r="AV32" s="2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11">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28">
        <v>0</v>
      </c>
      <c r="AS33" s="27">
        <v>0</v>
      </c>
      <c r="AT33" s="27">
        <v>0</v>
      </c>
      <c r="AU33" s="27">
        <v>0</v>
      </c>
      <c r="AV33" s="2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11">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28">
        <v>0</v>
      </c>
      <c r="AS34" s="27">
        <v>0</v>
      </c>
      <c r="AT34" s="27">
        <v>0</v>
      </c>
      <c r="AU34" s="27">
        <v>0</v>
      </c>
      <c r="AV34" s="2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11">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28" t="s">
        <v>290</v>
      </c>
      <c r="AS35" s="28" t="s">
        <v>291</v>
      </c>
      <c r="AT35" s="27">
        <v>0</v>
      </c>
      <c r="AU35" s="27">
        <v>5</v>
      </c>
      <c r="AV35" s="2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11">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28">
        <v>0</v>
      </c>
      <c r="AS36" s="27">
        <v>0</v>
      </c>
      <c r="AT36" s="27">
        <v>0</v>
      </c>
      <c r="AU36" s="27">
        <v>0</v>
      </c>
      <c r="AV36" s="2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11">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28">
        <v>0</v>
      </c>
      <c r="AS37" s="27">
        <v>0</v>
      </c>
      <c r="AT37" s="27">
        <v>0</v>
      </c>
      <c r="AU37" s="27">
        <v>0</v>
      </c>
      <c r="AV37" s="2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11">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28">
        <v>0</v>
      </c>
      <c r="AS38" s="27">
        <v>0</v>
      </c>
      <c r="AT38" s="27">
        <v>0</v>
      </c>
      <c r="AU38" s="27">
        <v>0</v>
      </c>
      <c r="AV38" s="2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11">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28">
        <v>0</v>
      </c>
      <c r="AS39" s="27">
        <v>0</v>
      </c>
      <c r="AT39" s="27">
        <v>0</v>
      </c>
      <c r="AU39" s="27">
        <v>0</v>
      </c>
      <c r="AV39" s="2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11">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28">
        <v>0</v>
      </c>
      <c r="AS40" s="27">
        <v>0</v>
      </c>
      <c r="AT40" s="27">
        <v>0</v>
      </c>
      <c r="AU40" s="27">
        <v>0</v>
      </c>
      <c r="AV40" s="2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11">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28">
        <v>0</v>
      </c>
      <c r="AS41" s="27">
        <v>0</v>
      </c>
      <c r="AT41" s="27">
        <v>0</v>
      </c>
      <c r="AU41" s="27">
        <v>0</v>
      </c>
      <c r="AV41" s="2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11">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28" t="s">
        <v>326</v>
      </c>
      <c r="AS42" s="27" t="s">
        <v>325</v>
      </c>
      <c r="AT42" s="27">
        <v>0</v>
      </c>
      <c r="AU42" s="27">
        <v>20</v>
      </c>
      <c r="AV42" s="2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11">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28">
        <v>0</v>
      </c>
      <c r="AS43" s="27">
        <v>0</v>
      </c>
      <c r="AT43" s="27">
        <v>0</v>
      </c>
      <c r="AU43" s="27">
        <v>0</v>
      </c>
      <c r="AV43" s="2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11">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28">
        <v>0</v>
      </c>
      <c r="AS44" s="27">
        <v>0</v>
      </c>
      <c r="AT44" s="27">
        <v>0</v>
      </c>
      <c r="AU44" s="27">
        <v>0</v>
      </c>
      <c r="AV44" s="2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11">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28">
        <v>0</v>
      </c>
      <c r="AS45" s="27">
        <v>0</v>
      </c>
      <c r="AT45" s="27">
        <v>0</v>
      </c>
      <c r="AU45" s="27">
        <v>0</v>
      </c>
      <c r="AV45" s="2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11">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28">
        <v>0</v>
      </c>
      <c r="AS46" s="27">
        <v>0</v>
      </c>
      <c r="AT46" s="27">
        <v>0</v>
      </c>
      <c r="AU46" s="27">
        <v>0</v>
      </c>
      <c r="AV46" s="2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11">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28">
        <v>0</v>
      </c>
      <c r="AS47" s="27">
        <v>0</v>
      </c>
      <c r="AT47" s="27">
        <v>0</v>
      </c>
      <c r="AU47" s="27">
        <v>0</v>
      </c>
      <c r="AV47" s="2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11">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28">
        <v>0</v>
      </c>
      <c r="AS48" s="27">
        <v>0</v>
      </c>
      <c r="AT48" s="27">
        <v>0</v>
      </c>
      <c r="AU48" s="27">
        <v>0</v>
      </c>
      <c r="AV48" s="2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11">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28">
        <v>0</v>
      </c>
      <c r="AS49" s="27">
        <v>0</v>
      </c>
      <c r="AT49" s="27">
        <v>0</v>
      </c>
      <c r="AU49" s="27">
        <v>0</v>
      </c>
      <c r="AV49" s="2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11">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28" t="s">
        <v>356</v>
      </c>
      <c r="AS50" s="27">
        <v>0</v>
      </c>
      <c r="AT50" s="27">
        <v>0</v>
      </c>
      <c r="AU50" s="27">
        <v>0</v>
      </c>
      <c r="AV50" s="2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11">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28">
        <v>0</v>
      </c>
      <c r="AS51" s="27">
        <v>0</v>
      </c>
      <c r="AT51" s="27">
        <v>0</v>
      </c>
      <c r="AU51" s="27">
        <v>0</v>
      </c>
      <c r="AV51" s="2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11">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28">
        <v>0</v>
      </c>
      <c r="AS52" s="27">
        <v>0</v>
      </c>
      <c r="AT52" s="27">
        <v>0</v>
      </c>
      <c r="AU52" s="27">
        <v>0</v>
      </c>
      <c r="AV52" s="2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11">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28">
        <v>0</v>
      </c>
      <c r="AS53" s="27">
        <v>0</v>
      </c>
      <c r="AT53" s="27">
        <v>0</v>
      </c>
      <c r="AU53" s="27">
        <v>0</v>
      </c>
      <c r="AV53" s="2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11">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28" t="s">
        <v>380</v>
      </c>
      <c r="AS54" s="27">
        <v>0</v>
      </c>
      <c r="AT54" s="27" t="s">
        <v>379</v>
      </c>
      <c r="AU54" s="27">
        <v>0</v>
      </c>
      <c r="AV54" s="2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11">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28">
        <v>0</v>
      </c>
      <c r="AS55" s="27">
        <v>0</v>
      </c>
      <c r="AT55" s="27">
        <v>0</v>
      </c>
      <c r="AU55" s="27">
        <v>0</v>
      </c>
      <c r="AV55" s="2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11">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28">
        <v>0</v>
      </c>
      <c r="AS56" s="27">
        <v>0</v>
      </c>
      <c r="AT56" s="27">
        <v>0</v>
      </c>
      <c r="AU56" s="27">
        <v>0</v>
      </c>
      <c r="AV56" s="2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11">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28">
        <v>0</v>
      </c>
      <c r="AS57" s="27">
        <v>0</v>
      </c>
      <c r="AT57" s="27">
        <v>0</v>
      </c>
      <c r="AU57" s="27">
        <v>0</v>
      </c>
      <c r="AV57" s="2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11">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28">
        <v>0</v>
      </c>
      <c r="AS58" s="27">
        <v>0</v>
      </c>
      <c r="AT58" s="27">
        <v>0</v>
      </c>
      <c r="AU58" s="27">
        <v>0</v>
      </c>
      <c r="AV58" s="2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11">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28">
        <v>0</v>
      </c>
      <c r="AS59" s="27">
        <v>0</v>
      </c>
      <c r="AT59" s="27">
        <v>0</v>
      </c>
      <c r="AU59" s="27">
        <v>0</v>
      </c>
      <c r="AV59" s="2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11">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28">
        <v>0</v>
      </c>
      <c r="AS60" s="27">
        <v>0</v>
      </c>
      <c r="AT60" s="27">
        <v>0</v>
      </c>
      <c r="AU60" s="27">
        <v>0</v>
      </c>
      <c r="AV60" s="2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11">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28">
        <v>0</v>
      </c>
      <c r="AS61" s="27">
        <v>0</v>
      </c>
      <c r="AT61" s="27">
        <v>0</v>
      </c>
      <c r="AU61" s="27">
        <v>0</v>
      </c>
      <c r="AV61" s="2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11">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28">
        <v>0</v>
      </c>
      <c r="AS62" s="27">
        <v>0</v>
      </c>
      <c r="AT62" s="27">
        <v>0</v>
      </c>
      <c r="AU62" s="27">
        <v>0</v>
      </c>
      <c r="AV62" s="2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11">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28">
        <v>0</v>
      </c>
      <c r="AS63" s="27">
        <v>0</v>
      </c>
      <c r="AT63" s="27">
        <v>0</v>
      </c>
      <c r="AU63" s="27">
        <v>0</v>
      </c>
      <c r="AV63" s="2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11">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28">
        <v>0</v>
      </c>
      <c r="AS64" s="27">
        <v>0</v>
      </c>
      <c r="AT64" s="27">
        <v>0</v>
      </c>
      <c r="AU64" s="27">
        <v>0</v>
      </c>
      <c r="AV64" s="2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11">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28">
        <v>0</v>
      </c>
      <c r="AS65" s="27">
        <v>0</v>
      </c>
      <c r="AT65" s="27">
        <v>0</v>
      </c>
      <c r="AU65" s="27">
        <v>0</v>
      </c>
      <c r="AV65" s="2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11">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28">
        <v>0</v>
      </c>
      <c r="AS66" s="27">
        <v>0</v>
      </c>
      <c r="AT66" s="27">
        <v>0</v>
      </c>
      <c r="AU66" s="27">
        <v>0</v>
      </c>
      <c r="AV66" s="2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11">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28">
        <v>0</v>
      </c>
      <c r="AS67" s="27">
        <v>0</v>
      </c>
      <c r="AT67" s="27">
        <v>0</v>
      </c>
      <c r="AU67" s="27">
        <v>0</v>
      </c>
      <c r="AV67" s="2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11">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28">
        <v>0</v>
      </c>
      <c r="AS68" s="27">
        <v>0</v>
      </c>
      <c r="AT68" s="27">
        <v>0</v>
      </c>
      <c r="AU68" s="27">
        <v>0</v>
      </c>
      <c r="AV68" s="2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11">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28">
        <v>0</v>
      </c>
      <c r="AS69" s="27">
        <v>0</v>
      </c>
      <c r="AT69" s="27">
        <v>0</v>
      </c>
      <c r="AU69" s="27">
        <v>0</v>
      </c>
      <c r="AV69" s="2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11">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28">
        <v>0</v>
      </c>
      <c r="AS70" s="27">
        <v>0</v>
      </c>
      <c r="AT70" s="27">
        <v>0</v>
      </c>
      <c r="AU70" s="27">
        <v>0</v>
      </c>
      <c r="AV70" s="2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11">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28">
        <v>0</v>
      </c>
      <c r="AS71" s="27">
        <v>0</v>
      </c>
      <c r="AT71" s="27">
        <v>0</v>
      </c>
      <c r="AU71" s="27">
        <v>0</v>
      </c>
      <c r="AV71" s="2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11">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28">
        <v>0</v>
      </c>
      <c r="AS72" s="27">
        <v>0</v>
      </c>
      <c r="AT72" s="27">
        <v>0</v>
      </c>
      <c r="AU72" s="27">
        <v>0</v>
      </c>
      <c r="AV72" s="2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11">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28">
        <v>0</v>
      </c>
      <c r="AS73" s="27">
        <v>0</v>
      </c>
      <c r="AT73" s="27">
        <v>0</v>
      </c>
      <c r="AU73" s="27">
        <v>0</v>
      </c>
      <c r="AV73" s="2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11">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28">
        <v>0</v>
      </c>
      <c r="AS74" s="27">
        <v>0</v>
      </c>
      <c r="AT74" s="27">
        <v>0</v>
      </c>
      <c r="AU74" s="27">
        <v>0</v>
      </c>
      <c r="AV74" s="2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11">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28">
        <v>0</v>
      </c>
      <c r="AS75" s="27">
        <v>0</v>
      </c>
      <c r="AT75" s="27">
        <v>0</v>
      </c>
      <c r="AU75" s="27">
        <v>0</v>
      </c>
      <c r="AV75" s="2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11">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28">
        <v>0</v>
      </c>
      <c r="AS76" s="27">
        <v>0</v>
      </c>
      <c r="AT76" s="27">
        <v>0</v>
      </c>
      <c r="AU76" s="27">
        <v>0</v>
      </c>
      <c r="AV76" s="2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11">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28">
        <v>0</v>
      </c>
      <c r="AS77" s="27">
        <v>0</v>
      </c>
      <c r="AT77" s="27">
        <v>0</v>
      </c>
      <c r="AU77" s="27">
        <v>0</v>
      </c>
      <c r="AV77" s="2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11">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28">
        <v>0</v>
      </c>
      <c r="AS78" s="27">
        <v>0</v>
      </c>
      <c r="AT78" s="27">
        <v>0</v>
      </c>
      <c r="AU78" s="27">
        <v>0</v>
      </c>
      <c r="AV78" s="2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11">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28">
        <v>0</v>
      </c>
      <c r="AS79" s="27">
        <v>0</v>
      </c>
      <c r="AT79" s="27">
        <v>0</v>
      </c>
      <c r="AU79" s="27">
        <v>0</v>
      </c>
      <c r="AV79" s="2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11">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28">
        <v>0</v>
      </c>
      <c r="AS80" s="27">
        <v>0</v>
      </c>
      <c r="AT80" s="27">
        <v>0</v>
      </c>
      <c r="AU80" s="27">
        <v>0</v>
      </c>
      <c r="AV80" s="2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11">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28">
        <v>0</v>
      </c>
      <c r="AS81" s="27">
        <v>0</v>
      </c>
      <c r="AT81" s="27">
        <v>0</v>
      </c>
      <c r="AU81" s="27">
        <v>0</v>
      </c>
      <c r="AV81" s="2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11">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28">
        <v>0</v>
      </c>
      <c r="AS82" s="27">
        <v>0</v>
      </c>
      <c r="AT82" s="27">
        <v>0</v>
      </c>
      <c r="AU82" s="27">
        <v>0</v>
      </c>
      <c r="AV82" s="2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11">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28">
        <v>0</v>
      </c>
      <c r="AS83" s="27">
        <v>0</v>
      </c>
      <c r="AT83" s="27">
        <v>0</v>
      </c>
      <c r="AU83" s="27">
        <v>0</v>
      </c>
      <c r="AV83" s="2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11">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28">
        <v>0</v>
      </c>
      <c r="AS84" s="27">
        <v>0</v>
      </c>
      <c r="AT84" s="27">
        <v>0</v>
      </c>
      <c r="AU84" s="27">
        <v>0</v>
      </c>
      <c r="AV84" s="2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11">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28">
        <v>0</v>
      </c>
      <c r="AS85" s="27">
        <v>0</v>
      </c>
      <c r="AT85" s="27">
        <v>0</v>
      </c>
      <c r="AU85" s="27">
        <v>0</v>
      </c>
      <c r="AV85" s="2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11">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28">
        <v>0</v>
      </c>
      <c r="AS86" s="27">
        <v>0</v>
      </c>
      <c r="AT86" s="27">
        <v>0</v>
      </c>
      <c r="AU86" s="27">
        <v>0</v>
      </c>
      <c r="AV86" s="2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11">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28">
        <v>0</v>
      </c>
      <c r="AS87" s="27">
        <v>0</v>
      </c>
      <c r="AT87" s="27">
        <v>0</v>
      </c>
      <c r="AU87" s="27">
        <v>0</v>
      </c>
      <c r="AV87" s="2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11">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28">
        <v>0</v>
      </c>
      <c r="AS88" s="27">
        <v>0</v>
      </c>
      <c r="AT88" s="27">
        <v>0</v>
      </c>
      <c r="AU88" s="27">
        <v>0</v>
      </c>
      <c r="AV88" s="2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11">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28">
        <v>0</v>
      </c>
      <c r="AS89" s="27">
        <v>0</v>
      </c>
      <c r="AT89" s="27">
        <v>0</v>
      </c>
      <c r="AU89" s="27">
        <v>0</v>
      </c>
      <c r="AV89" s="2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11">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28">
        <v>0</v>
      </c>
      <c r="AS90" s="27">
        <v>0</v>
      </c>
      <c r="AT90" s="27">
        <v>0</v>
      </c>
      <c r="AU90" s="27">
        <v>0</v>
      </c>
      <c r="AV90" s="2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11">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28">
        <v>0</v>
      </c>
      <c r="AS91" s="27">
        <v>0</v>
      </c>
      <c r="AT91" s="27">
        <v>0</v>
      </c>
      <c r="AU91" s="27">
        <v>0</v>
      </c>
      <c r="AV91" s="2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11">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28">
        <v>0</v>
      </c>
      <c r="AS92" s="27">
        <v>0</v>
      </c>
      <c r="AT92" s="27">
        <v>0</v>
      </c>
      <c r="AU92" s="27">
        <v>0</v>
      </c>
      <c r="AV92" s="2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11">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28">
        <v>0</v>
      </c>
      <c r="AS93" s="27">
        <v>0</v>
      </c>
      <c r="AT93" s="27">
        <v>0</v>
      </c>
      <c r="AU93" s="27">
        <v>0</v>
      </c>
      <c r="AV93" s="2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11">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28">
        <v>0</v>
      </c>
      <c r="AS94" s="27">
        <v>0</v>
      </c>
      <c r="AT94" s="27">
        <v>0</v>
      </c>
      <c r="AU94" s="27">
        <v>0</v>
      </c>
      <c r="AV94" s="2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11">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28">
        <v>0</v>
      </c>
      <c r="AS95" s="27">
        <v>0</v>
      </c>
      <c r="AT95" s="27">
        <v>0</v>
      </c>
      <c r="AU95" s="27">
        <v>0</v>
      </c>
      <c r="AV95" s="2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11">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28">
        <v>0</v>
      </c>
      <c r="AS96" s="27">
        <v>0</v>
      </c>
      <c r="AT96" s="27">
        <v>0</v>
      </c>
      <c r="AU96" s="27">
        <v>0</v>
      </c>
      <c r="AV96" s="2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11">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28">
        <v>0</v>
      </c>
      <c r="AS97" s="27">
        <v>0</v>
      </c>
      <c r="AT97" s="27">
        <v>0</v>
      </c>
      <c r="AU97" s="27">
        <v>0</v>
      </c>
      <c r="AV97" s="2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11">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28">
        <v>0</v>
      </c>
      <c r="AS98" s="27">
        <v>0</v>
      </c>
      <c r="AT98" s="27">
        <v>0</v>
      </c>
      <c r="AU98" s="27">
        <v>0</v>
      </c>
      <c r="AV98" s="2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11">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28">
        <v>0</v>
      </c>
      <c r="AS99" s="27">
        <v>0</v>
      </c>
      <c r="AT99" s="27">
        <v>0</v>
      </c>
      <c r="AU99" s="27">
        <v>0</v>
      </c>
      <c r="AV99" s="2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11">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28">
        <v>0</v>
      </c>
      <c r="AS100" s="27">
        <v>0</v>
      </c>
      <c r="AT100" s="27">
        <v>0</v>
      </c>
      <c r="AU100" s="27">
        <v>0</v>
      </c>
      <c r="AV100" s="2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11">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28">
        <v>0</v>
      </c>
      <c r="AS101" s="27">
        <v>0</v>
      </c>
      <c r="AT101" s="27">
        <v>0</v>
      </c>
      <c r="AU101" s="27">
        <v>0</v>
      </c>
      <c r="AV101" s="2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11">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28">
        <v>0</v>
      </c>
      <c r="AS102" s="27">
        <v>0</v>
      </c>
      <c r="AT102" s="27">
        <v>0</v>
      </c>
      <c r="AU102" s="27">
        <v>0</v>
      </c>
      <c r="AV102" s="2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11">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28">
        <v>0</v>
      </c>
      <c r="AS103" s="27">
        <v>0</v>
      </c>
      <c r="AT103" s="27">
        <v>0</v>
      </c>
      <c r="AU103" s="27">
        <v>0</v>
      </c>
      <c r="AV103" s="2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11">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28">
        <v>0</v>
      </c>
      <c r="AS104" s="27">
        <v>0</v>
      </c>
      <c r="AT104" s="27">
        <v>0</v>
      </c>
      <c r="AU104" s="27">
        <v>0</v>
      </c>
      <c r="AV104" s="2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11">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28">
        <v>0</v>
      </c>
      <c r="AS105" s="27">
        <v>0</v>
      </c>
      <c r="AT105" s="27">
        <v>0</v>
      </c>
      <c r="AU105" s="27">
        <v>0</v>
      </c>
      <c r="AV105" s="2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11">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28">
        <v>0</v>
      </c>
      <c r="AS106" s="27">
        <v>0</v>
      </c>
      <c r="AT106" s="27">
        <v>0</v>
      </c>
      <c r="AU106" s="27">
        <v>0</v>
      </c>
      <c r="AV106" s="2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11">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28">
        <v>0</v>
      </c>
      <c r="AS107" s="27">
        <v>0</v>
      </c>
      <c r="AT107" s="27">
        <v>0</v>
      </c>
      <c r="AU107" s="27">
        <v>0</v>
      </c>
      <c r="AV107" s="2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11">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28">
        <v>0</v>
      </c>
      <c r="AS108" s="27">
        <v>0</v>
      </c>
      <c r="AT108" s="27">
        <v>0</v>
      </c>
      <c r="AU108" s="27">
        <v>0</v>
      </c>
      <c r="AV108" s="2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11">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28">
        <v>0</v>
      </c>
      <c r="AS109" s="27">
        <v>0</v>
      </c>
      <c r="AT109" s="27">
        <v>0</v>
      </c>
      <c r="AU109" s="27">
        <v>0</v>
      </c>
      <c r="AV109" s="2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11">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28">
        <v>0</v>
      </c>
      <c r="AS110" s="27">
        <v>0</v>
      </c>
      <c r="AT110" s="27">
        <v>0</v>
      </c>
      <c r="AU110" s="27">
        <v>0</v>
      </c>
      <c r="AV110" s="2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11">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28">
        <v>0</v>
      </c>
      <c r="AS111" s="27">
        <v>0</v>
      </c>
      <c r="AT111" s="27">
        <v>0</v>
      </c>
      <c r="AU111" s="27">
        <v>0</v>
      </c>
      <c r="AV111" s="2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11">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28">
        <v>0</v>
      </c>
      <c r="AS112" s="27">
        <v>0</v>
      </c>
      <c r="AT112" s="27">
        <v>0</v>
      </c>
      <c r="AU112" s="27">
        <v>0</v>
      </c>
      <c r="AV112" s="2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11">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28">
        <v>0</v>
      </c>
      <c r="AS113" s="27">
        <v>0</v>
      </c>
      <c r="AT113" s="27">
        <v>0</v>
      </c>
      <c r="AU113" s="27">
        <v>0</v>
      </c>
      <c r="AV113" s="2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11">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28">
        <v>0</v>
      </c>
      <c r="AS114" s="27">
        <v>0</v>
      </c>
      <c r="AT114" s="27">
        <v>0</v>
      </c>
      <c r="AU114" s="27">
        <v>0</v>
      </c>
      <c r="AV114" s="2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11">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28">
        <v>0</v>
      </c>
      <c r="AS115" s="27">
        <v>0</v>
      </c>
      <c r="AT115" s="27">
        <v>0</v>
      </c>
      <c r="AU115" s="27">
        <v>0</v>
      </c>
      <c r="AV115" s="2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11">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28">
        <v>0</v>
      </c>
      <c r="AS116" s="27">
        <v>0</v>
      </c>
      <c r="AT116" s="27">
        <v>0</v>
      </c>
      <c r="AU116" s="27">
        <v>0</v>
      </c>
      <c r="AV116" s="2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11">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28">
        <v>0</v>
      </c>
      <c r="AS117" s="27">
        <v>0</v>
      </c>
      <c r="AT117" s="27">
        <v>0</v>
      </c>
      <c r="AU117" s="27">
        <v>0</v>
      </c>
      <c r="AV117" s="2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11">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28">
        <v>0</v>
      </c>
      <c r="AS118" s="27">
        <v>0</v>
      </c>
      <c r="AT118" s="27">
        <v>0</v>
      </c>
      <c r="AU118" s="27">
        <v>0</v>
      </c>
      <c r="AV118" s="2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11">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28">
        <v>0</v>
      </c>
      <c r="AS119" s="27">
        <v>0</v>
      </c>
      <c r="AT119" s="27">
        <v>0</v>
      </c>
      <c r="AU119" s="27">
        <v>0</v>
      </c>
      <c r="AV119" s="2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11">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28">
        <v>0</v>
      </c>
      <c r="AS120" s="27">
        <v>0</v>
      </c>
      <c r="AT120" s="27">
        <v>0</v>
      </c>
      <c r="AU120" s="27">
        <v>0</v>
      </c>
      <c r="AV120" s="2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11">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28">
        <v>0</v>
      </c>
      <c r="AS121" s="27">
        <v>0</v>
      </c>
      <c r="AT121" s="27">
        <v>0</v>
      </c>
      <c r="AU121" s="27">
        <v>0</v>
      </c>
      <c r="AV121" s="2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11">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28">
        <v>0</v>
      </c>
      <c r="AS122" s="27">
        <v>0</v>
      </c>
      <c r="AT122" s="27">
        <v>0</v>
      </c>
      <c r="AU122" s="27">
        <v>0</v>
      </c>
      <c r="AV122" s="2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11">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28">
        <v>0</v>
      </c>
      <c r="AS123" s="27">
        <v>0</v>
      </c>
      <c r="AT123" s="27">
        <v>0</v>
      </c>
      <c r="AU123" s="27">
        <v>0</v>
      </c>
      <c r="AV123" s="2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11">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28">
        <v>0</v>
      </c>
      <c r="AS124" s="27">
        <v>0</v>
      </c>
      <c r="AT124" s="27">
        <v>0</v>
      </c>
      <c r="AU124" s="27">
        <v>0</v>
      </c>
      <c r="AV124" s="2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11">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28">
        <v>0</v>
      </c>
      <c r="AS125" s="27">
        <v>0</v>
      </c>
      <c r="AT125" s="27">
        <v>0</v>
      </c>
      <c r="AU125" s="27">
        <v>0</v>
      </c>
      <c r="AV125" s="2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11">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28">
        <v>0</v>
      </c>
      <c r="AS126" s="27">
        <v>0</v>
      </c>
      <c r="AT126" s="27">
        <v>0</v>
      </c>
      <c r="AU126" s="27">
        <v>0</v>
      </c>
      <c r="AV126" s="2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11">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28">
        <v>0</v>
      </c>
      <c r="AS127" s="27">
        <v>0</v>
      </c>
      <c r="AT127" s="27">
        <v>0</v>
      </c>
      <c r="AU127" s="27">
        <v>0</v>
      </c>
      <c r="AV127" s="2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11">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28">
        <v>0</v>
      </c>
      <c r="AS128" s="27">
        <v>0</v>
      </c>
      <c r="AT128" s="27">
        <v>0</v>
      </c>
      <c r="AU128" s="27">
        <v>0</v>
      </c>
      <c r="AV128" s="2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11">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28">
        <v>0</v>
      </c>
      <c r="AS129" s="27">
        <v>0</v>
      </c>
      <c r="AT129" s="27">
        <v>0</v>
      </c>
      <c r="AU129" s="27">
        <v>0</v>
      </c>
      <c r="AV129" s="2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11">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28">
        <v>0</v>
      </c>
      <c r="AS130" s="27">
        <v>0</v>
      </c>
      <c r="AT130" s="27">
        <v>0</v>
      </c>
      <c r="AU130" s="27">
        <v>0</v>
      </c>
      <c r="AV130" s="2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11">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28">
        <v>0</v>
      </c>
      <c r="AS131" s="27">
        <v>0</v>
      </c>
      <c r="AT131" s="27">
        <v>0</v>
      </c>
      <c r="AU131" s="27">
        <v>0</v>
      </c>
      <c r="AV131" s="2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11">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28">
        <v>0</v>
      </c>
      <c r="AS132" s="27">
        <v>0</v>
      </c>
      <c r="AT132" s="27">
        <v>0</v>
      </c>
      <c r="AU132" s="27">
        <v>0</v>
      </c>
      <c r="AV132" s="2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11">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28">
        <v>0</v>
      </c>
      <c r="AS133" s="27">
        <v>0</v>
      </c>
      <c r="AT133" s="27">
        <v>0</v>
      </c>
      <c r="AU133" s="27">
        <v>0</v>
      </c>
      <c r="AV133" s="2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11">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28">
        <v>0</v>
      </c>
      <c r="AS134" s="27">
        <v>0</v>
      </c>
      <c r="AT134" s="27">
        <v>0</v>
      </c>
      <c r="AU134" s="27">
        <v>0</v>
      </c>
      <c r="AV134" s="2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11">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28">
        <v>0</v>
      </c>
      <c r="AS135" s="27">
        <v>0</v>
      </c>
      <c r="AT135" s="27">
        <v>0</v>
      </c>
      <c r="AU135" s="27">
        <v>0</v>
      </c>
      <c r="AV135" s="2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11">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28">
        <v>0</v>
      </c>
      <c r="AS136" s="27">
        <v>0</v>
      </c>
      <c r="AT136" s="27">
        <v>0</v>
      </c>
      <c r="AU136" s="27">
        <v>0</v>
      </c>
      <c r="AV136" s="2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11">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28">
        <v>0</v>
      </c>
      <c r="AS137" s="27">
        <v>0</v>
      </c>
      <c r="AT137" s="27">
        <v>0</v>
      </c>
      <c r="AU137" s="27">
        <v>0</v>
      </c>
      <c r="AV137" s="2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11">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28">
        <v>0</v>
      </c>
      <c r="AS138" s="27">
        <v>0</v>
      </c>
      <c r="AT138" s="27">
        <v>0</v>
      </c>
      <c r="AU138" s="27">
        <v>0</v>
      </c>
      <c r="AV138" s="2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11">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28">
        <v>0</v>
      </c>
      <c r="AS139" s="27">
        <v>0</v>
      </c>
      <c r="AT139" s="27">
        <v>0</v>
      </c>
      <c r="AU139" s="27">
        <v>0</v>
      </c>
      <c r="AV139" s="2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11">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28">
        <v>0</v>
      </c>
      <c r="AS140" s="27">
        <v>0</v>
      </c>
      <c r="AT140" s="27">
        <v>0</v>
      </c>
      <c r="AU140" s="27">
        <v>0</v>
      </c>
      <c r="AV140" s="2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11">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28">
        <v>0</v>
      </c>
      <c r="AS141" s="27">
        <v>0</v>
      </c>
      <c r="AT141" s="27">
        <v>0</v>
      </c>
      <c r="AU141" s="27">
        <v>0</v>
      </c>
      <c r="AV141" s="2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11">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28">
        <v>0</v>
      </c>
      <c r="AS142" s="27">
        <v>0</v>
      </c>
      <c r="AT142" s="27">
        <v>0</v>
      </c>
      <c r="AU142" s="27">
        <v>0</v>
      </c>
      <c r="AV142" s="2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11">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28">
        <v>0</v>
      </c>
      <c r="AS143" s="27">
        <v>0</v>
      </c>
      <c r="AT143" s="27">
        <v>0</v>
      </c>
      <c r="AU143" s="27">
        <v>0</v>
      </c>
      <c r="AV143" s="2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11">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28">
        <v>0</v>
      </c>
      <c r="AS144" s="27">
        <v>0</v>
      </c>
      <c r="AT144" s="27">
        <v>0</v>
      </c>
      <c r="AU144" s="27">
        <v>0</v>
      </c>
      <c r="AV144" s="2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11">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28">
        <v>0</v>
      </c>
      <c r="AS145" s="27">
        <v>0</v>
      </c>
      <c r="AT145" s="27">
        <v>0</v>
      </c>
      <c r="AU145" s="27">
        <v>0</v>
      </c>
      <c r="AV145" s="2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11">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28">
        <v>0</v>
      </c>
      <c r="AS146" s="27">
        <v>0</v>
      </c>
      <c r="AT146" s="27">
        <v>0</v>
      </c>
      <c r="AU146" s="27">
        <v>0</v>
      </c>
      <c r="AV146" s="2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11">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28">
        <v>0</v>
      </c>
      <c r="AS147" s="27">
        <v>0</v>
      </c>
      <c r="AT147" s="27">
        <v>0</v>
      </c>
      <c r="AU147" s="27">
        <v>0</v>
      </c>
      <c r="AV147" s="2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11">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28">
        <v>0</v>
      </c>
      <c r="AS148" s="27">
        <v>0</v>
      </c>
      <c r="AT148" s="27">
        <v>0</v>
      </c>
      <c r="AU148" s="27">
        <v>0</v>
      </c>
      <c r="AV148" s="2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11">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28">
        <v>0</v>
      </c>
      <c r="AS149" s="27">
        <v>0</v>
      </c>
      <c r="AT149" s="27">
        <v>0</v>
      </c>
      <c r="AU149" s="27">
        <v>0</v>
      </c>
      <c r="AV149" s="2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11">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28">
        <v>0</v>
      </c>
      <c r="AS150" s="27">
        <v>0</v>
      </c>
      <c r="AT150" s="27">
        <v>0</v>
      </c>
      <c r="AU150" s="27">
        <v>0</v>
      </c>
      <c r="AV150" s="2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11">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28">
        <v>0</v>
      </c>
      <c r="AS151" s="27">
        <v>0</v>
      </c>
      <c r="AT151" s="27">
        <v>0</v>
      </c>
      <c r="AU151" s="27">
        <v>0</v>
      </c>
      <c r="AV151" s="2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11">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28">
        <v>0</v>
      </c>
      <c r="AS152" s="27">
        <v>0</v>
      </c>
      <c r="AT152" s="27">
        <v>0</v>
      </c>
      <c r="AU152" s="27">
        <v>0</v>
      </c>
      <c r="AV152" s="2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11">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28">
        <v>0</v>
      </c>
      <c r="AS153" s="27">
        <v>0</v>
      </c>
      <c r="AT153" s="27">
        <v>0</v>
      </c>
      <c r="AU153" s="27">
        <v>0</v>
      </c>
      <c r="AV153" s="2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11">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28">
        <v>0</v>
      </c>
      <c r="AS154" s="27">
        <v>0</v>
      </c>
      <c r="AT154" s="27">
        <v>0</v>
      </c>
      <c r="AU154" s="27">
        <v>0</v>
      </c>
      <c r="AV154" s="2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11">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28">
        <v>0</v>
      </c>
      <c r="AS155" s="27">
        <v>0</v>
      </c>
      <c r="AT155" s="27">
        <v>0</v>
      </c>
      <c r="AU155" s="27">
        <v>0</v>
      </c>
      <c r="AV155" s="2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11">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28">
        <v>0</v>
      </c>
      <c r="AS156" s="27">
        <v>0</v>
      </c>
      <c r="AT156" s="27">
        <v>0</v>
      </c>
      <c r="AU156" s="27">
        <v>0</v>
      </c>
      <c r="AV156" s="2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11">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28">
        <v>0</v>
      </c>
      <c r="AS157" s="27">
        <v>0</v>
      </c>
      <c r="AT157" s="27">
        <v>0</v>
      </c>
      <c r="AU157" s="27">
        <v>0</v>
      </c>
      <c r="AV157" s="2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11">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28">
        <v>0</v>
      </c>
      <c r="AS158" s="27">
        <v>0</v>
      </c>
      <c r="AT158" s="27">
        <v>0</v>
      </c>
      <c r="AU158" s="27">
        <v>0</v>
      </c>
      <c r="AV158" s="2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11">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28">
        <v>0</v>
      </c>
      <c r="AS159" s="27">
        <v>0</v>
      </c>
      <c r="AT159" s="27">
        <v>0</v>
      </c>
      <c r="AU159" s="27">
        <v>0</v>
      </c>
      <c r="AV159" s="2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11">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28">
        <v>0</v>
      </c>
      <c r="AS160" s="27">
        <v>0</v>
      </c>
      <c r="AT160" s="27">
        <v>0</v>
      </c>
      <c r="AU160" s="27">
        <v>0</v>
      </c>
      <c r="AV160" s="2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11">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28">
        <v>0</v>
      </c>
      <c r="AS161" s="27">
        <v>0</v>
      </c>
      <c r="AT161" s="27">
        <v>0</v>
      </c>
      <c r="AU161" s="27">
        <v>0</v>
      </c>
      <c r="AV161" s="2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11">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28">
        <v>0</v>
      </c>
      <c r="AS162" s="27">
        <v>0</v>
      </c>
      <c r="AT162" s="27">
        <v>0</v>
      </c>
      <c r="AU162" s="27">
        <v>0</v>
      </c>
      <c r="AV162" s="2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11">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28">
        <v>0</v>
      </c>
      <c r="AS163" s="27">
        <v>0</v>
      </c>
      <c r="AT163" s="27">
        <v>0</v>
      </c>
      <c r="AU163" s="27">
        <v>0</v>
      </c>
      <c r="AV163" s="2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11">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28">
        <v>0</v>
      </c>
      <c r="AS164" s="27">
        <v>0</v>
      </c>
      <c r="AT164" s="27">
        <v>0</v>
      </c>
      <c r="AU164" s="27">
        <v>0</v>
      </c>
      <c r="AV164" s="2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11">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28">
        <v>0</v>
      </c>
      <c r="AS165" s="27">
        <v>0</v>
      </c>
      <c r="AT165" s="27">
        <v>0</v>
      </c>
      <c r="AU165" s="27">
        <v>0</v>
      </c>
      <c r="AV165" s="2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11">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28">
        <v>0</v>
      </c>
      <c r="AS166" s="27">
        <v>0</v>
      </c>
      <c r="AT166" s="27">
        <v>0</v>
      </c>
      <c r="AU166" s="27">
        <v>0</v>
      </c>
      <c r="AV166" s="2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11">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28">
        <v>0</v>
      </c>
      <c r="AS167" s="27">
        <v>0</v>
      </c>
      <c r="AT167" s="27">
        <v>0</v>
      </c>
      <c r="AU167" s="27">
        <v>0</v>
      </c>
      <c r="AV167" s="2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11">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28">
        <v>0</v>
      </c>
      <c r="AS168" s="27">
        <v>0</v>
      </c>
      <c r="AT168" s="27">
        <v>0</v>
      </c>
      <c r="AU168" s="27">
        <v>0</v>
      </c>
      <c r="AV168" s="2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11">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28">
        <v>0</v>
      </c>
      <c r="AS169" s="27">
        <v>0</v>
      </c>
      <c r="AT169" s="27">
        <v>0</v>
      </c>
      <c r="AU169" s="27">
        <v>0</v>
      </c>
      <c r="AV169" s="2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11">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28">
        <v>0</v>
      </c>
      <c r="AS170" s="27">
        <v>0</v>
      </c>
      <c r="AT170" s="27">
        <v>0</v>
      </c>
      <c r="AU170" s="27">
        <v>0</v>
      </c>
      <c r="AV170" s="2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11">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28">
        <v>0</v>
      </c>
      <c r="AS171" s="27">
        <v>0</v>
      </c>
      <c r="AT171" s="27">
        <v>0</v>
      </c>
      <c r="AU171" s="27">
        <v>0</v>
      </c>
      <c r="AV171" s="2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11">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28">
        <v>0</v>
      </c>
      <c r="AS172" s="27">
        <v>0</v>
      </c>
      <c r="AT172" s="27">
        <v>0</v>
      </c>
      <c r="AU172" s="27">
        <v>0</v>
      </c>
      <c r="AV172" s="2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11">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28">
        <v>0</v>
      </c>
      <c r="AS173" s="27">
        <v>0</v>
      </c>
      <c r="AT173" s="27">
        <v>0</v>
      </c>
      <c r="AU173" s="27">
        <v>0</v>
      </c>
      <c r="AV173" s="2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11">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28">
        <v>0</v>
      </c>
      <c r="AS174" s="27">
        <v>0</v>
      </c>
      <c r="AT174" s="27">
        <v>0</v>
      </c>
      <c r="AU174" s="27">
        <v>0</v>
      </c>
      <c r="AV174" s="2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11">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28">
        <v>0</v>
      </c>
      <c r="AS175" s="27">
        <v>0</v>
      </c>
      <c r="AT175" s="27">
        <v>0</v>
      </c>
      <c r="AU175" s="27">
        <v>0</v>
      </c>
      <c r="AV175" s="2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11">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28">
        <v>0</v>
      </c>
      <c r="AS176" s="27">
        <v>0</v>
      </c>
      <c r="AT176" s="27">
        <v>0</v>
      </c>
      <c r="AU176" s="27">
        <v>0</v>
      </c>
      <c r="AV176" s="2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11">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28">
        <v>0</v>
      </c>
      <c r="AS177" s="27">
        <v>0</v>
      </c>
      <c r="AT177" s="27">
        <v>0</v>
      </c>
      <c r="AU177" s="27">
        <v>0</v>
      </c>
      <c r="AV177" s="2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11">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28">
        <v>0</v>
      </c>
      <c r="AS178" s="27">
        <v>0</v>
      </c>
      <c r="AT178" s="27">
        <v>0</v>
      </c>
      <c r="AU178" s="27">
        <v>0</v>
      </c>
      <c r="AV178" s="2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11">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28">
        <v>0</v>
      </c>
      <c r="AS179" s="27">
        <v>0</v>
      </c>
      <c r="AT179" s="27">
        <v>0</v>
      </c>
      <c r="AU179" s="27">
        <v>0</v>
      </c>
      <c r="AV179" s="2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11">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28">
        <v>0</v>
      </c>
      <c r="AS180" s="27">
        <v>0</v>
      </c>
      <c r="AT180" s="27">
        <v>0</v>
      </c>
      <c r="AU180" s="27">
        <v>0</v>
      </c>
      <c r="AV180" s="2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11">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28">
        <v>0</v>
      </c>
      <c r="AS181" s="27">
        <v>0</v>
      </c>
      <c r="AT181" s="27">
        <v>0</v>
      </c>
      <c r="AU181" s="27">
        <v>0</v>
      </c>
      <c r="AV181" s="2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11">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28">
        <v>0</v>
      </c>
      <c r="AS182" s="27">
        <v>0</v>
      </c>
      <c r="AT182" s="27">
        <v>0</v>
      </c>
      <c r="AU182" s="27">
        <v>0</v>
      </c>
      <c r="AV182" s="2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11">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28">
        <v>0</v>
      </c>
      <c r="AS183" s="27">
        <v>0</v>
      </c>
      <c r="AT183" s="27">
        <v>0</v>
      </c>
      <c r="AU183" s="27">
        <v>0</v>
      </c>
      <c r="AV183" s="2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11">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28">
        <v>0</v>
      </c>
      <c r="AS184" s="27">
        <v>0</v>
      </c>
      <c r="AT184" s="27">
        <v>0</v>
      </c>
      <c r="AU184" s="27">
        <v>0</v>
      </c>
      <c r="AV184" s="2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11">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28">
        <v>0</v>
      </c>
      <c r="AS185" s="27">
        <v>0</v>
      </c>
      <c r="AT185" s="27">
        <v>0</v>
      </c>
      <c r="AU185" s="27">
        <v>0</v>
      </c>
      <c r="AV185" s="2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11">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28">
        <v>0</v>
      </c>
      <c r="AS186" s="27">
        <v>0</v>
      </c>
      <c r="AT186" s="27">
        <v>0</v>
      </c>
      <c r="AU186" s="27">
        <v>0</v>
      </c>
      <c r="AV186" s="2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11">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28">
        <v>0</v>
      </c>
      <c r="AS187" s="27">
        <v>0</v>
      </c>
      <c r="AT187" s="27">
        <v>0</v>
      </c>
      <c r="AU187" s="27">
        <v>0</v>
      </c>
      <c r="AV187" s="2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11">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28">
        <v>0</v>
      </c>
      <c r="AS188" s="27">
        <v>0</v>
      </c>
      <c r="AT188" s="27">
        <v>0</v>
      </c>
      <c r="AU188" s="27">
        <v>0</v>
      </c>
      <c r="AV188" s="2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11">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28">
        <v>0</v>
      </c>
      <c r="AS189" s="27">
        <v>0</v>
      </c>
      <c r="AT189" s="27">
        <v>0</v>
      </c>
      <c r="AU189" s="27">
        <v>0</v>
      </c>
      <c r="AV189" s="2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11">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28">
        <v>0</v>
      </c>
      <c r="AS190" s="27">
        <v>0</v>
      </c>
      <c r="AT190" s="27">
        <v>0</v>
      </c>
      <c r="AU190" s="27">
        <v>0</v>
      </c>
      <c r="AV190" s="2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11">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28">
        <v>0</v>
      </c>
      <c r="AS191" s="27">
        <v>0</v>
      </c>
      <c r="AT191" s="27">
        <v>0</v>
      </c>
      <c r="AU191" s="27">
        <v>0</v>
      </c>
      <c r="AV191" s="2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11">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28" t="s">
        <v>1021</v>
      </c>
      <c r="AS192" s="27">
        <v>0</v>
      </c>
      <c r="AT192" s="27">
        <v>0</v>
      </c>
      <c r="AU192" s="27">
        <v>0</v>
      </c>
      <c r="AV192" s="2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11">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28">
        <v>0</v>
      </c>
      <c r="AS193" s="27">
        <v>0</v>
      </c>
      <c r="AT193" s="27">
        <v>0</v>
      </c>
      <c r="AU193" s="27">
        <v>0</v>
      </c>
      <c r="AV193" s="2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11">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28">
        <v>0</v>
      </c>
      <c r="AS194" s="27">
        <v>0</v>
      </c>
      <c r="AT194" s="27">
        <v>0</v>
      </c>
      <c r="AU194" s="27">
        <v>0</v>
      </c>
      <c r="AV194" s="2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11">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28">
        <v>0</v>
      </c>
      <c r="AS195" s="27">
        <v>0</v>
      </c>
      <c r="AT195" s="27">
        <v>0</v>
      </c>
      <c r="AU195" s="27">
        <v>0</v>
      </c>
      <c r="AV195" s="2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11">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28">
        <v>0</v>
      </c>
      <c r="AS196" s="27">
        <v>0</v>
      </c>
      <c r="AT196" s="27">
        <v>0</v>
      </c>
      <c r="AU196" s="27">
        <v>0</v>
      </c>
      <c r="AV196" s="2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11">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28">
        <v>0</v>
      </c>
      <c r="AS197" s="27">
        <v>0</v>
      </c>
      <c r="AT197" s="27">
        <v>0</v>
      </c>
      <c r="AU197" s="27">
        <v>0</v>
      </c>
      <c r="AV197" s="2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11">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28">
        <v>0</v>
      </c>
      <c r="AS198" s="27">
        <v>0</v>
      </c>
      <c r="AT198" s="27">
        <v>0</v>
      </c>
      <c r="AU198" s="27">
        <v>0</v>
      </c>
      <c r="AV198" s="2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11">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28">
        <v>0</v>
      </c>
      <c r="AS199" s="27">
        <v>0</v>
      </c>
      <c r="AT199" s="27">
        <v>0</v>
      </c>
      <c r="AU199" s="27">
        <v>0</v>
      </c>
      <c r="AV199" s="2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11">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28">
        <v>0</v>
      </c>
      <c r="AS200" s="27">
        <v>0</v>
      </c>
      <c r="AT200" s="27">
        <v>0</v>
      </c>
      <c r="AU200" s="27">
        <v>0</v>
      </c>
      <c r="AV200" s="2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11">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28">
        <v>0</v>
      </c>
      <c r="AS201" s="27">
        <v>0</v>
      </c>
      <c r="AT201" s="27">
        <v>0</v>
      </c>
      <c r="AU201" s="27">
        <v>0</v>
      </c>
      <c r="AV201" s="2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11">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28">
        <v>0</v>
      </c>
      <c r="AS202" s="27">
        <v>0</v>
      </c>
      <c r="AT202" s="27">
        <v>0</v>
      </c>
      <c r="AU202" s="27">
        <v>0</v>
      </c>
      <c r="AV202" s="2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11">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28" t="s">
        <v>1095</v>
      </c>
      <c r="AS203" s="27">
        <v>0</v>
      </c>
      <c r="AT203" s="27">
        <v>0</v>
      </c>
      <c r="AU203" s="27">
        <v>0</v>
      </c>
      <c r="AV203" s="2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11">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28">
        <v>0</v>
      </c>
      <c r="AS204" s="27">
        <v>0</v>
      </c>
      <c r="AT204" s="27">
        <v>0</v>
      </c>
      <c r="AU204" s="27">
        <v>0</v>
      </c>
      <c r="AV204" s="2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6">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28">
        <v>0</v>
      </c>
      <c r="AS205" s="27">
        <v>0</v>
      </c>
      <c r="AT205" s="27">
        <v>0</v>
      </c>
      <c r="AU205" s="27">
        <v>0</v>
      </c>
      <c r="AV205" s="2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6">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28">
        <v>0</v>
      </c>
      <c r="AS206" s="27">
        <v>0</v>
      </c>
      <c r="AT206" s="27">
        <v>0</v>
      </c>
      <c r="AU206" s="27">
        <v>0</v>
      </c>
      <c r="AV206" s="2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11">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28">
        <v>0</v>
      </c>
      <c r="AS207" s="27">
        <v>0</v>
      </c>
      <c r="AT207" s="27">
        <v>0</v>
      </c>
      <c r="AU207" s="27">
        <v>0</v>
      </c>
      <c r="AV207" s="2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11">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28">
        <v>0</v>
      </c>
      <c r="AS208" s="27">
        <v>0</v>
      </c>
      <c r="AT208" s="27">
        <v>0</v>
      </c>
      <c r="AU208" s="27">
        <v>0</v>
      </c>
      <c r="AV208" s="2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6">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28">
        <v>0</v>
      </c>
      <c r="AS209" s="27">
        <v>0</v>
      </c>
      <c r="AT209" s="27">
        <v>0</v>
      </c>
      <c r="AU209" s="27">
        <v>0</v>
      </c>
      <c r="AV209" s="2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6">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28">
        <v>0</v>
      </c>
      <c r="AS210" s="27">
        <v>0</v>
      </c>
      <c r="AT210" s="27">
        <v>0</v>
      </c>
      <c r="AU210" s="27">
        <v>0</v>
      </c>
      <c r="AV210" s="2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6">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28">
        <v>0</v>
      </c>
      <c r="AS211" s="27">
        <v>0</v>
      </c>
      <c r="AT211" s="27">
        <v>0</v>
      </c>
      <c r="AU211" s="27">
        <v>0</v>
      </c>
      <c r="AV211" s="2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6">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28">
        <v>0</v>
      </c>
      <c r="AS212" s="27">
        <v>0</v>
      </c>
      <c r="AT212" s="27">
        <v>0</v>
      </c>
      <c r="AU212" s="27">
        <v>0</v>
      </c>
      <c r="AV212" s="2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6">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28">
        <v>0</v>
      </c>
      <c r="AS213" s="27">
        <v>0</v>
      </c>
      <c r="AT213" s="27">
        <v>0</v>
      </c>
      <c r="AU213" s="27">
        <v>0</v>
      </c>
      <c r="AV213" s="2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6">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28">
        <v>0</v>
      </c>
      <c r="AS214" s="27">
        <v>0</v>
      </c>
      <c r="AT214" s="27">
        <v>0</v>
      </c>
      <c r="AU214" s="27">
        <v>0</v>
      </c>
      <c r="AV214" s="2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11">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78" si="400">$AC215/$AB215</f>
        <v>4.5635805911879532E-2</v>
      </c>
      <c r="AJ215" s="6">
        <f t="shared" ref="AJ215:AJ278" si="401">$AD215/$AB215</f>
        <v>1.1503067484662576E-2</v>
      </c>
      <c r="AK215" s="6">
        <f t="shared" ref="AK215:AK278" si="402">$AE215/$AB215</f>
        <v>3.1999442275515898E-2</v>
      </c>
      <c r="AL215" s="6">
        <f t="shared" ref="AL215:AL278" si="403">$AF215/$AB215</f>
        <v>0.12529280535415505</v>
      </c>
      <c r="AM215" s="6">
        <f t="shared" ref="AM215:AM278" si="404">$AG215/$AB215</f>
        <v>1.5184049079754602E-2</v>
      </c>
      <c r="AN215" s="6">
        <f t="shared" ref="AN215:AN278" si="405">$AH215/$AB215</f>
        <v>1.6907417735638595</v>
      </c>
      <c r="AO215" s="7">
        <v>5</v>
      </c>
      <c r="AP215" s="7">
        <v>2</v>
      </c>
      <c r="AQ215" s="7">
        <v>0</v>
      </c>
      <c r="AR215" s="28">
        <v>0</v>
      </c>
      <c r="AS215" s="27">
        <v>0</v>
      </c>
      <c r="AT215" s="27">
        <v>0</v>
      </c>
      <c r="AU215" s="27">
        <v>0</v>
      </c>
      <c r="AV215" s="2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6">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28">
        <v>0</v>
      </c>
      <c r="AS216" s="27">
        <v>0</v>
      </c>
      <c r="AT216" s="27">
        <v>0</v>
      </c>
      <c r="AU216" s="27">
        <v>0</v>
      </c>
      <c r="AV216" s="2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6">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28">
        <v>0</v>
      </c>
      <c r="AS217" s="27">
        <v>0</v>
      </c>
      <c r="AT217" s="27">
        <v>0</v>
      </c>
      <c r="AU217" s="27">
        <v>0</v>
      </c>
      <c r="AV217" s="2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6">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28">
        <v>0</v>
      </c>
      <c r="AS218" s="27">
        <v>0</v>
      </c>
      <c r="AT218" s="27">
        <v>0</v>
      </c>
      <c r="AU218" s="27">
        <v>0</v>
      </c>
      <c r="AV218" s="2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6">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28">
        <v>0</v>
      </c>
      <c r="AS219" s="27">
        <v>0</v>
      </c>
      <c r="AT219" s="27">
        <v>0</v>
      </c>
      <c r="AU219" s="27">
        <v>0</v>
      </c>
      <c r="AV219" s="2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6">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28">
        <v>0</v>
      </c>
      <c r="AS220" s="27">
        <v>0</v>
      </c>
      <c r="AT220" s="27">
        <v>0</v>
      </c>
      <c r="AU220" s="27">
        <v>0</v>
      </c>
      <c r="AV220" s="2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6">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28">
        <v>0</v>
      </c>
      <c r="AS221" s="27">
        <v>0</v>
      </c>
      <c r="AT221" s="27">
        <v>0</v>
      </c>
      <c r="AU221" s="27">
        <v>0</v>
      </c>
      <c r="AV221" s="2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6">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1188</v>
      </c>
      <c r="AA222" s="10" t="s">
        <v>1189</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28">
        <v>0</v>
      </c>
      <c r="AS222" s="27">
        <v>0</v>
      </c>
      <c r="AT222" s="27">
        <v>0</v>
      </c>
      <c r="AU222" s="27">
        <v>0</v>
      </c>
      <c r="AV222" s="2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6">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1196</v>
      </c>
      <c r="AA223" s="10" t="s">
        <v>1194</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28">
        <v>0</v>
      </c>
      <c r="AS223" s="27">
        <v>0</v>
      </c>
      <c r="AT223" s="27">
        <v>0</v>
      </c>
      <c r="AU223" s="27">
        <v>0</v>
      </c>
      <c r="AV223" s="2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1195</v>
      </c>
      <c r="BM223" s="6">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1197</v>
      </c>
      <c r="AA224" s="10" t="s">
        <v>1200</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28">
        <v>0</v>
      </c>
      <c r="AS224" s="27">
        <v>0</v>
      </c>
      <c r="AT224" s="27">
        <v>0</v>
      </c>
      <c r="AU224" s="27">
        <v>0</v>
      </c>
      <c r="AV224" s="2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1201</v>
      </c>
      <c r="BM224" s="6">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1204</v>
      </c>
      <c r="AA225" s="10" t="s">
        <v>1205</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28">
        <v>0</v>
      </c>
      <c r="AS225" s="27">
        <v>0</v>
      </c>
      <c r="AT225" s="27">
        <v>0</v>
      </c>
      <c r="AU225" s="27">
        <v>0</v>
      </c>
      <c r="AV225" s="2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1203</v>
      </c>
      <c r="BM225" s="6">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1206</v>
      </c>
      <c r="AA226" s="10" t="s">
        <v>1210</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28">
        <v>0</v>
      </c>
      <c r="AS226" s="27">
        <v>0</v>
      </c>
      <c r="AT226" s="27">
        <v>0</v>
      </c>
      <c r="AU226" s="27">
        <v>0</v>
      </c>
      <c r="AV226" s="2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1201</v>
      </c>
      <c r="BM226" s="6">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1212</v>
      </c>
      <c r="AA227" s="10" t="s">
        <v>1211</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28">
        <v>0</v>
      </c>
      <c r="AS227" s="27">
        <v>0</v>
      </c>
      <c r="AT227" s="27">
        <v>0</v>
      </c>
      <c r="AU227" s="27">
        <v>0</v>
      </c>
      <c r="AV227" s="2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1201</v>
      </c>
      <c r="BM227" s="6">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1213</v>
      </c>
      <c r="AA228" s="10" t="s">
        <v>1214</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28">
        <v>0</v>
      </c>
      <c r="AS228" s="27">
        <v>0</v>
      </c>
      <c r="AT228" s="27">
        <v>0</v>
      </c>
      <c r="AU228" s="27">
        <v>0</v>
      </c>
      <c r="AV228" s="2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1215</v>
      </c>
      <c r="BM228" s="6">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1221</v>
      </c>
      <c r="AA229" s="10" t="s">
        <v>1225</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28">
        <v>0</v>
      </c>
      <c r="AS229" s="27">
        <v>0</v>
      </c>
      <c r="AT229" s="27">
        <v>0</v>
      </c>
      <c r="AU229" s="27">
        <v>0</v>
      </c>
      <c r="AV229" s="2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1215</v>
      </c>
      <c r="BM229" s="6">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1227</v>
      </c>
      <c r="AA230" s="10" t="s">
        <v>1226</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28">
        <v>0</v>
      </c>
      <c r="AS230" s="27">
        <v>0</v>
      </c>
      <c r="AT230" s="27">
        <v>0</v>
      </c>
      <c r="AU230" s="27">
        <v>0</v>
      </c>
      <c r="AV230" s="2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1215</v>
      </c>
      <c r="BM230" s="6">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1233</v>
      </c>
      <c r="AA231" s="10" t="s">
        <v>1232</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28">
        <v>0</v>
      </c>
      <c r="AS231" s="27">
        <v>0</v>
      </c>
      <c r="AT231" s="27">
        <v>0</v>
      </c>
      <c r="AU231" s="27">
        <v>0</v>
      </c>
      <c r="AV231" s="2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1228</v>
      </c>
      <c r="BM231" s="6">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1234</v>
      </c>
      <c r="AA232" s="10" t="s">
        <v>1236</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28">
        <v>0</v>
      </c>
      <c r="AS232" s="27">
        <v>0</v>
      </c>
      <c r="AT232" s="27">
        <v>0</v>
      </c>
      <c r="AU232" s="27">
        <v>0</v>
      </c>
      <c r="AV232" s="2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1228</v>
      </c>
      <c r="BM232" s="6">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1237</v>
      </c>
      <c r="AA233" s="10" t="s">
        <v>1239</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28">
        <v>0</v>
      </c>
      <c r="AS233" s="27">
        <v>0</v>
      </c>
      <c r="AT233" s="27">
        <v>0</v>
      </c>
      <c r="AU233" s="27">
        <v>0</v>
      </c>
      <c r="AV233" s="2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1228</v>
      </c>
      <c r="BM233" s="6">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1241</v>
      </c>
      <c r="AA234" s="10" t="s">
        <v>1240</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28" t="s">
        <v>1238</v>
      </c>
      <c r="AS234" s="27">
        <v>0</v>
      </c>
      <c r="AT234" s="27">
        <v>0</v>
      </c>
      <c r="AU234" s="27">
        <v>0</v>
      </c>
      <c r="AV234" s="2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1228</v>
      </c>
      <c r="BM234" s="6">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1244</v>
      </c>
      <c r="AA235" s="10" t="s">
        <v>1243</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28" t="s">
        <v>1242</v>
      </c>
      <c r="AS235" s="27">
        <v>0</v>
      </c>
      <c r="AT235" s="27">
        <v>0</v>
      </c>
      <c r="AU235" s="27">
        <v>0</v>
      </c>
      <c r="AV235" s="2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1260</v>
      </c>
      <c r="BM235" s="6">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1245</v>
      </c>
      <c r="AA236" s="10" t="s">
        <v>1248</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28">
        <v>0</v>
      </c>
      <c r="AS236" s="27">
        <v>0</v>
      </c>
      <c r="AT236" s="27">
        <v>0</v>
      </c>
      <c r="AU236" s="27">
        <v>0</v>
      </c>
      <c r="AV236" s="2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1260</v>
      </c>
      <c r="BM236" s="6">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1251</v>
      </c>
      <c r="AA237" s="10" t="s">
        <v>1250</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28">
        <v>0</v>
      </c>
      <c r="AS237" s="27">
        <v>0</v>
      </c>
      <c r="AT237" s="27">
        <v>0</v>
      </c>
      <c r="AU237" s="27">
        <v>0</v>
      </c>
      <c r="AV237" s="2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6">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1258</v>
      </c>
      <c r="AA238" s="10" t="s">
        <v>1257</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28">
        <v>0</v>
      </c>
      <c r="AS238" s="27">
        <v>0</v>
      </c>
      <c r="AT238" s="27">
        <v>0</v>
      </c>
      <c r="AU238" s="27">
        <v>0</v>
      </c>
      <c r="AV238" s="2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6">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1262</v>
      </c>
      <c r="AA239" s="10" t="s">
        <v>1261</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28" t="s">
        <v>1259</v>
      </c>
      <c r="AS239" s="27">
        <v>0</v>
      </c>
      <c r="AT239" s="27">
        <v>0</v>
      </c>
      <c r="AU239" s="27">
        <v>0</v>
      </c>
      <c r="AV239" s="2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6">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1267</v>
      </c>
      <c r="AA240" s="10" t="s">
        <v>1266</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28" t="s">
        <v>1264</v>
      </c>
      <c r="AS240" s="27">
        <v>0</v>
      </c>
      <c r="AT240" s="27">
        <v>0</v>
      </c>
      <c r="AU240" s="27">
        <v>0</v>
      </c>
      <c r="AV240" s="2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6">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1273</v>
      </c>
      <c r="AA241" s="10" t="s">
        <v>1272</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28" t="s">
        <v>1270</v>
      </c>
      <c r="AS241" s="27">
        <v>0</v>
      </c>
      <c r="AT241" s="27">
        <v>0</v>
      </c>
      <c r="AU241" s="27">
        <v>0</v>
      </c>
      <c r="AV241" s="2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6">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1274</v>
      </c>
      <c r="AA242" s="10" t="s">
        <v>1276</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27">
        <v>0</v>
      </c>
      <c r="AS242" s="27">
        <v>0</v>
      </c>
      <c r="AT242" s="27">
        <v>0</v>
      </c>
      <c r="AU242" s="27">
        <v>0</v>
      </c>
      <c r="AV242" s="2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6">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1280</v>
      </c>
      <c r="AA243" s="10" t="s">
        <v>1282</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28" t="s">
        <v>1279</v>
      </c>
      <c r="AS243" s="27" t="s">
        <v>1278</v>
      </c>
      <c r="AT243" s="27">
        <v>0</v>
      </c>
      <c r="AU243" s="27">
        <f>20+10+3+5+10</f>
        <v>48</v>
      </c>
      <c r="AV243" s="2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6">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1285</v>
      </c>
      <c r="AA244" s="10" t="s">
        <v>1284</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28" t="s">
        <v>1283</v>
      </c>
      <c r="AS244" s="27">
        <v>0</v>
      </c>
      <c r="AT244" s="27">
        <v>0</v>
      </c>
      <c r="AU244" s="27">
        <v>0</v>
      </c>
      <c r="AV244" s="2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6">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1286</v>
      </c>
      <c r="AA245" s="10" t="s">
        <v>1287</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27">
        <v>0</v>
      </c>
      <c r="AS245" s="27">
        <v>0</v>
      </c>
      <c r="AT245" s="27">
        <v>0</v>
      </c>
      <c r="AU245" s="27">
        <v>0</v>
      </c>
      <c r="AV245" s="2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6">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1289</v>
      </c>
      <c r="AA246" s="10" t="s">
        <v>1288</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27">
        <v>0</v>
      </c>
      <c r="AS246" s="27">
        <v>0</v>
      </c>
      <c r="AT246" s="27">
        <v>0</v>
      </c>
      <c r="AU246" s="27">
        <v>0</v>
      </c>
      <c r="AV246" s="2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6">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1291</v>
      </c>
      <c r="AA247" s="10" t="s">
        <v>1297</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7" t="s">
        <v>1294</v>
      </c>
      <c r="AS247" s="27" t="s">
        <v>1293</v>
      </c>
      <c r="AT247" s="27">
        <v>0</v>
      </c>
      <c r="AU247" s="27">
        <f>10-10</f>
        <v>0</v>
      </c>
      <c r="AV247" s="2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6">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1300</v>
      </c>
      <c r="AA248" s="10" t="s">
        <v>1301</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28" t="s">
        <v>1299</v>
      </c>
      <c r="AS248" s="27">
        <v>0</v>
      </c>
      <c r="AT248" s="27">
        <v>0</v>
      </c>
      <c r="AU248" s="27">
        <v>0</v>
      </c>
      <c r="AV248" s="2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6">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1302</v>
      </c>
      <c r="AA249" s="10" t="s">
        <v>1306</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28">
        <v>0</v>
      </c>
      <c r="AS249" s="27">
        <v>0</v>
      </c>
      <c r="AT249" s="27">
        <v>0</v>
      </c>
      <c r="AU249" s="27">
        <v>0</v>
      </c>
      <c r="AV249" s="2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6">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1310</v>
      </c>
      <c r="AA250" s="10" t="s">
        <v>1309</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28" t="s">
        <v>1308</v>
      </c>
      <c r="AS250" s="28">
        <f>10+10</f>
        <v>20</v>
      </c>
      <c r="AT250" s="27">
        <v>0</v>
      </c>
      <c r="AU250" s="27">
        <v>0</v>
      </c>
      <c r="AV250" s="2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1305</v>
      </c>
      <c r="BM250" s="6">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1311</v>
      </c>
      <c r="AA251" s="10" t="s">
        <v>1312</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28" t="s">
        <v>1313</v>
      </c>
      <c r="AS251" s="28">
        <f>15+10-9</f>
        <v>16</v>
      </c>
      <c r="AT251" s="27">
        <v>0</v>
      </c>
      <c r="AU251" s="27">
        <v>0</v>
      </c>
      <c r="AV251" s="2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1305</v>
      </c>
      <c r="BM251" s="6">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1323</v>
      </c>
      <c r="AA252" s="10" t="s">
        <v>1322</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27">
        <v>0</v>
      </c>
      <c r="AS252" s="27">
        <v>0</v>
      </c>
      <c r="AT252" s="27">
        <v>0</v>
      </c>
      <c r="AU252" s="27">
        <v>0</v>
      </c>
      <c r="AV252" s="2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6">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1325</v>
      </c>
      <c r="AA253" s="10" t="s">
        <v>1324</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27">
        <v>0</v>
      </c>
      <c r="AS253" s="27">
        <v>0</v>
      </c>
      <c r="AT253" s="27">
        <v>0</v>
      </c>
      <c r="AU253" s="27">
        <v>0</v>
      </c>
      <c r="AV253" s="2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1305</v>
      </c>
      <c r="BM253" s="6">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1327</v>
      </c>
      <c r="AA254" s="10" t="s">
        <v>1326</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27">
        <v>0</v>
      </c>
      <c r="AS254" s="27">
        <v>0</v>
      </c>
      <c r="AT254" s="27">
        <v>0</v>
      </c>
      <c r="AU254" s="27">
        <v>0</v>
      </c>
      <c r="AV254" s="2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6">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1336</v>
      </c>
      <c r="AA255" s="10" t="s">
        <v>1338</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27">
        <v>0</v>
      </c>
      <c r="AS255" s="27">
        <v>0</v>
      </c>
      <c r="AT255" s="27">
        <v>0</v>
      </c>
      <c r="AU255" s="27">
        <v>0</v>
      </c>
      <c r="AV255" s="2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6">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1340</v>
      </c>
      <c r="AA256" s="10" t="s">
        <v>1350</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27">
        <v>0</v>
      </c>
      <c r="AS256" s="27">
        <v>0</v>
      </c>
      <c r="AT256" s="27">
        <v>0</v>
      </c>
      <c r="AU256" s="27">
        <v>0</v>
      </c>
      <c r="AV256" s="2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6">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1347</v>
      </c>
      <c r="AA257" s="10" t="s">
        <v>1346</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27">
        <v>0</v>
      </c>
      <c r="AS257" s="27">
        <v>0</v>
      </c>
      <c r="AT257" s="27">
        <v>0</v>
      </c>
      <c r="AU257" s="27">
        <v>0</v>
      </c>
      <c r="AV257" s="2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1305</v>
      </c>
      <c r="BM257" s="6">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1348</v>
      </c>
      <c r="AA258" s="10" t="s">
        <v>1349</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27">
        <v>0</v>
      </c>
      <c r="AS258" s="27">
        <v>0</v>
      </c>
      <c r="AT258" s="27">
        <v>0</v>
      </c>
      <c r="AU258" s="27">
        <v>0</v>
      </c>
      <c r="AV258" s="2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1305</v>
      </c>
      <c r="BM258" s="6">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1351</v>
      </c>
      <c r="AA259" s="10" t="s">
        <v>1353</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27">
        <v>0</v>
      </c>
      <c r="AS259" s="27">
        <v>0</v>
      </c>
      <c r="AT259" s="27">
        <v>0</v>
      </c>
      <c r="AU259" s="27">
        <v>0</v>
      </c>
      <c r="AV259" s="2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6">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1352</v>
      </c>
      <c r="AA260" s="10" t="s">
        <v>1357</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27">
        <v>0</v>
      </c>
      <c r="AS260" s="27">
        <v>0</v>
      </c>
      <c r="AT260" s="27">
        <v>0</v>
      </c>
      <c r="AU260" s="27">
        <v>0</v>
      </c>
      <c r="AV260" s="2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1305</v>
      </c>
      <c r="BM260" s="6">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1361</v>
      </c>
      <c r="AA261" s="10" t="s">
        <v>1359</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7" t="s">
        <v>1360</v>
      </c>
      <c r="AS261" s="27">
        <v>0</v>
      </c>
      <c r="AT261" s="27">
        <v>0</v>
      </c>
      <c r="AU261" s="27">
        <v>0</v>
      </c>
      <c r="AV261" s="2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1305</v>
      </c>
      <c r="BM261" s="6">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1364</v>
      </c>
      <c r="AA262" s="10" t="s">
        <v>1365</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7">
        <v>6</v>
      </c>
      <c r="AP262" s="7">
        <v>4</v>
      </c>
      <c r="AQ262" s="7">
        <v>0</v>
      </c>
      <c r="AR262" s="27">
        <v>0</v>
      </c>
      <c r="AS262" s="27">
        <v>0</v>
      </c>
      <c r="AT262" s="27">
        <v>0</v>
      </c>
      <c r="AU262" s="27">
        <v>0</v>
      </c>
      <c r="AV262" s="2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1305</v>
      </c>
      <c r="BM262" s="6">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1367</v>
      </c>
      <c r="AA263" s="10" t="s">
        <v>1368</v>
      </c>
      <c r="AB263" s="5">
        <f>290+90+290+90+127+7+179+109+330</f>
        <v>1512</v>
      </c>
      <c r="AC263" s="6">
        <f>4+6+4+6+7+0+15+5+1</f>
        <v>48</v>
      </c>
      <c r="AD263" s="6">
        <f>1+4+1+4+4+0+10+1+0</f>
        <v>25</v>
      </c>
      <c r="AE263" s="6">
        <f>9+7+9+7+11+0+10+3+11</f>
        <v>67</v>
      </c>
      <c r="AF263" s="6">
        <f>53+2+53+2+5+2+11+12+67</f>
        <v>207</v>
      </c>
      <c r="AG263" s="6">
        <f>2+0+2+0+1+0+0+2+3</f>
        <v>10</v>
      </c>
      <c r="AH263" s="6">
        <f>410+210+410+210+207+1+759+149+644</f>
        <v>3000</v>
      </c>
      <c r="AI263" s="6">
        <f t="shared" si="400"/>
        <v>3.1746031746031744E-2</v>
      </c>
      <c r="AJ263" s="6">
        <f t="shared" si="401"/>
        <v>1.6534391534391533E-2</v>
      </c>
      <c r="AK263" s="6">
        <f t="shared" si="402"/>
        <v>4.431216931216931E-2</v>
      </c>
      <c r="AL263" s="6">
        <f t="shared" si="403"/>
        <v>0.13690476190476192</v>
      </c>
      <c r="AM263" s="6">
        <f t="shared" si="404"/>
        <v>6.6137566137566134E-3</v>
      </c>
      <c r="AN263" s="6">
        <f t="shared" si="405"/>
        <v>1.9841269841269842</v>
      </c>
      <c r="AO263" s="7">
        <v>6</v>
      </c>
      <c r="AP263" s="7">
        <v>1</v>
      </c>
      <c r="AQ263" s="7">
        <v>0</v>
      </c>
      <c r="AR263" s="27">
        <v>0</v>
      </c>
      <c r="AS263" s="27">
        <v>0</v>
      </c>
      <c r="AT263" s="27">
        <v>0</v>
      </c>
      <c r="AU263" s="27">
        <v>0</v>
      </c>
      <c r="AV263" s="27">
        <v>0</v>
      </c>
      <c r="AW263" s="7">
        <v>31</v>
      </c>
      <c r="AX263" s="7">
        <v>1</v>
      </c>
      <c r="AY263" s="5">
        <v>6</v>
      </c>
      <c r="AZ263" s="7">
        <v>0</v>
      </c>
      <c r="BA263" s="7">
        <v>0</v>
      </c>
      <c r="BB263" s="7">
        <v>0</v>
      </c>
      <c r="BC263" s="7">
        <v>1</v>
      </c>
      <c r="BD263" s="7">
        <v>1</v>
      </c>
      <c r="BE263" s="7">
        <v>0</v>
      </c>
      <c r="BF263" s="7">
        <v>0</v>
      </c>
      <c r="BG263" s="7">
        <v>0</v>
      </c>
      <c r="BH263" s="7">
        <v>0</v>
      </c>
      <c r="BI263" s="7">
        <v>0</v>
      </c>
      <c r="BJ263" s="7">
        <v>0</v>
      </c>
      <c r="BK263" s="11">
        <v>2</v>
      </c>
      <c r="BL263" s="7" t="s">
        <v>1305</v>
      </c>
      <c r="BM263" s="6">
        <v>1</v>
      </c>
    </row>
    <row r="264" spans="1:65" ht="30" customHeight="1" x14ac:dyDescent="0.3">
      <c r="A264" s="3" t="s">
        <v>15</v>
      </c>
      <c r="B264" s="3">
        <v>7</v>
      </c>
      <c r="C264" s="8">
        <v>44473</v>
      </c>
      <c r="D264" s="9">
        <v>0.625</v>
      </c>
      <c r="E264" s="4">
        <v>97</v>
      </c>
      <c r="F264" s="3">
        <v>5</v>
      </c>
      <c r="G264" s="3">
        <v>3</v>
      </c>
      <c r="H264" s="3">
        <v>15</v>
      </c>
      <c r="I264" s="3">
        <v>0.25</v>
      </c>
      <c r="J264" s="9">
        <v>0.62152777777777779</v>
      </c>
      <c r="K264" s="3">
        <v>143.80000000000001</v>
      </c>
      <c r="L264" s="11">
        <f t="shared" ref="L264" si="501">K264-K263</f>
        <v>3.4000000000000057</v>
      </c>
      <c r="M264" s="5">
        <f t="shared" ref="M264" si="502">AB263</f>
        <v>1512</v>
      </c>
      <c r="N264" s="11">
        <v>29.5</v>
      </c>
      <c r="O264" s="11">
        <v>31</v>
      </c>
      <c r="P264" s="11">
        <v>10.75</v>
      </c>
      <c r="Q264" s="11">
        <v>10.625</v>
      </c>
      <c r="R264" s="11">
        <v>19.75</v>
      </c>
      <c r="S264" s="11">
        <v>19.75</v>
      </c>
      <c r="T264" s="11">
        <v>12</v>
      </c>
      <c r="U264" s="11">
        <v>12</v>
      </c>
      <c r="V264" s="11">
        <v>15</v>
      </c>
      <c r="W264" s="11">
        <v>14</v>
      </c>
      <c r="X264" s="11">
        <v>7</v>
      </c>
      <c r="Y264" s="11">
        <v>7</v>
      </c>
      <c r="Z264" s="3" t="s">
        <v>1370</v>
      </c>
      <c r="AA264" s="10" t="s">
        <v>1371</v>
      </c>
      <c r="AB264" s="5">
        <f>290+90+290+90+127+7+65+130+38+26+100+285+7+140+90</f>
        <v>1775</v>
      </c>
      <c r="AC264" s="6">
        <f>4+6+4+6+7+0+3+6+2+1+5+17+0+7+6</f>
        <v>74</v>
      </c>
      <c r="AD264" s="6">
        <f>1+4+1+4+4+0+2+3+1+0+3+9+0+5+4</f>
        <v>41</v>
      </c>
      <c r="AE264" s="6">
        <f>9+7+9+7+11+0+1+2+0+1+24+0+2+7</f>
        <v>80</v>
      </c>
      <c r="AF264" s="6">
        <f>53+2+53+2+5+2+10+17+6+5+13+11+2+18+2</f>
        <v>201</v>
      </c>
      <c r="AG264" s="6">
        <f>2+0+2+0+1+0+1+1+0+0+0+2+0+2+0</f>
        <v>11</v>
      </c>
      <c r="AH264" s="6">
        <f>410+210+410+210+207+1+10+65+13+11+40+465+1+90+210</f>
        <v>2353</v>
      </c>
      <c r="AI264" s="6">
        <f t="shared" si="400"/>
        <v>4.1690140845070424E-2</v>
      </c>
      <c r="AJ264" s="6">
        <f t="shared" si="401"/>
        <v>2.3098591549295774E-2</v>
      </c>
      <c r="AK264" s="6">
        <f t="shared" si="402"/>
        <v>4.507042253521127E-2</v>
      </c>
      <c r="AL264" s="6">
        <f t="shared" si="403"/>
        <v>0.1132394366197183</v>
      </c>
      <c r="AM264" s="6">
        <f t="shared" si="404"/>
        <v>6.1971830985915492E-3</v>
      </c>
      <c r="AN264" s="6">
        <f t="shared" si="405"/>
        <v>1.3256338028169015</v>
      </c>
      <c r="AO264" s="7">
        <v>6</v>
      </c>
      <c r="AP264" s="7">
        <v>3</v>
      </c>
      <c r="AQ264" s="7">
        <v>0</v>
      </c>
      <c r="AR264" s="28" t="s">
        <v>1369</v>
      </c>
      <c r="AS264" s="27">
        <v>0</v>
      </c>
      <c r="AT264" s="27">
        <v>-3</v>
      </c>
      <c r="AU264" s="27">
        <v>0</v>
      </c>
      <c r="AV264" s="27">
        <v>0</v>
      </c>
      <c r="AW264" s="7">
        <v>31</v>
      </c>
      <c r="AX264" s="7">
        <v>1</v>
      </c>
      <c r="AY264" s="5">
        <v>7.5</v>
      </c>
      <c r="AZ264" s="7">
        <v>0</v>
      </c>
      <c r="BA264" s="7">
        <v>0</v>
      </c>
      <c r="BB264" s="7">
        <v>0</v>
      </c>
      <c r="BC264" s="7">
        <v>1</v>
      </c>
      <c r="BD264" s="7">
        <v>1</v>
      </c>
      <c r="BE264" s="7">
        <v>0</v>
      </c>
      <c r="BF264" s="7">
        <v>0</v>
      </c>
      <c r="BG264" s="7">
        <v>0</v>
      </c>
      <c r="BH264" s="7">
        <v>0</v>
      </c>
      <c r="BI264" s="7">
        <v>1</v>
      </c>
      <c r="BJ264" s="7">
        <v>0</v>
      </c>
      <c r="BK264" s="11">
        <v>2</v>
      </c>
      <c r="BL264" s="7" t="s">
        <v>1305</v>
      </c>
      <c r="BM264" s="6">
        <v>1</v>
      </c>
    </row>
    <row r="265" spans="1:65" ht="30" customHeight="1" x14ac:dyDescent="0.3">
      <c r="A265" s="3" t="s">
        <v>16</v>
      </c>
      <c r="B265" s="3">
        <v>8</v>
      </c>
      <c r="C265" s="8">
        <v>44474</v>
      </c>
      <c r="D265" s="9">
        <v>0.5625</v>
      </c>
      <c r="E265" s="4">
        <v>68</v>
      </c>
      <c r="F265" s="3">
        <v>8</v>
      </c>
      <c r="G265" s="3">
        <v>3</v>
      </c>
      <c r="H265" s="3">
        <v>24</v>
      </c>
      <c r="I265" s="3">
        <v>0.25</v>
      </c>
      <c r="J265" s="9">
        <v>0.38541666666666669</v>
      </c>
      <c r="K265" s="3">
        <v>141</v>
      </c>
      <c r="L265" s="11">
        <f t="shared" ref="L265" si="503">K265-K264</f>
        <v>-2.8000000000000114</v>
      </c>
      <c r="M265" s="5">
        <f t="shared" ref="M265" si="504">AB264</f>
        <v>1775</v>
      </c>
      <c r="N265" s="11">
        <v>30.125</v>
      </c>
      <c r="O265" s="11">
        <v>31.875</v>
      </c>
      <c r="P265" s="11">
        <v>10.5</v>
      </c>
      <c r="Q265" s="11">
        <v>10.625</v>
      </c>
      <c r="R265" s="11">
        <v>19.75</v>
      </c>
      <c r="S265" s="11">
        <v>19.75</v>
      </c>
      <c r="T265" s="11">
        <v>16</v>
      </c>
      <c r="U265" s="11">
        <v>15</v>
      </c>
      <c r="V265" s="11">
        <v>15</v>
      </c>
      <c r="W265" s="11">
        <v>15</v>
      </c>
      <c r="X265" s="11">
        <v>7</v>
      </c>
      <c r="Y265" s="11">
        <v>7</v>
      </c>
      <c r="Z265" s="3" t="s">
        <v>1372</v>
      </c>
      <c r="AA265" s="10" t="s">
        <v>1375</v>
      </c>
      <c r="AB265" s="5">
        <f>540+180+780+360+240+0+0</f>
        <v>2100</v>
      </c>
      <c r="AC265" s="6">
        <f>6+12+8+0+14+0+0</f>
        <v>40</v>
      </c>
      <c r="AD265" s="6">
        <f>0+7+0+60+8+0+0</f>
        <v>75</v>
      </c>
      <c r="AE265" s="6">
        <f>24+14+33+4+19+0+0</f>
        <v>94</v>
      </c>
      <c r="AF265" s="6">
        <f>102+4+144+84+9+0+0</f>
        <v>343</v>
      </c>
      <c r="AG265" s="6">
        <f>6+0+9+52+3+0+0</f>
        <v>70</v>
      </c>
      <c r="AH265" s="6">
        <f>800+420+1140+60+370+260+55</f>
        <v>3105</v>
      </c>
      <c r="AI265" s="6">
        <f t="shared" si="400"/>
        <v>1.9047619047619049E-2</v>
      </c>
      <c r="AJ265" s="6">
        <f t="shared" si="401"/>
        <v>3.5714285714285712E-2</v>
      </c>
      <c r="AK265" s="6">
        <f t="shared" si="402"/>
        <v>4.476190476190476E-2</v>
      </c>
      <c r="AL265" s="6">
        <f t="shared" si="403"/>
        <v>0.16333333333333333</v>
      </c>
      <c r="AM265" s="6">
        <f t="shared" si="404"/>
        <v>3.3333333333333333E-2</v>
      </c>
      <c r="AN265" s="6">
        <f t="shared" si="405"/>
        <v>1.4785714285714286</v>
      </c>
      <c r="AO265" s="7">
        <v>6</v>
      </c>
      <c r="AP265" s="7">
        <v>1</v>
      </c>
      <c r="AQ265" s="7">
        <v>0</v>
      </c>
      <c r="AR265" s="27" t="s">
        <v>1379</v>
      </c>
      <c r="AS265" s="27">
        <v>0</v>
      </c>
      <c r="AT265" s="27">
        <v>0</v>
      </c>
      <c r="AU265" s="27">
        <v>0</v>
      </c>
      <c r="AV265" s="27">
        <v>0</v>
      </c>
      <c r="AW265" s="7">
        <v>31</v>
      </c>
      <c r="AX265" s="7">
        <v>1</v>
      </c>
      <c r="AY265" s="5">
        <v>7.5</v>
      </c>
      <c r="AZ265" s="7">
        <v>0</v>
      </c>
      <c r="BA265" s="7">
        <v>1</v>
      </c>
      <c r="BB265" s="7">
        <v>0</v>
      </c>
      <c r="BC265" s="7">
        <v>1</v>
      </c>
      <c r="BD265" s="7">
        <v>1</v>
      </c>
      <c r="BE265" s="7">
        <v>0</v>
      </c>
      <c r="BF265" s="7">
        <v>0</v>
      </c>
      <c r="BG265" s="7">
        <v>0</v>
      </c>
      <c r="BH265" s="7">
        <v>0</v>
      </c>
      <c r="BI265" s="7">
        <v>0</v>
      </c>
      <c r="BJ265" s="7">
        <v>0</v>
      </c>
      <c r="BK265" s="11">
        <v>2</v>
      </c>
      <c r="BL265" s="7" t="s">
        <v>1305</v>
      </c>
      <c r="BM265" s="6">
        <v>1</v>
      </c>
    </row>
    <row r="266" spans="1:65" ht="30" customHeight="1" x14ac:dyDescent="0.3">
      <c r="A266" s="3" t="s">
        <v>17</v>
      </c>
      <c r="B266" s="3">
        <v>9</v>
      </c>
      <c r="C266" s="8">
        <v>44475</v>
      </c>
      <c r="D266" s="9">
        <v>0.33333333333333331</v>
      </c>
      <c r="E266" s="4">
        <v>62</v>
      </c>
      <c r="F266" s="3">
        <v>0</v>
      </c>
      <c r="G266" s="3">
        <v>0</v>
      </c>
      <c r="H266" s="3">
        <v>0</v>
      </c>
      <c r="I266" s="3">
        <v>0</v>
      </c>
      <c r="J266" s="9">
        <v>0.35972222222222222</v>
      </c>
      <c r="K266" s="3">
        <v>141.19999999999999</v>
      </c>
      <c r="L266" s="11">
        <f t="shared" ref="L266:L267" si="505">K266-K265</f>
        <v>0.19999999999998863</v>
      </c>
      <c r="M266" s="5">
        <f t="shared" ref="M266:M267" si="506">AB265</f>
        <v>2100</v>
      </c>
      <c r="N266" s="11">
        <v>28.75</v>
      </c>
      <c r="O266" s="11">
        <v>29.75</v>
      </c>
      <c r="P266" s="11">
        <v>10.625</v>
      </c>
      <c r="Q266" s="11">
        <v>10.5</v>
      </c>
      <c r="R266" s="11">
        <v>19.625</v>
      </c>
      <c r="S266" s="11">
        <v>19.5</v>
      </c>
      <c r="T266" s="11">
        <v>13</v>
      </c>
      <c r="U266" s="11">
        <v>13</v>
      </c>
      <c r="V266" s="11">
        <v>16</v>
      </c>
      <c r="W266" s="11">
        <v>15</v>
      </c>
      <c r="X266" s="11">
        <v>7</v>
      </c>
      <c r="Y266" s="11">
        <v>7</v>
      </c>
      <c r="Z266" s="3" t="s">
        <v>1373</v>
      </c>
      <c r="AA266" s="10" t="s">
        <v>1376</v>
      </c>
      <c r="AB266" s="5">
        <f>520+240+480+270+70+80+20</f>
        <v>1680</v>
      </c>
      <c r="AC266" s="6">
        <f>5+14+0+3+5+5+2</f>
        <v>34</v>
      </c>
      <c r="AD266" s="6">
        <f>0+8+0+0+3+4+1</f>
        <v>16</v>
      </c>
      <c r="AE266" s="6">
        <f>22+19+6+12+4+6+2</f>
        <v>71</v>
      </c>
      <c r="AF266" s="6">
        <f>96+9+114+51+1+2+0</f>
        <v>273</v>
      </c>
      <c r="AG266" s="6">
        <f>6+3+0+3+0+0+0</f>
        <v>12</v>
      </c>
      <c r="AH266" s="6">
        <f>760+370+120+400+250+190+100</f>
        <v>2190</v>
      </c>
      <c r="AI266" s="6">
        <f t="shared" si="400"/>
        <v>2.0238095238095239E-2</v>
      </c>
      <c r="AJ266" s="6">
        <f t="shared" si="401"/>
        <v>9.5238095238095247E-3</v>
      </c>
      <c r="AK266" s="6">
        <f t="shared" si="402"/>
        <v>4.2261904761904764E-2</v>
      </c>
      <c r="AL266" s="6">
        <f t="shared" si="403"/>
        <v>0.16250000000000001</v>
      </c>
      <c r="AM266" s="6">
        <f t="shared" si="404"/>
        <v>7.1428571428571426E-3</v>
      </c>
      <c r="AN266" s="6">
        <f t="shared" si="405"/>
        <v>1.3035714285714286</v>
      </c>
      <c r="AO266" s="7">
        <v>7</v>
      </c>
      <c r="AP266" s="7">
        <v>1</v>
      </c>
      <c r="AQ266" s="7">
        <v>0</v>
      </c>
      <c r="AR266" s="27">
        <v>0</v>
      </c>
      <c r="AS266" s="27">
        <v>0</v>
      </c>
      <c r="AT266" s="27">
        <v>0</v>
      </c>
      <c r="AU266" s="27">
        <v>0</v>
      </c>
      <c r="AV266" s="27">
        <v>0</v>
      </c>
      <c r="AW266" s="7">
        <v>31</v>
      </c>
      <c r="AX266" s="7">
        <v>1</v>
      </c>
      <c r="AY266" s="5">
        <v>7</v>
      </c>
      <c r="AZ266" s="7">
        <v>0</v>
      </c>
      <c r="BA266" s="7">
        <v>0</v>
      </c>
      <c r="BB266" s="7">
        <v>0</v>
      </c>
      <c r="BC266" s="7">
        <v>1</v>
      </c>
      <c r="BD266" s="7">
        <v>1</v>
      </c>
      <c r="BE266" s="7">
        <v>0</v>
      </c>
      <c r="BF266" s="7">
        <v>0</v>
      </c>
      <c r="BG266" s="7">
        <v>0</v>
      </c>
      <c r="BH266" s="7">
        <v>0</v>
      </c>
      <c r="BI266" s="7">
        <v>0</v>
      </c>
      <c r="BJ266" s="7">
        <v>0</v>
      </c>
      <c r="BK266" s="11">
        <v>1</v>
      </c>
      <c r="BL266" s="7" t="s">
        <v>1305</v>
      </c>
      <c r="BM266" s="6">
        <v>1</v>
      </c>
    </row>
    <row r="267" spans="1:65" ht="30" customHeight="1" x14ac:dyDescent="0.3">
      <c r="A267" s="3" t="s">
        <v>18</v>
      </c>
      <c r="B267" s="3">
        <v>10</v>
      </c>
      <c r="C267" s="8">
        <v>44476</v>
      </c>
      <c r="D267" s="9">
        <v>0.25</v>
      </c>
      <c r="E267" s="4">
        <v>64</v>
      </c>
      <c r="F267" s="3">
        <v>0</v>
      </c>
      <c r="G267" s="3">
        <v>0</v>
      </c>
      <c r="H267" s="3">
        <v>0</v>
      </c>
      <c r="I267" s="3">
        <v>0</v>
      </c>
      <c r="J267" s="9">
        <v>0.30694444444444441</v>
      </c>
      <c r="K267" s="3">
        <v>141.80000000000001</v>
      </c>
      <c r="L267" s="11">
        <f t="shared" si="505"/>
        <v>0.60000000000002274</v>
      </c>
      <c r="M267" s="5">
        <f t="shared" si="506"/>
        <v>1680</v>
      </c>
      <c r="N267" s="11">
        <v>29.75</v>
      </c>
      <c r="O267" s="11">
        <v>30.875</v>
      </c>
      <c r="P267" s="11">
        <v>10.875</v>
      </c>
      <c r="Q267" s="11">
        <v>10.625</v>
      </c>
      <c r="R267" s="11">
        <v>19.875</v>
      </c>
      <c r="S267" s="11">
        <v>20.125</v>
      </c>
      <c r="T267" s="11">
        <v>13</v>
      </c>
      <c r="U267" s="11">
        <v>13</v>
      </c>
      <c r="V267" s="11">
        <v>16</v>
      </c>
      <c r="W267" s="11">
        <v>15</v>
      </c>
      <c r="X267" s="11">
        <v>7</v>
      </c>
      <c r="Y267" s="11">
        <v>7</v>
      </c>
      <c r="Z267" s="3" t="s">
        <v>1378</v>
      </c>
      <c r="AA267" s="10" t="s">
        <v>1387</v>
      </c>
      <c r="AB267" s="5">
        <f>540+240+0+0+160+180+330+210+70+135+140</f>
        <v>2005</v>
      </c>
      <c r="AC267" s="6">
        <f>6+14+0+0+0+5+17+12+2+0+7</f>
        <v>63</v>
      </c>
      <c r="AD267" s="6">
        <f>0+8+0+0+0+3+10+9+0+0+3</f>
        <v>33</v>
      </c>
      <c r="AE267" s="6">
        <f>24+19+0+0+0+8+10+24+3+0+2</f>
        <v>90</v>
      </c>
      <c r="AF267" s="6">
        <f>102+9+0+0+40+25+34+3+10+38+20</f>
        <v>281</v>
      </c>
      <c r="AG267" s="6">
        <f>6+3+0+0+0+4+1+0+1+0+3</f>
        <v>18</v>
      </c>
      <c r="AH267" s="6">
        <f>800+370+260+55+125+310+270+540+360+45+310</f>
        <v>3445</v>
      </c>
      <c r="AI267" s="6">
        <f t="shared" si="400"/>
        <v>3.1421446384039903E-2</v>
      </c>
      <c r="AJ267" s="6">
        <f t="shared" si="401"/>
        <v>1.6458852867830425E-2</v>
      </c>
      <c r="AK267" s="6">
        <f t="shared" si="402"/>
        <v>4.488778054862843E-2</v>
      </c>
      <c r="AL267" s="6">
        <f t="shared" si="403"/>
        <v>0.14014962593516209</v>
      </c>
      <c r="AM267" s="6">
        <f t="shared" si="404"/>
        <v>8.9775561097256863E-3</v>
      </c>
      <c r="AN267" s="6">
        <f t="shared" si="405"/>
        <v>1.7182044887780548</v>
      </c>
      <c r="AO267" s="7">
        <v>6</v>
      </c>
      <c r="AP267" s="7">
        <v>2</v>
      </c>
      <c r="AQ267" s="7">
        <v>0</v>
      </c>
      <c r="AR267" s="27">
        <v>0</v>
      </c>
      <c r="AS267" s="27">
        <v>0</v>
      </c>
      <c r="AT267" s="27">
        <v>0</v>
      </c>
      <c r="AU267" s="27">
        <v>0</v>
      </c>
      <c r="AV267" s="27">
        <v>0</v>
      </c>
      <c r="AW267" s="7">
        <v>31</v>
      </c>
      <c r="AX267" s="7">
        <v>1</v>
      </c>
      <c r="AY267" s="5">
        <v>2.5</v>
      </c>
      <c r="AZ267" s="7">
        <v>0</v>
      </c>
      <c r="BA267" s="7">
        <v>0</v>
      </c>
      <c r="BB267" s="7">
        <v>0</v>
      </c>
      <c r="BC267" s="7">
        <v>1</v>
      </c>
      <c r="BD267" s="7">
        <v>1</v>
      </c>
      <c r="BE267" s="7">
        <v>0</v>
      </c>
      <c r="BF267" s="7">
        <v>0</v>
      </c>
      <c r="BG267" s="7">
        <v>0</v>
      </c>
      <c r="BH267" s="7">
        <v>0</v>
      </c>
      <c r="BI267" s="7">
        <v>0</v>
      </c>
      <c r="BJ267" s="7">
        <v>0</v>
      </c>
      <c r="BK267" s="11">
        <v>2</v>
      </c>
      <c r="BL267" s="7" t="s">
        <v>1305</v>
      </c>
      <c r="BM267" s="6">
        <v>1</v>
      </c>
    </row>
    <row r="268" spans="1:65" ht="30" customHeight="1" x14ac:dyDescent="0.3">
      <c r="A268" s="3" t="s">
        <v>137</v>
      </c>
      <c r="B268" s="3">
        <v>11</v>
      </c>
      <c r="C268" s="8">
        <v>44477</v>
      </c>
      <c r="D268" s="9">
        <v>0.60069444444444442</v>
      </c>
      <c r="E268" s="4">
        <v>73</v>
      </c>
      <c r="F268" s="3">
        <v>0</v>
      </c>
      <c r="G268" s="3">
        <v>0</v>
      </c>
      <c r="H268" s="3">
        <v>0</v>
      </c>
      <c r="I268" s="3">
        <v>0.4</v>
      </c>
      <c r="J268" s="9">
        <v>0.65972222222222221</v>
      </c>
      <c r="K268" s="3">
        <v>144.19999999999999</v>
      </c>
      <c r="L268" s="11">
        <f t="shared" ref="L268" si="507">K268-K267</f>
        <v>2.3999999999999773</v>
      </c>
      <c r="M268" s="5">
        <f t="shared" ref="M268" si="508">AB267</f>
        <v>2005</v>
      </c>
      <c r="N268" s="11">
        <v>29.125</v>
      </c>
      <c r="O268" s="11">
        <v>31.125</v>
      </c>
      <c r="P268" s="11">
        <v>10.9375</v>
      </c>
      <c r="Q268" s="11">
        <v>10.75</v>
      </c>
      <c r="R268" s="11">
        <v>20.25</v>
      </c>
      <c r="S268" s="11">
        <v>20.25</v>
      </c>
      <c r="T268" s="11">
        <v>15</v>
      </c>
      <c r="U268" s="11">
        <v>13</v>
      </c>
      <c r="V268" s="11">
        <v>17</v>
      </c>
      <c r="W268" s="11">
        <v>15</v>
      </c>
      <c r="X268" s="11">
        <v>7</v>
      </c>
      <c r="Y268" s="11">
        <v>7</v>
      </c>
      <c r="Z268" s="3" t="s">
        <v>1381</v>
      </c>
      <c r="AA268" s="10" t="s">
        <v>1388</v>
      </c>
      <c r="AB268" s="5">
        <f>840+560+600+45+20</f>
        <v>2065</v>
      </c>
      <c r="AC268" s="6">
        <f>23+0+20+0+2</f>
        <v>45</v>
      </c>
      <c r="AD268" s="6">
        <f>12+0+3+0+1</f>
        <v>16</v>
      </c>
      <c r="AE268" s="6">
        <f>37+7+10+0+2</f>
        <v>56</v>
      </c>
      <c r="AF268" s="6">
        <f>117+133+90+13+0</f>
        <v>353</v>
      </c>
      <c r="AG268" s="6">
        <f>19+0+5+0+0</f>
        <v>24</v>
      </c>
      <c r="AH268" s="6">
        <f>1447+140+1050+15+100</f>
        <v>2752</v>
      </c>
      <c r="AI268" s="6">
        <f t="shared" si="400"/>
        <v>2.1791767554479417E-2</v>
      </c>
      <c r="AJ268" s="6">
        <f t="shared" si="401"/>
        <v>7.7481840193704601E-3</v>
      </c>
      <c r="AK268" s="6">
        <f t="shared" si="402"/>
        <v>2.7118644067796609E-2</v>
      </c>
      <c r="AL268" s="6">
        <f t="shared" si="403"/>
        <v>0.17094430992736079</v>
      </c>
      <c r="AM268" s="6">
        <f t="shared" si="404"/>
        <v>1.1622276029055689E-2</v>
      </c>
      <c r="AN268" s="6">
        <f t="shared" si="405"/>
        <v>1.3326876513317192</v>
      </c>
      <c r="AO268" s="7">
        <v>6</v>
      </c>
      <c r="AP268" s="7">
        <v>1</v>
      </c>
      <c r="AQ268" s="7">
        <v>0</v>
      </c>
      <c r="AR268" s="28" t="s">
        <v>1380</v>
      </c>
      <c r="AS268" s="27">
        <v>0</v>
      </c>
      <c r="AT268" s="27">
        <v>-10</v>
      </c>
      <c r="AU268" s="27">
        <v>0</v>
      </c>
      <c r="AV268" s="27">
        <v>0</v>
      </c>
      <c r="AW268" s="7">
        <v>1</v>
      </c>
      <c r="AX268" s="7">
        <v>1</v>
      </c>
      <c r="AY268" s="5">
        <f>5.5+0.75</f>
        <v>6.25</v>
      </c>
      <c r="AZ268" s="7">
        <v>0</v>
      </c>
      <c r="BA268" s="7">
        <v>0</v>
      </c>
      <c r="BB268" s="7">
        <v>0</v>
      </c>
      <c r="BC268" s="7">
        <v>1</v>
      </c>
      <c r="BD268" s="7">
        <v>1</v>
      </c>
      <c r="BE268" s="7">
        <v>0</v>
      </c>
      <c r="BF268" s="3">
        <v>2</v>
      </c>
      <c r="BG268" s="3">
        <f>15+30</f>
        <v>45</v>
      </c>
      <c r="BH268" s="7">
        <v>0</v>
      </c>
      <c r="BI268" s="7">
        <v>0</v>
      </c>
      <c r="BJ268" s="7">
        <v>0</v>
      </c>
      <c r="BK268" s="11">
        <v>1</v>
      </c>
      <c r="BL268" s="7" t="s">
        <v>1305</v>
      </c>
      <c r="BM268" s="6">
        <v>1</v>
      </c>
    </row>
    <row r="269" spans="1:65" ht="19.95" customHeight="1" x14ac:dyDescent="0.3">
      <c r="A269" s="3" t="s">
        <v>1382</v>
      </c>
      <c r="B269" s="3">
        <v>12</v>
      </c>
      <c r="C269" s="8">
        <v>44478</v>
      </c>
      <c r="D269" s="9">
        <v>0.33333333333333331</v>
      </c>
      <c r="E269" s="4">
        <v>60</v>
      </c>
      <c r="F269" s="3">
        <v>0</v>
      </c>
      <c r="G269" s="3">
        <v>0</v>
      </c>
      <c r="H269" s="3">
        <v>0</v>
      </c>
      <c r="I269" s="3">
        <v>0</v>
      </c>
      <c r="J269" s="9">
        <v>0.26874999999999999</v>
      </c>
      <c r="K269" s="3">
        <v>145.4</v>
      </c>
      <c r="L269" s="11">
        <f t="shared" ref="L269:L270" si="509">K269-K268</f>
        <v>1.2000000000000171</v>
      </c>
      <c r="M269" s="5">
        <f t="shared" ref="M269:M270" si="510">AB268</f>
        <v>2065</v>
      </c>
      <c r="N269" s="11">
        <v>29.5</v>
      </c>
      <c r="O269" s="11">
        <v>31.625</v>
      </c>
      <c r="P269" s="11">
        <v>10.625</v>
      </c>
      <c r="Q269" s="11">
        <v>10.875</v>
      </c>
      <c r="R269" s="11">
        <v>20</v>
      </c>
      <c r="S269" s="11">
        <v>20.25</v>
      </c>
      <c r="T269" s="11">
        <v>14</v>
      </c>
      <c r="U269" s="11">
        <v>11</v>
      </c>
      <c r="V269" s="11">
        <v>16</v>
      </c>
      <c r="W269" s="11">
        <v>14</v>
      </c>
      <c r="X269" s="11">
        <v>7</v>
      </c>
      <c r="Y269" s="11">
        <v>7</v>
      </c>
      <c r="Z269" s="3" t="s">
        <v>1383</v>
      </c>
      <c r="AA269" s="10" t="s">
        <v>1390</v>
      </c>
      <c r="AB269" s="5">
        <f>367+140+600+560+130</f>
        <v>1797</v>
      </c>
      <c r="AC269" s="6">
        <f>24+7+20+0+5</f>
        <v>56</v>
      </c>
      <c r="AD269" s="6">
        <f>7+5+3+0+1</f>
        <v>16</v>
      </c>
      <c r="AE269" s="6">
        <f>27+2+10+7+2</f>
        <v>48</v>
      </c>
      <c r="AF269" s="6">
        <f>11+18+90+133+21</f>
        <v>273</v>
      </c>
      <c r="AG269" s="6">
        <f>3+2+5+0+2</f>
        <v>12</v>
      </c>
      <c r="AH269" s="6">
        <f>468+90+1050+140+220</f>
        <v>1968</v>
      </c>
      <c r="AI269" s="6">
        <f t="shared" si="400"/>
        <v>3.1163049526989426E-2</v>
      </c>
      <c r="AJ269" s="6">
        <f t="shared" si="401"/>
        <v>8.9037284362826936E-3</v>
      </c>
      <c r="AK269" s="6">
        <f t="shared" si="402"/>
        <v>2.6711185308848081E-2</v>
      </c>
      <c r="AL269" s="6">
        <f t="shared" si="403"/>
        <v>0.15191986644407346</v>
      </c>
      <c r="AM269" s="6">
        <f t="shared" si="404"/>
        <v>6.6777963272120202E-3</v>
      </c>
      <c r="AN269" s="6">
        <f t="shared" si="405"/>
        <v>1.0951585976627713</v>
      </c>
      <c r="AO269" s="7">
        <v>4</v>
      </c>
      <c r="AP269" s="7">
        <v>0</v>
      </c>
      <c r="AQ269" s="7">
        <v>0</v>
      </c>
      <c r="AR269" s="27">
        <v>0</v>
      </c>
      <c r="AS269" s="27">
        <v>0</v>
      </c>
      <c r="AT269" s="27">
        <v>0</v>
      </c>
      <c r="AU269" s="27">
        <v>0</v>
      </c>
      <c r="AV269" s="27">
        <v>0</v>
      </c>
      <c r="AW269" s="7">
        <v>31</v>
      </c>
      <c r="AX269" s="7">
        <v>1</v>
      </c>
      <c r="AY269" s="5">
        <v>5</v>
      </c>
      <c r="AZ269" s="7">
        <v>0</v>
      </c>
      <c r="BA269" s="7">
        <v>0</v>
      </c>
      <c r="BB269" s="7">
        <v>0</v>
      </c>
      <c r="BC269" s="7">
        <v>1</v>
      </c>
      <c r="BD269" s="7">
        <v>1</v>
      </c>
      <c r="BE269" s="7">
        <v>0</v>
      </c>
      <c r="BF269" s="7">
        <v>0</v>
      </c>
      <c r="BG269" s="7">
        <v>0</v>
      </c>
      <c r="BH269" s="7">
        <v>0</v>
      </c>
      <c r="BI269" s="7">
        <v>0</v>
      </c>
      <c r="BJ269" s="7">
        <v>0</v>
      </c>
      <c r="BK269" s="11">
        <v>1</v>
      </c>
      <c r="BL269" s="7" t="s">
        <v>1305</v>
      </c>
      <c r="BM269" s="6">
        <v>0</v>
      </c>
    </row>
    <row r="270" spans="1:65" ht="19.95" customHeight="1" x14ac:dyDescent="0.3">
      <c r="A270" s="3" t="s">
        <v>23</v>
      </c>
      <c r="B270" s="3">
        <v>13</v>
      </c>
      <c r="C270" s="8">
        <v>44479</v>
      </c>
      <c r="D270" s="9">
        <v>0.33333333333333331</v>
      </c>
      <c r="E270" s="4">
        <v>55</v>
      </c>
      <c r="F270" s="3">
        <v>0</v>
      </c>
      <c r="G270" s="3">
        <v>0</v>
      </c>
      <c r="H270" s="3">
        <v>0</v>
      </c>
      <c r="I270" s="3">
        <v>0</v>
      </c>
      <c r="J270" s="9">
        <v>0.30069444444444443</v>
      </c>
      <c r="K270" s="3">
        <v>144.80000000000001</v>
      </c>
      <c r="L270" s="11">
        <f t="shared" si="509"/>
        <v>-0.59999999999999432</v>
      </c>
      <c r="M270" s="5">
        <f t="shared" si="510"/>
        <v>1797</v>
      </c>
      <c r="N270" s="11">
        <v>29.75</v>
      </c>
      <c r="O270" s="11">
        <v>31.5</v>
      </c>
      <c r="P270" s="11">
        <v>10.75</v>
      </c>
      <c r="Q270" s="11">
        <v>10.75</v>
      </c>
      <c r="R270" s="11">
        <v>20.75</v>
      </c>
      <c r="S270" s="11">
        <v>20.5</v>
      </c>
      <c r="T270" s="11">
        <v>16</v>
      </c>
      <c r="U270" s="11">
        <v>14</v>
      </c>
      <c r="V270" s="11">
        <v>17</v>
      </c>
      <c r="W270" s="11">
        <v>17</v>
      </c>
      <c r="X270" s="11">
        <v>7</v>
      </c>
      <c r="Y270" s="11">
        <v>7</v>
      </c>
      <c r="Z270" s="3" t="s">
        <v>1384</v>
      </c>
      <c r="AA270" s="10" t="s">
        <v>1391</v>
      </c>
      <c r="AB270" s="5">
        <f>734+280+120+675</f>
        <v>1809</v>
      </c>
      <c r="AC270" s="6">
        <f>48+14+4+23</f>
        <v>89</v>
      </c>
      <c r="AD270" s="6">
        <f>13+2+1+11</f>
        <v>27</v>
      </c>
      <c r="AE270" s="6">
        <f>55+4+2+36</f>
        <v>97</v>
      </c>
      <c r="AF270" s="6">
        <f>22+36+18+83</f>
        <v>159</v>
      </c>
      <c r="AG270" s="6">
        <f>7+4+1+2</f>
        <v>14</v>
      </c>
      <c r="AH270" s="6">
        <f>936+180+210+1575</f>
        <v>2901</v>
      </c>
      <c r="AI270" s="6">
        <f t="shared" si="400"/>
        <v>4.9198452183526808E-2</v>
      </c>
      <c r="AJ270" s="6">
        <f t="shared" si="401"/>
        <v>1.4925373134328358E-2</v>
      </c>
      <c r="AK270" s="6">
        <f t="shared" si="402"/>
        <v>5.3620784964068545E-2</v>
      </c>
      <c r="AL270" s="6">
        <f t="shared" si="403"/>
        <v>8.7893864013267001E-2</v>
      </c>
      <c r="AM270" s="6">
        <f t="shared" si="404"/>
        <v>7.7390823659480379E-3</v>
      </c>
      <c r="AN270" s="6">
        <f t="shared" si="405"/>
        <v>1.6036484245439468</v>
      </c>
      <c r="AO270" s="7">
        <v>5</v>
      </c>
      <c r="AP270" s="7">
        <v>2</v>
      </c>
      <c r="AQ270" s="7">
        <v>0</v>
      </c>
      <c r="AR270" s="27">
        <v>0</v>
      </c>
      <c r="AS270" s="27">
        <v>0</v>
      </c>
      <c r="AT270" s="27">
        <v>0</v>
      </c>
      <c r="AU270" s="27">
        <v>0</v>
      </c>
      <c r="AV270" s="27">
        <v>0</v>
      </c>
      <c r="AW270" s="7">
        <v>0</v>
      </c>
      <c r="AX270" s="7">
        <v>1</v>
      </c>
      <c r="AY270" s="5">
        <v>7.5</v>
      </c>
      <c r="AZ270" s="7">
        <v>0</v>
      </c>
      <c r="BA270" s="7">
        <v>0</v>
      </c>
      <c r="BB270" s="7">
        <v>0</v>
      </c>
      <c r="BC270" s="7">
        <v>1</v>
      </c>
      <c r="BD270" s="7">
        <v>1</v>
      </c>
      <c r="BE270" s="7">
        <v>0</v>
      </c>
      <c r="BF270" s="7">
        <v>0</v>
      </c>
      <c r="BG270" s="7">
        <v>0</v>
      </c>
      <c r="BH270" s="7">
        <v>0</v>
      </c>
      <c r="BI270" s="7">
        <v>0</v>
      </c>
      <c r="BJ270" s="7">
        <v>0</v>
      </c>
      <c r="BK270" s="11">
        <v>1</v>
      </c>
      <c r="BL270" s="7" t="s">
        <v>1305</v>
      </c>
      <c r="BM270" s="6">
        <v>1</v>
      </c>
    </row>
    <row r="271" spans="1:65" ht="19.95" customHeight="1" x14ac:dyDescent="0.3">
      <c r="A271" s="3" t="s">
        <v>15</v>
      </c>
      <c r="B271" s="3">
        <v>14</v>
      </c>
      <c r="C271" s="8">
        <v>44480</v>
      </c>
      <c r="D271" s="9">
        <v>0.625</v>
      </c>
      <c r="E271" s="4">
        <v>73</v>
      </c>
      <c r="F271" s="3">
        <v>8</v>
      </c>
      <c r="G271" s="3">
        <v>3</v>
      </c>
      <c r="H271" s="3">
        <v>24</v>
      </c>
      <c r="I271" s="3">
        <v>0.05</v>
      </c>
      <c r="J271" s="9">
        <v>0.30902777777777779</v>
      </c>
      <c r="K271" s="3">
        <v>143</v>
      </c>
      <c r="L271" s="11">
        <f t="shared" ref="L271" si="511">K271-K270</f>
        <v>-1.8000000000000114</v>
      </c>
      <c r="M271" s="5">
        <f t="shared" ref="M271" si="512">AB270</f>
        <v>1809</v>
      </c>
      <c r="N271" s="11">
        <v>30</v>
      </c>
      <c r="O271" s="11">
        <v>31.75</v>
      </c>
      <c r="P271" s="11">
        <v>11</v>
      </c>
      <c r="Q271" s="11">
        <v>10.875</v>
      </c>
      <c r="R271" s="11">
        <v>19.375</v>
      </c>
      <c r="S271" s="11">
        <v>20.125</v>
      </c>
      <c r="T271" s="11">
        <v>15</v>
      </c>
      <c r="U271" s="11">
        <v>14</v>
      </c>
      <c r="V271" s="11">
        <v>16</v>
      </c>
      <c r="W271" s="11">
        <v>14</v>
      </c>
      <c r="X271" s="11">
        <v>7</v>
      </c>
      <c r="Y271" s="11">
        <v>7</v>
      </c>
      <c r="Z271" s="3" t="s">
        <v>1393</v>
      </c>
      <c r="AA271" s="10" t="s">
        <v>1397</v>
      </c>
      <c r="AB271" s="5">
        <f>1125+260+50+200+180</f>
        <v>1815</v>
      </c>
      <c r="AC271" s="6">
        <f>38+3+4+2+14</f>
        <v>61</v>
      </c>
      <c r="AD271" s="6">
        <f>19+0+3+0+9</f>
        <v>31</v>
      </c>
      <c r="AE271" s="6">
        <f>60+11+1+8+14</f>
        <v>94</v>
      </c>
      <c r="AF271" s="6">
        <f>139+48+2+38+0</f>
        <v>227</v>
      </c>
      <c r="AG271" s="6">
        <f>4+3+0+4+0</f>
        <v>11</v>
      </c>
      <c r="AH271" s="6">
        <f>2625+380+85+400+340</f>
        <v>3830</v>
      </c>
      <c r="AI271" s="6">
        <f t="shared" si="400"/>
        <v>3.3608815426997243E-2</v>
      </c>
      <c r="AJ271" s="6">
        <f t="shared" si="401"/>
        <v>1.7079889807162536E-2</v>
      </c>
      <c r="AK271" s="6">
        <f t="shared" si="402"/>
        <v>5.1790633608815424E-2</v>
      </c>
      <c r="AL271" s="6">
        <f t="shared" si="403"/>
        <v>0.12506887052341598</v>
      </c>
      <c r="AM271" s="6">
        <f t="shared" si="404"/>
        <v>6.0606060606060606E-3</v>
      </c>
      <c r="AN271" s="6">
        <f t="shared" si="405"/>
        <v>2.1101928374655645</v>
      </c>
      <c r="AO271" s="7">
        <v>6</v>
      </c>
      <c r="AP271" s="7">
        <v>1</v>
      </c>
      <c r="AQ271" s="7">
        <v>0</v>
      </c>
      <c r="AR271" s="28" t="s">
        <v>1392</v>
      </c>
      <c r="AS271" s="27">
        <v>0</v>
      </c>
      <c r="AT271" s="27">
        <v>0</v>
      </c>
      <c r="AU271" s="27">
        <v>0</v>
      </c>
      <c r="AV271" s="27">
        <v>0</v>
      </c>
      <c r="AW271" s="7">
        <v>31</v>
      </c>
      <c r="AX271" s="7">
        <v>1</v>
      </c>
      <c r="AY271" s="5">
        <v>7.5</v>
      </c>
      <c r="AZ271" s="7">
        <v>0</v>
      </c>
      <c r="BA271" s="7">
        <v>0</v>
      </c>
      <c r="BB271" s="7">
        <v>0</v>
      </c>
      <c r="BC271" s="7">
        <v>1</v>
      </c>
      <c r="BD271" s="7">
        <v>1</v>
      </c>
      <c r="BE271" s="7">
        <v>0</v>
      </c>
      <c r="BF271" s="7">
        <v>1</v>
      </c>
      <c r="BG271" s="7">
        <v>20</v>
      </c>
      <c r="BH271" s="7">
        <v>0</v>
      </c>
      <c r="BI271" s="7">
        <v>0</v>
      </c>
      <c r="BJ271" s="7">
        <v>1</v>
      </c>
      <c r="BK271" s="11">
        <v>2.5</v>
      </c>
      <c r="BL271" s="7" t="s">
        <v>1305</v>
      </c>
      <c r="BM271" s="6">
        <v>1</v>
      </c>
    </row>
    <row r="272" spans="1:65" ht="19.95" customHeight="1" x14ac:dyDescent="0.3">
      <c r="A272" s="3" t="s">
        <v>16</v>
      </c>
      <c r="B272" s="3">
        <v>15</v>
      </c>
      <c r="C272" s="8">
        <v>44481</v>
      </c>
      <c r="D272" s="9">
        <v>0.125</v>
      </c>
      <c r="E272" s="4">
        <v>58</v>
      </c>
      <c r="F272" s="3">
        <v>0</v>
      </c>
      <c r="G272" s="3">
        <v>0</v>
      </c>
      <c r="H272" s="3">
        <v>0</v>
      </c>
      <c r="I272" s="3">
        <v>0</v>
      </c>
      <c r="J272" s="9">
        <v>0.37152777777777773</v>
      </c>
      <c r="K272" s="3">
        <v>143.4</v>
      </c>
      <c r="L272" s="11">
        <f t="shared" ref="L272:L275" si="513">K272-K271</f>
        <v>0.40000000000000568</v>
      </c>
      <c r="M272" s="5">
        <f t="shared" ref="M272:M275" si="514">AB271</f>
        <v>1815</v>
      </c>
      <c r="N272" s="11">
        <v>30.25</v>
      </c>
      <c r="O272" s="11">
        <v>32</v>
      </c>
      <c r="P272" s="11">
        <v>10.625</v>
      </c>
      <c r="Q272" s="11">
        <v>10.625</v>
      </c>
      <c r="R272" s="11">
        <v>20.25</v>
      </c>
      <c r="S272" s="11">
        <v>20.25</v>
      </c>
      <c r="T272" s="11">
        <v>15</v>
      </c>
      <c r="U272" s="11">
        <v>13</v>
      </c>
      <c r="V272" s="11">
        <v>15</v>
      </c>
      <c r="W272" s="11">
        <v>15</v>
      </c>
      <c r="X272" s="11">
        <v>7</v>
      </c>
      <c r="Y272" s="11">
        <v>7</v>
      </c>
      <c r="Z272" s="3" t="s">
        <v>1398</v>
      </c>
      <c r="AA272" s="10" t="s">
        <v>1403</v>
      </c>
      <c r="AB272" s="5">
        <f>105+600+360+260+150+200</f>
        <v>1675</v>
      </c>
      <c r="AC272" s="6">
        <f>4.5+6+28+2.5+12+12</f>
        <v>65</v>
      </c>
      <c r="AD272" s="6">
        <f>0+0+18+0+7.5+8</f>
        <v>33.5</v>
      </c>
      <c r="AE272" s="6">
        <f>0+24+28+11+3+16</f>
        <v>82</v>
      </c>
      <c r="AF272" s="6">
        <f>15+114+0+48+6+4</f>
        <v>187</v>
      </c>
      <c r="AG272" s="6">
        <f>0+12+0+3+0+0</f>
        <v>15</v>
      </c>
      <c r="AH272" s="6">
        <f>45+1200+680+380+255+560</f>
        <v>3120</v>
      </c>
      <c r="AI272" s="6">
        <f t="shared" si="400"/>
        <v>3.880597014925373E-2</v>
      </c>
      <c r="AJ272" s="6">
        <f t="shared" si="401"/>
        <v>0.02</v>
      </c>
      <c r="AK272" s="6">
        <f t="shared" si="402"/>
        <v>4.8955223880597018E-2</v>
      </c>
      <c r="AL272" s="6">
        <f t="shared" si="403"/>
        <v>0.11164179104477612</v>
      </c>
      <c r="AM272" s="6">
        <f t="shared" si="404"/>
        <v>8.9552238805970154E-3</v>
      </c>
      <c r="AN272" s="6">
        <f t="shared" si="405"/>
        <v>1.862686567164179</v>
      </c>
      <c r="AO272" s="7">
        <v>7</v>
      </c>
      <c r="AP272" s="7">
        <v>1</v>
      </c>
      <c r="AQ272" s="7">
        <v>0</v>
      </c>
      <c r="AR272" s="27">
        <v>0</v>
      </c>
      <c r="AS272" s="27">
        <v>0</v>
      </c>
      <c r="AT272" s="27">
        <v>0</v>
      </c>
      <c r="AU272" s="27">
        <v>0</v>
      </c>
      <c r="AV272" s="27">
        <v>0</v>
      </c>
      <c r="AW272" s="7">
        <v>31</v>
      </c>
      <c r="AX272" s="7">
        <v>1</v>
      </c>
      <c r="AY272" s="5">
        <v>6.5</v>
      </c>
      <c r="AZ272" s="7">
        <v>0</v>
      </c>
      <c r="BA272" s="7">
        <v>1</v>
      </c>
      <c r="BB272" s="7">
        <v>0</v>
      </c>
      <c r="BC272" s="7">
        <v>1</v>
      </c>
      <c r="BD272" s="7">
        <v>1</v>
      </c>
      <c r="BE272" s="7">
        <v>0</v>
      </c>
      <c r="BF272" s="7">
        <v>0</v>
      </c>
      <c r="BG272" s="7">
        <v>0</v>
      </c>
      <c r="BH272" s="7">
        <v>0</v>
      </c>
      <c r="BI272" s="7">
        <v>0</v>
      </c>
      <c r="BJ272" s="7">
        <v>0</v>
      </c>
      <c r="BK272" s="11">
        <v>0</v>
      </c>
      <c r="BL272" s="3">
        <v>0</v>
      </c>
      <c r="BM272" s="6">
        <v>1</v>
      </c>
    </row>
    <row r="273" spans="1:65" ht="19.95" customHeight="1" x14ac:dyDescent="0.3">
      <c r="A273" s="3" t="s">
        <v>17</v>
      </c>
      <c r="B273" s="3">
        <v>16</v>
      </c>
      <c r="C273" s="8">
        <v>44482</v>
      </c>
      <c r="D273" s="9">
        <v>0.20833333333333334</v>
      </c>
      <c r="E273" s="4">
        <v>45</v>
      </c>
      <c r="F273" s="3">
        <v>0</v>
      </c>
      <c r="G273" s="3">
        <v>0</v>
      </c>
      <c r="H273" s="3">
        <v>0</v>
      </c>
      <c r="I273" s="3">
        <v>0</v>
      </c>
      <c r="J273" s="9">
        <v>0.33263888888888887</v>
      </c>
      <c r="K273" s="3">
        <v>144.4</v>
      </c>
      <c r="L273" s="11">
        <f t="shared" si="513"/>
        <v>1</v>
      </c>
      <c r="M273" s="5">
        <f t="shared" si="514"/>
        <v>1675</v>
      </c>
      <c r="N273" s="11">
        <v>29.75</v>
      </c>
      <c r="O273" s="11">
        <v>31.625</v>
      </c>
      <c r="P273" s="11">
        <v>10.625</v>
      </c>
      <c r="Q273" s="11">
        <v>10.5</v>
      </c>
      <c r="R273" s="11">
        <v>20.125</v>
      </c>
      <c r="S273" s="11">
        <v>20.25</v>
      </c>
      <c r="T273" s="11">
        <v>14</v>
      </c>
      <c r="U273" s="11">
        <v>14</v>
      </c>
      <c r="V273" s="11">
        <v>15</v>
      </c>
      <c r="W273" s="11">
        <v>13</v>
      </c>
      <c r="X273" s="11">
        <v>7</v>
      </c>
      <c r="Y273" s="11">
        <v>7</v>
      </c>
      <c r="Z273" s="3" t="s">
        <v>1399</v>
      </c>
      <c r="AA273" s="10" t="s">
        <v>1405</v>
      </c>
      <c r="AB273" s="5">
        <f>520+200+200+200+100+38+26+425+280+240+130+140</f>
        <v>2499</v>
      </c>
      <c r="AC273" s="6">
        <f>10+16+12+2+5+2+1+18+12+8+5+7</f>
        <v>98</v>
      </c>
      <c r="AD273" s="6">
        <f>1+10+8+0+3+1+0+6+0+1+1+1</f>
        <v>32</v>
      </c>
      <c r="AE273" s="6">
        <f>26+4+16+8+1+0+0+15+0+4+2+2</f>
        <v>78</v>
      </c>
      <c r="AF273" s="6">
        <f>88+8+4+38+13+6+5+52+40+36+21+18</f>
        <v>329</v>
      </c>
      <c r="AG273" s="6">
        <f>10+0+0+4+0+0+0+4+0+2+2+2</f>
        <v>24</v>
      </c>
      <c r="AH273" s="6">
        <f>700+340+560+400+40+13+11+780+120+420+220+90</f>
        <v>3694</v>
      </c>
      <c r="AI273" s="6">
        <f t="shared" si="400"/>
        <v>3.9215686274509803E-2</v>
      </c>
      <c r="AJ273" s="6">
        <f t="shared" si="401"/>
        <v>1.2805122048819529E-2</v>
      </c>
      <c r="AK273" s="6">
        <f t="shared" si="402"/>
        <v>3.1212484993997598E-2</v>
      </c>
      <c r="AL273" s="6">
        <f t="shared" si="403"/>
        <v>0.13165266106442577</v>
      </c>
      <c r="AM273" s="6">
        <f t="shared" si="404"/>
        <v>9.6038415366146452E-3</v>
      </c>
      <c r="AN273" s="6">
        <f t="shared" si="405"/>
        <v>1.4781912765106042</v>
      </c>
      <c r="AO273" s="7">
        <v>7</v>
      </c>
      <c r="AP273" s="7">
        <v>1</v>
      </c>
      <c r="AQ273" s="7">
        <v>0</v>
      </c>
      <c r="AR273" s="27">
        <v>0</v>
      </c>
      <c r="AS273" s="27">
        <v>0</v>
      </c>
      <c r="AT273" s="27">
        <v>0</v>
      </c>
      <c r="AU273" s="27">
        <v>0</v>
      </c>
      <c r="AV273" s="27">
        <v>0</v>
      </c>
      <c r="AW273" s="7">
        <v>31</v>
      </c>
      <c r="AX273" s="7">
        <v>1</v>
      </c>
      <c r="AY273" s="5">
        <v>6.5</v>
      </c>
      <c r="AZ273" s="7">
        <v>0</v>
      </c>
      <c r="BA273" s="7">
        <v>1</v>
      </c>
      <c r="BB273" s="7">
        <v>0</v>
      </c>
      <c r="BC273" s="7">
        <v>1</v>
      </c>
      <c r="BD273" s="7">
        <v>1</v>
      </c>
      <c r="BE273" s="7">
        <v>0</v>
      </c>
      <c r="BF273" s="7">
        <v>0</v>
      </c>
      <c r="BG273" s="7">
        <v>0</v>
      </c>
      <c r="BH273" s="7">
        <v>0</v>
      </c>
      <c r="BI273" s="7">
        <v>0</v>
      </c>
      <c r="BJ273" s="7">
        <v>0</v>
      </c>
      <c r="BK273" s="11">
        <v>0</v>
      </c>
      <c r="BL273" s="3">
        <v>0</v>
      </c>
      <c r="BM273" s="6">
        <v>1</v>
      </c>
    </row>
    <row r="274" spans="1:65" ht="19.95" customHeight="1" x14ac:dyDescent="0.3">
      <c r="A274" s="3" t="s">
        <v>18</v>
      </c>
      <c r="B274" s="3">
        <v>17</v>
      </c>
      <c r="C274" s="8">
        <v>44483</v>
      </c>
      <c r="D274" s="9">
        <v>0.25</v>
      </c>
      <c r="E274" s="4">
        <v>45</v>
      </c>
      <c r="F274" s="3">
        <v>0</v>
      </c>
      <c r="G274" s="3">
        <v>0</v>
      </c>
      <c r="H274" s="3">
        <v>0</v>
      </c>
      <c r="I274" s="3">
        <v>0</v>
      </c>
      <c r="J274" s="9">
        <v>0.39930555555555558</v>
      </c>
      <c r="K274" s="3">
        <v>142</v>
      </c>
      <c r="L274" s="11">
        <f t="shared" si="513"/>
        <v>-2.4000000000000057</v>
      </c>
      <c r="M274" s="5">
        <f t="shared" si="514"/>
        <v>2499</v>
      </c>
      <c r="N274" s="11">
        <v>30.125</v>
      </c>
      <c r="O274" s="11">
        <v>31.625</v>
      </c>
      <c r="P274" s="11">
        <v>10.625</v>
      </c>
      <c r="Q274" s="11">
        <v>10.625</v>
      </c>
      <c r="R274" s="11">
        <v>20.5</v>
      </c>
      <c r="S274" s="11">
        <v>20.375</v>
      </c>
      <c r="T274" s="11">
        <v>14</v>
      </c>
      <c r="U274" s="11">
        <v>12</v>
      </c>
      <c r="V274" s="11">
        <v>17</v>
      </c>
      <c r="W274" s="11">
        <v>15</v>
      </c>
      <c r="X274" s="11">
        <v>7</v>
      </c>
      <c r="Y274" s="11">
        <v>7</v>
      </c>
      <c r="Z274" s="3" t="s">
        <v>1401</v>
      </c>
      <c r="AA274" s="10" t="s">
        <v>1406</v>
      </c>
      <c r="AB274" s="5">
        <f>425+160+420+270+260+300+90</f>
        <v>1925</v>
      </c>
      <c r="AC274" s="6">
        <f>18+10+18+13+18+18+7</f>
        <v>102</v>
      </c>
      <c r="AD274" s="6">
        <f>6+7+0+2+5+10+5</f>
        <v>35</v>
      </c>
      <c r="AE274" s="6">
        <f>15+12+0+5+20+6+7</f>
        <v>65</v>
      </c>
      <c r="AF274" s="6">
        <f>52+2+60+34+5+34+0</f>
        <v>187</v>
      </c>
      <c r="AG274" s="6">
        <f>4+0+0+2+2+2+0</f>
        <v>10</v>
      </c>
      <c r="AH274" s="6">
        <f>780+380+180+640+350+100+170</f>
        <v>2600</v>
      </c>
      <c r="AI274" s="6">
        <f t="shared" si="400"/>
        <v>5.2987012987012985E-2</v>
      </c>
      <c r="AJ274" s="6">
        <f t="shared" si="401"/>
        <v>1.8181818181818181E-2</v>
      </c>
      <c r="AK274" s="6">
        <f t="shared" si="402"/>
        <v>3.3766233766233764E-2</v>
      </c>
      <c r="AL274" s="6">
        <f t="shared" si="403"/>
        <v>9.7142857142857142E-2</v>
      </c>
      <c r="AM274" s="6">
        <f t="shared" si="404"/>
        <v>5.1948051948051948E-3</v>
      </c>
      <c r="AN274" s="6">
        <f t="shared" si="405"/>
        <v>1.3506493506493507</v>
      </c>
      <c r="AO274" s="7">
        <v>6</v>
      </c>
      <c r="AP274" s="7">
        <v>1</v>
      </c>
      <c r="AQ274" s="7">
        <v>0</v>
      </c>
      <c r="AR274" s="27">
        <v>0</v>
      </c>
      <c r="AS274" s="27">
        <v>0</v>
      </c>
      <c r="AT274" s="27">
        <v>0</v>
      </c>
      <c r="AU274" s="27">
        <v>0</v>
      </c>
      <c r="AV274" s="27">
        <v>0</v>
      </c>
      <c r="AW274" s="7">
        <v>0</v>
      </c>
      <c r="AX274" s="7">
        <v>1</v>
      </c>
      <c r="AY274" s="5">
        <v>7.5</v>
      </c>
      <c r="AZ274" s="7">
        <v>0</v>
      </c>
      <c r="BA274" s="7">
        <v>0</v>
      </c>
      <c r="BB274" s="7">
        <v>0</v>
      </c>
      <c r="BC274" s="7">
        <v>1</v>
      </c>
      <c r="BD274" s="7">
        <v>1</v>
      </c>
      <c r="BE274" s="7">
        <v>0</v>
      </c>
      <c r="BF274" s="7">
        <v>0</v>
      </c>
      <c r="BG274" s="7">
        <v>0</v>
      </c>
      <c r="BH274" s="7">
        <v>0</v>
      </c>
      <c r="BI274" s="7">
        <v>0</v>
      </c>
      <c r="BJ274" s="7">
        <v>0</v>
      </c>
      <c r="BK274" s="11">
        <v>0.75</v>
      </c>
      <c r="BL274" s="7" t="s">
        <v>1400</v>
      </c>
      <c r="BM274" s="6">
        <v>1</v>
      </c>
    </row>
    <row r="275" spans="1:65" ht="19.95" customHeight="1" x14ac:dyDescent="0.3">
      <c r="A275" s="3" t="s">
        <v>137</v>
      </c>
      <c r="B275" s="3">
        <v>18</v>
      </c>
      <c r="C275" s="8">
        <v>44484</v>
      </c>
      <c r="D275" s="9">
        <v>0.25</v>
      </c>
      <c r="E275" s="4">
        <v>66</v>
      </c>
      <c r="F275" s="3">
        <v>0</v>
      </c>
      <c r="G275" s="3">
        <v>0</v>
      </c>
      <c r="H275" s="3">
        <v>0</v>
      </c>
      <c r="I275" s="3">
        <v>0</v>
      </c>
      <c r="J275" s="9">
        <v>0.54861111111111105</v>
      </c>
      <c r="K275" s="3">
        <v>140.6</v>
      </c>
      <c r="L275" s="11">
        <f t="shared" si="513"/>
        <v>-1.4000000000000057</v>
      </c>
      <c r="M275" s="5">
        <f t="shared" si="514"/>
        <v>1925</v>
      </c>
      <c r="N275" s="11">
        <v>31.5</v>
      </c>
      <c r="O275" s="11">
        <v>32.75</v>
      </c>
      <c r="P275" s="11">
        <v>10.625</v>
      </c>
      <c r="Q275" s="11">
        <v>10.625</v>
      </c>
      <c r="R275" s="11">
        <v>19.25</v>
      </c>
      <c r="S275" s="11">
        <v>20.5</v>
      </c>
      <c r="T275" s="11">
        <v>12</v>
      </c>
      <c r="U275" s="11">
        <v>12</v>
      </c>
      <c r="V275" s="11">
        <v>17</v>
      </c>
      <c r="W275" s="11">
        <v>14</v>
      </c>
      <c r="X275" s="11">
        <v>7</v>
      </c>
      <c r="Y275" s="11">
        <v>7</v>
      </c>
      <c r="Z275" s="3" t="s">
        <v>1408</v>
      </c>
      <c r="AA275" s="10" t="s">
        <v>1409</v>
      </c>
      <c r="AB275" s="12">
        <f>526+260+260+80+0+0+640+300+640+260+100+160</f>
        <v>3226</v>
      </c>
      <c r="AC275" s="6">
        <f>23+18+5+5+0+0+28+18+28+5+8+13</f>
        <v>151</v>
      </c>
      <c r="AD275" s="6">
        <f>0+5+1+4+0+0+14+10+14+1+5+2</f>
        <v>56</v>
      </c>
      <c r="AE275" s="6">
        <f>0+20+13+6+0+0+26+6+26+13+2+6</f>
        <v>118</v>
      </c>
      <c r="AF275" s="6">
        <f>75+5+44+1+0+0+68+34+68+44+4+8</f>
        <v>351</v>
      </c>
      <c r="AG275" s="6">
        <f>0+2+5+0+0+0+4+2+4+5+0+3</f>
        <v>25</v>
      </c>
      <c r="AH275" s="6">
        <f>225+350+350+190+55+156+1420+100+1420+350+170+135</f>
        <v>4921</v>
      </c>
      <c r="AI275" s="6">
        <f t="shared" si="400"/>
        <v>4.6807191568505886E-2</v>
      </c>
      <c r="AJ275" s="6">
        <f t="shared" si="401"/>
        <v>1.735895846249225E-2</v>
      </c>
      <c r="AK275" s="6">
        <f t="shared" si="402"/>
        <v>3.6577805331680098E-2</v>
      </c>
      <c r="AL275" s="6">
        <f t="shared" si="403"/>
        <v>0.1088034717916925</v>
      </c>
      <c r="AM275" s="6">
        <f t="shared" si="404"/>
        <v>7.7495350278983261E-3</v>
      </c>
      <c r="AN275" s="6">
        <f t="shared" si="405"/>
        <v>1.5254184748915065</v>
      </c>
      <c r="AO275" s="7">
        <v>6</v>
      </c>
      <c r="AP275" s="7">
        <v>1</v>
      </c>
      <c r="AQ275" s="7">
        <v>0</v>
      </c>
      <c r="AR275" s="27">
        <v>0</v>
      </c>
      <c r="AS275" s="27">
        <v>0</v>
      </c>
      <c r="AT275" s="27">
        <v>0</v>
      </c>
      <c r="AU275" s="27">
        <v>0</v>
      </c>
      <c r="AV275" s="27">
        <v>0</v>
      </c>
      <c r="AW275" s="7">
        <v>31</v>
      </c>
      <c r="AX275" s="7">
        <v>1</v>
      </c>
      <c r="AY275" s="5">
        <v>7.5</v>
      </c>
      <c r="AZ275" s="7">
        <v>0</v>
      </c>
      <c r="BA275" s="7">
        <v>0</v>
      </c>
      <c r="BB275" s="7">
        <v>0</v>
      </c>
      <c r="BC275" s="7">
        <v>1</v>
      </c>
      <c r="BD275" s="7">
        <v>1</v>
      </c>
      <c r="BE275" s="7">
        <v>0</v>
      </c>
      <c r="BF275" s="7">
        <v>1</v>
      </c>
      <c r="BG275" s="7">
        <v>20</v>
      </c>
      <c r="BH275" s="7">
        <v>0</v>
      </c>
      <c r="BI275" s="7">
        <v>0</v>
      </c>
      <c r="BJ275" s="7">
        <v>0</v>
      </c>
      <c r="BK275" s="11">
        <v>1</v>
      </c>
      <c r="BL275" s="7" t="s">
        <v>1400</v>
      </c>
      <c r="BM275" s="6">
        <v>1</v>
      </c>
    </row>
    <row r="276" spans="1:65" ht="19.95" customHeight="1" x14ac:dyDescent="0.3">
      <c r="A276" s="3" t="s">
        <v>19</v>
      </c>
      <c r="B276" s="3">
        <v>19</v>
      </c>
      <c r="C276" s="8">
        <v>44485</v>
      </c>
      <c r="D276" s="9">
        <v>0.25</v>
      </c>
      <c r="E276" s="4">
        <v>52</v>
      </c>
      <c r="F276" s="3">
        <v>0</v>
      </c>
      <c r="G276" s="3">
        <v>0</v>
      </c>
      <c r="H276" s="3">
        <v>0</v>
      </c>
      <c r="I276" s="3">
        <v>0</v>
      </c>
      <c r="J276" s="9">
        <v>0.26597222222222222</v>
      </c>
      <c r="K276" s="3">
        <v>142.19999999999999</v>
      </c>
      <c r="L276" s="11">
        <f t="shared" ref="L276" si="515">K276-K275</f>
        <v>1.5999999999999943</v>
      </c>
      <c r="M276" s="5">
        <f t="shared" ref="M276" si="516">AB275</f>
        <v>3226</v>
      </c>
      <c r="N276" s="11">
        <v>30.5</v>
      </c>
      <c r="O276" s="11">
        <v>32.75</v>
      </c>
      <c r="P276" s="11">
        <v>10.625</v>
      </c>
      <c r="Q276" s="11">
        <v>10.625</v>
      </c>
      <c r="R276" s="11">
        <v>20</v>
      </c>
      <c r="S276" s="11">
        <v>20</v>
      </c>
      <c r="T276" s="11">
        <v>13</v>
      </c>
      <c r="U276" s="11">
        <v>13</v>
      </c>
      <c r="V276" s="11">
        <v>17</v>
      </c>
      <c r="W276" s="11">
        <v>15</v>
      </c>
      <c r="X276" s="11">
        <v>7</v>
      </c>
      <c r="Y276" s="11">
        <v>7</v>
      </c>
      <c r="Z276" s="3" t="s">
        <v>1410</v>
      </c>
      <c r="AA276" s="10" t="s">
        <v>1429</v>
      </c>
      <c r="AB276" s="5">
        <f>280+450+320+480+100+220+160+140</f>
        <v>2150</v>
      </c>
      <c r="AC276" s="6">
        <f>12+30+26+5+8+5+10+10</f>
        <v>106</v>
      </c>
      <c r="AD276" s="6">
        <f>0+3+3+1+5+2+7+6</f>
        <v>27</v>
      </c>
      <c r="AE276" s="6">
        <f>0+6+12+18+2+6+12+8</f>
        <v>64</v>
      </c>
      <c r="AF276" s="6">
        <f>40+45+16+94+4+38+2+2</f>
        <v>241</v>
      </c>
      <c r="AG276" s="6">
        <f>0+3+6+6+0+4+0+0</f>
        <v>19</v>
      </c>
      <c r="AH276" s="6">
        <f>120+405+270+1200+170+680+380+500</f>
        <v>3725</v>
      </c>
      <c r="AI276" s="6">
        <f t="shared" si="400"/>
        <v>4.930232558139535E-2</v>
      </c>
      <c r="AJ276" s="6">
        <f t="shared" si="401"/>
        <v>1.2558139534883722E-2</v>
      </c>
      <c r="AK276" s="6">
        <f t="shared" si="402"/>
        <v>2.9767441860465118E-2</v>
      </c>
      <c r="AL276" s="6">
        <f t="shared" si="403"/>
        <v>0.11209302325581395</v>
      </c>
      <c r="AM276" s="6">
        <f t="shared" si="404"/>
        <v>8.8372093023255816E-3</v>
      </c>
      <c r="AN276" s="6">
        <f t="shared" si="405"/>
        <v>1.7325581395348837</v>
      </c>
      <c r="AO276" s="7">
        <v>5</v>
      </c>
      <c r="AP276" s="7">
        <v>1</v>
      </c>
      <c r="AQ276" s="7">
        <v>0</v>
      </c>
      <c r="AR276" s="27">
        <v>0</v>
      </c>
      <c r="AS276" s="27">
        <v>0</v>
      </c>
      <c r="AT276" s="27">
        <v>0</v>
      </c>
      <c r="AU276" s="27">
        <v>0</v>
      </c>
      <c r="AV276" s="27">
        <v>0</v>
      </c>
      <c r="AW276" s="7">
        <v>31</v>
      </c>
      <c r="AX276" s="7">
        <v>1</v>
      </c>
      <c r="AY276" s="5">
        <v>6.5</v>
      </c>
      <c r="AZ276" s="7">
        <v>0</v>
      </c>
      <c r="BA276" s="7">
        <v>1</v>
      </c>
      <c r="BB276" s="7">
        <v>0</v>
      </c>
      <c r="BC276" s="7">
        <v>1</v>
      </c>
      <c r="BD276" s="7">
        <v>1</v>
      </c>
      <c r="BE276" s="7">
        <v>0</v>
      </c>
      <c r="BF276" s="7">
        <v>0</v>
      </c>
      <c r="BG276" s="7">
        <v>0</v>
      </c>
      <c r="BH276" s="7">
        <v>0</v>
      </c>
      <c r="BI276" s="7">
        <v>0</v>
      </c>
      <c r="BJ276" s="7">
        <v>0</v>
      </c>
      <c r="BK276" s="11">
        <v>2</v>
      </c>
      <c r="BL276" s="7" t="s">
        <v>1400</v>
      </c>
      <c r="BM276" s="6">
        <v>1</v>
      </c>
    </row>
    <row r="277" spans="1:65" ht="19.95" customHeight="1" x14ac:dyDescent="0.3">
      <c r="A277" s="3" t="s">
        <v>23</v>
      </c>
      <c r="B277" s="3">
        <v>20</v>
      </c>
      <c r="C277" s="8">
        <v>44486</v>
      </c>
      <c r="D277" s="9">
        <v>0.25</v>
      </c>
      <c r="E277" s="4">
        <v>50</v>
      </c>
      <c r="F277" s="3">
        <v>0</v>
      </c>
      <c r="G277" s="3">
        <v>0</v>
      </c>
      <c r="H277" s="3">
        <v>0</v>
      </c>
      <c r="I277" s="3">
        <v>0</v>
      </c>
      <c r="J277" s="9">
        <v>0.2986111111111111</v>
      </c>
      <c r="K277" s="3">
        <v>143.19999999999999</v>
      </c>
      <c r="L277" s="11">
        <f t="shared" ref="L277:L283" si="517">K277-K276</f>
        <v>1</v>
      </c>
      <c r="M277" s="5">
        <f t="shared" ref="M277:M283" si="518">AB276</f>
        <v>2150</v>
      </c>
      <c r="N277" s="11">
        <v>30.5</v>
      </c>
      <c r="O277" s="11">
        <v>32.25</v>
      </c>
      <c r="P277" s="11">
        <v>10.625</v>
      </c>
      <c r="Q277" s="11">
        <v>10.75</v>
      </c>
      <c r="R277" s="11">
        <v>20.25</v>
      </c>
      <c r="S277" s="11">
        <v>20.25</v>
      </c>
      <c r="T277" s="11">
        <v>15</v>
      </c>
      <c r="U277" s="11">
        <v>13</v>
      </c>
      <c r="V277" s="11">
        <v>15</v>
      </c>
      <c r="W277" s="11">
        <v>15</v>
      </c>
      <c r="X277" s="11">
        <v>7</v>
      </c>
      <c r="Y277" s="11">
        <v>7</v>
      </c>
      <c r="Z277" s="3" t="s">
        <v>1411</v>
      </c>
      <c r="AA277" s="10" t="s">
        <v>1430</v>
      </c>
      <c r="AB277" s="5">
        <f>525+480+255+70+725+0+0</f>
        <v>2055</v>
      </c>
      <c r="AC277" s="6">
        <f>22.5+5+25.5+5+15+0+0</f>
        <v>73</v>
      </c>
      <c r="AD277" s="6">
        <f>0+1+16+3+3+0+0</f>
        <v>23</v>
      </c>
      <c r="AE277" s="6">
        <f>0+18+6+4+28+0+0</f>
        <v>56</v>
      </c>
      <c r="AF277" s="6">
        <f>75+94+2+1+116+0+0</f>
        <v>288</v>
      </c>
      <c r="AG277" s="6">
        <f>0+6+0+0+9+0+0</f>
        <v>15</v>
      </c>
      <c r="AH277" s="6">
        <f>225+1200+215+250+2278+55+260</f>
        <v>4483</v>
      </c>
      <c r="AI277" s="6">
        <f t="shared" si="400"/>
        <v>3.5523114355231145E-2</v>
      </c>
      <c r="AJ277" s="6">
        <f t="shared" si="401"/>
        <v>1.1192214111922141E-2</v>
      </c>
      <c r="AK277" s="6">
        <f t="shared" si="402"/>
        <v>2.7250608272506083E-2</v>
      </c>
      <c r="AL277" s="6">
        <f t="shared" si="403"/>
        <v>0.14014598540145987</v>
      </c>
      <c r="AM277" s="6">
        <f t="shared" si="404"/>
        <v>7.2992700729927005E-3</v>
      </c>
      <c r="AN277" s="6">
        <f t="shared" si="405"/>
        <v>2.1815085158150853</v>
      </c>
      <c r="AO277" s="7">
        <v>6</v>
      </c>
      <c r="AP277" s="7">
        <v>1</v>
      </c>
      <c r="AQ277" s="7">
        <v>0</v>
      </c>
      <c r="AR277" s="27">
        <v>0</v>
      </c>
      <c r="AS277" s="27">
        <v>0</v>
      </c>
      <c r="AT277" s="27">
        <v>0</v>
      </c>
      <c r="AU277" s="27">
        <v>0</v>
      </c>
      <c r="AV277" s="27">
        <v>0</v>
      </c>
      <c r="AW277" s="7">
        <v>31</v>
      </c>
      <c r="AX277" s="7">
        <v>1</v>
      </c>
      <c r="AY277" s="5">
        <v>7</v>
      </c>
      <c r="AZ277" s="7">
        <v>0</v>
      </c>
      <c r="BA277" s="7">
        <v>0</v>
      </c>
      <c r="BB277" s="7">
        <v>0</v>
      </c>
      <c r="BC277" s="7">
        <v>1</v>
      </c>
      <c r="BD277" s="7">
        <v>1</v>
      </c>
      <c r="BE277" s="7">
        <v>0</v>
      </c>
      <c r="BF277" s="7">
        <v>0</v>
      </c>
      <c r="BG277" s="7">
        <v>0</v>
      </c>
      <c r="BH277" s="7">
        <v>0</v>
      </c>
      <c r="BI277" s="7">
        <v>0</v>
      </c>
      <c r="BJ277" s="7">
        <v>1</v>
      </c>
      <c r="BK277" s="11">
        <v>1</v>
      </c>
      <c r="BL277" s="7" t="s">
        <v>1048</v>
      </c>
      <c r="BM277" s="6">
        <v>1</v>
      </c>
    </row>
    <row r="278" spans="1:65" ht="19.95" customHeight="1" x14ac:dyDescent="0.3">
      <c r="A278" s="3" t="s">
        <v>15</v>
      </c>
      <c r="B278" s="3">
        <v>21</v>
      </c>
      <c r="C278" s="8">
        <v>44487</v>
      </c>
      <c r="D278" s="9">
        <v>0.25</v>
      </c>
      <c r="E278" s="4">
        <v>58</v>
      </c>
      <c r="F278" s="3">
        <v>0</v>
      </c>
      <c r="G278" s="3">
        <v>0</v>
      </c>
      <c r="H278" s="3">
        <v>0</v>
      </c>
      <c r="I278" s="3">
        <v>0</v>
      </c>
      <c r="J278" s="9">
        <v>0.37847222222222227</v>
      </c>
      <c r="K278" s="3">
        <v>143</v>
      </c>
      <c r="L278" s="11">
        <f t="shared" si="517"/>
        <v>-0.19999999999998863</v>
      </c>
      <c r="M278" s="5">
        <f t="shared" si="518"/>
        <v>2055</v>
      </c>
      <c r="N278" s="11">
        <v>30.625</v>
      </c>
      <c r="O278" s="11">
        <v>32.375</v>
      </c>
      <c r="P278" s="11">
        <v>10.625</v>
      </c>
      <c r="Q278" s="11">
        <v>10.625</v>
      </c>
      <c r="R278" s="11">
        <v>19.75</v>
      </c>
      <c r="S278" s="11">
        <v>20.25</v>
      </c>
      <c r="T278" s="11">
        <v>15</v>
      </c>
      <c r="U278" s="11">
        <v>15</v>
      </c>
      <c r="V278" s="11">
        <v>16</v>
      </c>
      <c r="W278" s="11">
        <v>14</v>
      </c>
      <c r="X278" s="11">
        <v>7</v>
      </c>
      <c r="Y278" s="11">
        <v>7</v>
      </c>
      <c r="Z278" s="3" t="s">
        <v>1412</v>
      </c>
      <c r="AA278" s="10" t="s">
        <v>1431</v>
      </c>
      <c r="AB278" s="5">
        <f>850+735+220+140+160+480+153+240+0</f>
        <v>2978</v>
      </c>
      <c r="AC278" s="6">
        <f>35+32+5+10+10+5+15+14+0</f>
        <v>126</v>
      </c>
      <c r="AD278" s="6">
        <f>11+0+2+6+7+1+10+8+0</f>
        <v>45</v>
      </c>
      <c r="AE278" s="6">
        <f>29+0+6+8+12+18+3+19+0</f>
        <v>95</v>
      </c>
      <c r="AF278" s="6">
        <f>104+105+38+2+2+94+1.2+9+0</f>
        <v>355.2</v>
      </c>
      <c r="AG278" s="6">
        <f>7+0+4+0+0+6+0+3+0</f>
        <v>20</v>
      </c>
      <c r="AH278" s="6">
        <f>1560+315+680+500+380+1200+129+370+110</f>
        <v>5244</v>
      </c>
      <c r="AI278" s="6">
        <f t="shared" si="400"/>
        <v>4.2310275352585629E-2</v>
      </c>
      <c r="AJ278" s="6">
        <f t="shared" si="401"/>
        <v>1.5110812625923439E-2</v>
      </c>
      <c r="AK278" s="6">
        <f t="shared" si="402"/>
        <v>3.1900604432505038E-2</v>
      </c>
      <c r="AL278" s="6">
        <f t="shared" si="403"/>
        <v>0.11927468099395568</v>
      </c>
      <c r="AM278" s="6">
        <f t="shared" si="404"/>
        <v>6.7159167226326392E-3</v>
      </c>
      <c r="AN278" s="6">
        <f t="shared" si="405"/>
        <v>1.7609133646742781</v>
      </c>
      <c r="AO278" s="7">
        <v>5</v>
      </c>
      <c r="AP278" s="7">
        <v>3</v>
      </c>
      <c r="AQ278" s="7">
        <v>0</v>
      </c>
      <c r="AR278" s="27">
        <v>0</v>
      </c>
      <c r="AS278" s="27">
        <v>0</v>
      </c>
      <c r="AT278" s="27">
        <v>0</v>
      </c>
      <c r="AU278" s="27">
        <v>0</v>
      </c>
      <c r="AV278" s="27">
        <v>0</v>
      </c>
      <c r="AW278" s="7">
        <v>31</v>
      </c>
      <c r="AX278" s="7">
        <v>0</v>
      </c>
      <c r="AY278" s="5">
        <v>7</v>
      </c>
      <c r="AZ278" s="7">
        <v>0</v>
      </c>
      <c r="BA278" s="7">
        <v>0</v>
      </c>
      <c r="BB278" s="7">
        <v>0</v>
      </c>
      <c r="BC278" s="7">
        <v>1</v>
      </c>
      <c r="BD278" s="7">
        <v>1</v>
      </c>
      <c r="BE278" s="7">
        <v>0</v>
      </c>
      <c r="BF278" s="7">
        <v>0</v>
      </c>
      <c r="BG278" s="7">
        <v>0</v>
      </c>
      <c r="BH278" s="7">
        <v>0</v>
      </c>
      <c r="BI278" s="7">
        <v>1</v>
      </c>
      <c r="BJ278" s="7">
        <v>0</v>
      </c>
      <c r="BK278" s="11">
        <v>3</v>
      </c>
      <c r="BL278" s="7" t="s">
        <v>1413</v>
      </c>
      <c r="BM278" s="6">
        <v>1</v>
      </c>
    </row>
    <row r="279" spans="1:65" ht="19.95" customHeight="1" x14ac:dyDescent="0.3">
      <c r="A279" s="3" t="s">
        <v>16</v>
      </c>
      <c r="B279" s="3">
        <v>22</v>
      </c>
      <c r="C279" s="8">
        <v>44488</v>
      </c>
      <c r="D279" s="9">
        <v>0.25</v>
      </c>
      <c r="E279" s="4">
        <v>46</v>
      </c>
      <c r="F279" s="3">
        <v>0</v>
      </c>
      <c r="G279" s="3">
        <v>0</v>
      </c>
      <c r="H279" s="3">
        <v>0</v>
      </c>
      <c r="I279" s="3">
        <v>0</v>
      </c>
      <c r="J279" s="9">
        <v>0.38819444444444445</v>
      </c>
      <c r="K279" s="3">
        <v>145.19999999999999</v>
      </c>
      <c r="L279" s="11">
        <f t="shared" si="517"/>
        <v>2.1999999999999886</v>
      </c>
      <c r="M279" s="5">
        <f t="shared" si="518"/>
        <v>2978</v>
      </c>
      <c r="N279" s="11">
        <v>31.25</v>
      </c>
      <c r="O279" s="11">
        <v>32.25</v>
      </c>
      <c r="P279" s="11">
        <v>10.75</v>
      </c>
      <c r="Q279" s="11">
        <v>10.75</v>
      </c>
      <c r="R279" s="11">
        <v>20</v>
      </c>
      <c r="S279" s="11">
        <v>20.125</v>
      </c>
      <c r="T279" s="11">
        <v>15</v>
      </c>
      <c r="U279" s="11">
        <v>15</v>
      </c>
      <c r="V279" s="11">
        <v>15</v>
      </c>
      <c r="W279" s="11">
        <v>15</v>
      </c>
      <c r="X279" s="11">
        <v>7</v>
      </c>
      <c r="Y279" s="11">
        <v>7</v>
      </c>
      <c r="Z279" s="3" t="s">
        <v>1414</v>
      </c>
      <c r="AA279" s="10" t="s">
        <v>1432</v>
      </c>
      <c r="AB279" s="12">
        <f>800+350+525+300+260+450+240+100</f>
        <v>3025</v>
      </c>
      <c r="AC279" s="6">
        <f>44+25+23+16+7+28+240+8</f>
        <v>391</v>
      </c>
      <c r="AD279" s="6">
        <f>18+15+0+1+5+5+240+5</f>
        <v>289</v>
      </c>
      <c r="AE279" s="6">
        <f>38+20+0+4+7+5+240+2</f>
        <v>316</v>
      </c>
      <c r="AF279" s="6">
        <f>76+0+75+34+41+42+240+4</f>
        <v>512</v>
      </c>
      <c r="AG279" s="6">
        <f>6+0+0+2+0+2+240+0</f>
        <v>250</v>
      </c>
      <c r="AH279" s="6">
        <f>1840+525+225+340+100+680+240+170</f>
        <v>4120</v>
      </c>
      <c r="AI279" s="6">
        <f t="shared" ref="AI279:AI304" si="519">$AC279/$AB279</f>
        <v>0.12925619834710744</v>
      </c>
      <c r="AJ279" s="6">
        <f t="shared" ref="AJ279:AJ304" si="520">$AD279/$AB279</f>
        <v>9.5537190082644621E-2</v>
      </c>
      <c r="AK279" s="6">
        <f t="shared" ref="AK279:AK304" si="521">$AE279/$AB279</f>
        <v>0.10446280991735538</v>
      </c>
      <c r="AL279" s="6">
        <f t="shared" ref="AL279:AL304" si="522">$AF279/$AB279</f>
        <v>0.16925619834710745</v>
      </c>
      <c r="AM279" s="6">
        <f t="shared" ref="AM279:AM304" si="523">$AG279/$AB279</f>
        <v>8.2644628099173556E-2</v>
      </c>
      <c r="AN279" s="6">
        <f t="shared" ref="AN279:AN304" si="524">$AH279/$AB279</f>
        <v>1.3619834710743801</v>
      </c>
      <c r="AO279" s="7">
        <v>7</v>
      </c>
      <c r="AP279" s="7">
        <v>3</v>
      </c>
      <c r="AQ279" s="7">
        <v>0</v>
      </c>
      <c r="AR279" s="27">
        <v>0</v>
      </c>
      <c r="AS279" s="27">
        <v>0</v>
      </c>
      <c r="AT279" s="27">
        <v>0</v>
      </c>
      <c r="AU279" s="27">
        <v>0</v>
      </c>
      <c r="AV279" s="27">
        <v>0</v>
      </c>
      <c r="AW279" s="7">
        <v>0</v>
      </c>
      <c r="AX279" s="7">
        <v>1</v>
      </c>
      <c r="AY279" s="5">
        <v>6</v>
      </c>
      <c r="AZ279" s="7">
        <v>0</v>
      </c>
      <c r="BA279" s="7">
        <v>1</v>
      </c>
      <c r="BB279" s="7">
        <v>0</v>
      </c>
      <c r="BC279" s="7">
        <v>1</v>
      </c>
      <c r="BD279" s="7">
        <v>1</v>
      </c>
      <c r="BE279" s="7">
        <v>0</v>
      </c>
      <c r="BF279" s="7">
        <v>0</v>
      </c>
      <c r="BG279" s="7">
        <v>0</v>
      </c>
      <c r="BH279" s="7">
        <v>0</v>
      </c>
      <c r="BI279" s="7">
        <v>1</v>
      </c>
      <c r="BJ279" s="7">
        <v>1</v>
      </c>
      <c r="BK279" s="11">
        <v>0</v>
      </c>
      <c r="BL279" s="7">
        <v>0</v>
      </c>
      <c r="BM279" s="6">
        <v>1</v>
      </c>
    </row>
    <row r="280" spans="1:65" ht="19.95" customHeight="1" x14ac:dyDescent="0.3">
      <c r="A280" s="3" t="s">
        <v>17</v>
      </c>
      <c r="B280" s="3">
        <v>23</v>
      </c>
      <c r="C280" s="8">
        <v>44489</v>
      </c>
      <c r="D280" s="9">
        <v>0.33333333333333331</v>
      </c>
      <c r="E280" s="4">
        <v>55</v>
      </c>
      <c r="F280" s="3">
        <v>0</v>
      </c>
      <c r="G280" s="3">
        <v>0</v>
      </c>
      <c r="H280" s="3">
        <v>0</v>
      </c>
      <c r="I280" s="3">
        <v>0</v>
      </c>
      <c r="J280" s="9">
        <v>0.94652777777777775</v>
      </c>
      <c r="K280" s="3">
        <v>140.19999999999999</v>
      </c>
      <c r="L280" s="11">
        <f t="shared" si="517"/>
        <v>-5</v>
      </c>
      <c r="M280" s="5">
        <f t="shared" si="518"/>
        <v>3025</v>
      </c>
      <c r="N280" s="11">
        <v>30</v>
      </c>
      <c r="O280" s="11">
        <v>31.875</v>
      </c>
      <c r="P280" s="11">
        <v>10.625</v>
      </c>
      <c r="Q280" s="11">
        <v>10.875</v>
      </c>
      <c r="R280" s="11">
        <v>19.75</v>
      </c>
      <c r="S280" s="11">
        <v>20</v>
      </c>
      <c r="T280" s="11">
        <v>15</v>
      </c>
      <c r="U280" s="11">
        <v>13</v>
      </c>
      <c r="V280" s="11">
        <v>16</v>
      </c>
      <c r="W280" s="11">
        <v>14</v>
      </c>
      <c r="X280" s="11">
        <v>7</v>
      </c>
      <c r="Y280" s="11">
        <v>7</v>
      </c>
      <c r="Z280" s="3" t="s">
        <v>1417</v>
      </c>
      <c r="AA280" s="10" t="s">
        <v>1434</v>
      </c>
      <c r="AB280" s="5">
        <f>780+450+455+207+280</f>
        <v>2172</v>
      </c>
      <c r="AC280" s="6">
        <f>21+28+13+18+24</f>
        <v>104</v>
      </c>
      <c r="AD280" s="6">
        <f>14+5+2+3+14</f>
        <v>38</v>
      </c>
      <c r="AE280" s="6">
        <f>21+5+7+10+20</f>
        <v>63</v>
      </c>
      <c r="AF280" s="6">
        <f>123+42+81+6+0</f>
        <v>252</v>
      </c>
      <c r="AG280" s="6">
        <f>0+2+7+3+0</f>
        <v>12</v>
      </c>
      <c r="AH280" s="6">
        <f>300+680+805+7+460</f>
        <v>2252</v>
      </c>
      <c r="AI280" s="6">
        <f t="shared" si="519"/>
        <v>4.7882136279926338E-2</v>
      </c>
      <c r="AJ280" s="6">
        <f t="shared" si="520"/>
        <v>1.7495395948434623E-2</v>
      </c>
      <c r="AK280" s="6">
        <f t="shared" si="521"/>
        <v>2.9005524861878452E-2</v>
      </c>
      <c r="AL280" s="6">
        <f t="shared" si="522"/>
        <v>0.11602209944751381</v>
      </c>
      <c r="AM280" s="6">
        <f t="shared" si="523"/>
        <v>5.5248618784530384E-3</v>
      </c>
      <c r="AN280" s="6">
        <f t="shared" si="524"/>
        <v>1.0368324125230202</v>
      </c>
      <c r="AO280" s="7">
        <v>5</v>
      </c>
      <c r="AP280" s="7">
        <v>0</v>
      </c>
      <c r="AQ280" s="7">
        <v>0</v>
      </c>
      <c r="AR280" s="27">
        <v>0</v>
      </c>
      <c r="AS280" s="27">
        <v>0</v>
      </c>
      <c r="AT280" s="27">
        <v>0</v>
      </c>
      <c r="AU280" s="27">
        <v>0</v>
      </c>
      <c r="AV280" s="27">
        <v>0</v>
      </c>
      <c r="AW280" s="7">
        <v>31</v>
      </c>
      <c r="AX280" s="7">
        <v>1</v>
      </c>
      <c r="AY280" s="5">
        <v>2.5</v>
      </c>
      <c r="AZ280" s="7">
        <v>0</v>
      </c>
      <c r="BA280" s="7">
        <v>0</v>
      </c>
      <c r="BB280" s="7">
        <v>0</v>
      </c>
      <c r="BC280" s="7">
        <v>1</v>
      </c>
      <c r="BD280" s="7">
        <v>1</v>
      </c>
      <c r="BE280" s="7">
        <v>0</v>
      </c>
      <c r="BF280" s="7">
        <v>0</v>
      </c>
      <c r="BG280" s="7">
        <v>0</v>
      </c>
      <c r="BH280" s="7">
        <v>0</v>
      </c>
      <c r="BI280" s="7">
        <v>0</v>
      </c>
      <c r="BJ280" s="7">
        <v>1</v>
      </c>
      <c r="BK280" s="11">
        <v>1</v>
      </c>
      <c r="BL280" s="7" t="s">
        <v>1048</v>
      </c>
      <c r="BM280" s="6">
        <v>2</v>
      </c>
    </row>
    <row r="281" spans="1:65" ht="19.95" customHeight="1" x14ac:dyDescent="0.3">
      <c r="A281" s="3" t="s">
        <v>18</v>
      </c>
      <c r="B281" s="3">
        <v>0</v>
      </c>
      <c r="C281" s="8">
        <v>44490</v>
      </c>
      <c r="D281" s="9">
        <v>0.16666666666666666</v>
      </c>
      <c r="E281" s="4">
        <v>49</v>
      </c>
      <c r="F281" s="3">
        <v>0</v>
      </c>
      <c r="G281" s="3">
        <v>0</v>
      </c>
      <c r="H281" s="3">
        <v>0</v>
      </c>
      <c r="I281" s="3">
        <v>0</v>
      </c>
      <c r="J281" s="29"/>
      <c r="K281" s="29"/>
      <c r="L281" s="30"/>
      <c r="M281" s="31"/>
      <c r="N281" s="30"/>
      <c r="O281" s="30"/>
      <c r="P281" s="30"/>
      <c r="Q281" s="30"/>
      <c r="R281" s="30"/>
      <c r="S281" s="30"/>
      <c r="T281" s="30"/>
      <c r="U281" s="30"/>
      <c r="V281" s="30"/>
      <c r="W281" s="30"/>
      <c r="X281" s="30"/>
      <c r="Y281" s="30"/>
      <c r="Z281" s="3" t="s">
        <v>1415</v>
      </c>
      <c r="AA281" s="10" t="s">
        <v>1435</v>
      </c>
      <c r="AB281" s="5">
        <f>800+445+350+240+153+150+525+375</f>
        <v>3038</v>
      </c>
      <c r="AC281" s="6">
        <f>32+21+30+2+15+9+23+15</f>
        <v>147</v>
      </c>
      <c r="AD281" s="6">
        <f>12+10+18+1+10+5+0+3</f>
        <v>59</v>
      </c>
      <c r="AE281" s="6">
        <f>20+17+25+8+3+3+0+5</f>
        <v>81</v>
      </c>
      <c r="AF281" s="6">
        <f>104+48+0+46+1+17+75+50</f>
        <v>341</v>
      </c>
      <c r="AG281" s="6">
        <f>4+3+0+2+0+1+0+3</f>
        <v>13</v>
      </c>
      <c r="AH281" s="6">
        <f>1040+1070+575+630+129+50+225+900</f>
        <v>4619</v>
      </c>
      <c r="AI281" s="6">
        <f t="shared" si="519"/>
        <v>4.8387096774193547E-2</v>
      </c>
      <c r="AJ281" s="6">
        <f t="shared" si="520"/>
        <v>1.9420671494404212E-2</v>
      </c>
      <c r="AK281" s="6">
        <f t="shared" si="521"/>
        <v>2.6662277814351546E-2</v>
      </c>
      <c r="AL281" s="6">
        <f t="shared" si="522"/>
        <v>0.11224489795918367</v>
      </c>
      <c r="AM281" s="6">
        <f t="shared" si="523"/>
        <v>4.279131007241606E-3</v>
      </c>
      <c r="AN281" s="6">
        <f t="shared" si="524"/>
        <v>1.5204081632653061</v>
      </c>
      <c r="AO281" s="7">
        <v>4</v>
      </c>
      <c r="AP281" s="7">
        <v>1</v>
      </c>
      <c r="AQ281" s="7">
        <v>1</v>
      </c>
      <c r="AR281" s="27">
        <v>0</v>
      </c>
      <c r="AS281" s="27">
        <v>0</v>
      </c>
      <c r="AT281" s="27">
        <v>0</v>
      </c>
      <c r="AU281" s="27">
        <v>0</v>
      </c>
      <c r="AV281" s="27">
        <v>0</v>
      </c>
      <c r="AW281" s="7">
        <v>0</v>
      </c>
      <c r="AX281" s="7">
        <v>0</v>
      </c>
      <c r="AY281" s="5">
        <v>5</v>
      </c>
      <c r="AZ281" s="7">
        <v>0</v>
      </c>
      <c r="BA281" s="7">
        <v>0</v>
      </c>
      <c r="BB281" s="7">
        <v>0</v>
      </c>
      <c r="BC281" s="7">
        <v>1</v>
      </c>
      <c r="BD281" s="7">
        <v>1</v>
      </c>
      <c r="BE281" s="7">
        <v>0</v>
      </c>
      <c r="BF281" s="7">
        <v>2</v>
      </c>
      <c r="BG281" s="7">
        <v>40</v>
      </c>
      <c r="BH281" s="7">
        <v>0</v>
      </c>
      <c r="BI281" s="7">
        <v>0</v>
      </c>
      <c r="BJ281" s="7">
        <v>1</v>
      </c>
      <c r="BK281" s="11">
        <v>3</v>
      </c>
      <c r="BL281" s="7" t="s">
        <v>1416</v>
      </c>
      <c r="BM281" s="6">
        <v>1</v>
      </c>
    </row>
    <row r="282" spans="1:65" s="20" customFormat="1" ht="40.049999999999997" customHeight="1" x14ac:dyDescent="0.3">
      <c r="A282" s="20" t="s">
        <v>137</v>
      </c>
      <c r="B282" s="20">
        <v>1</v>
      </c>
      <c r="C282" s="21">
        <v>44491</v>
      </c>
      <c r="D282" s="22">
        <v>0.20833333333333334</v>
      </c>
      <c r="E282" s="23">
        <v>51</v>
      </c>
      <c r="F282" s="20">
        <v>0</v>
      </c>
      <c r="G282" s="20">
        <v>0</v>
      </c>
      <c r="H282" s="20">
        <v>0</v>
      </c>
      <c r="I282" s="20">
        <v>0</v>
      </c>
      <c r="J282" s="22">
        <v>0.49374999999999997</v>
      </c>
      <c r="K282" s="20">
        <v>143.19999999999999</v>
      </c>
      <c r="L282" s="11">
        <f t="shared" si="517"/>
        <v>143.19999999999999</v>
      </c>
      <c r="M282" s="5">
        <f t="shared" si="518"/>
        <v>3038</v>
      </c>
      <c r="N282" s="24">
        <v>30.875</v>
      </c>
      <c r="O282" s="24">
        <v>31.875</v>
      </c>
      <c r="P282" s="24">
        <v>10.75</v>
      </c>
      <c r="Q282" s="24">
        <v>10.625</v>
      </c>
      <c r="R282" s="24">
        <v>19.75</v>
      </c>
      <c r="S282" s="24">
        <v>20.375</v>
      </c>
      <c r="T282" s="32"/>
      <c r="U282" s="32"/>
      <c r="V282" s="32"/>
      <c r="W282" s="32"/>
      <c r="X282" s="32"/>
      <c r="Y282" s="32"/>
      <c r="Z282" s="20" t="s">
        <v>1438</v>
      </c>
      <c r="AA282" s="25" t="s">
        <v>1437</v>
      </c>
      <c r="AB282" s="6">
        <f>525+445+210+240+100+375+75+140+65+140</f>
        <v>2315</v>
      </c>
      <c r="AC282" s="6">
        <f>23+21+9+2+8+15+5+12+3+12</f>
        <v>110</v>
      </c>
      <c r="AD282" s="6">
        <f>0+10+0+1+5+3+3+7+0+7</f>
        <v>36</v>
      </c>
      <c r="AE282" s="6">
        <f>0+17+0+8+2+5+2+10+1+10</f>
        <v>55</v>
      </c>
      <c r="AF282" s="6">
        <f>75+48+30+46+4+50+9+0+11+0</f>
        <v>273</v>
      </c>
      <c r="AG282" s="6">
        <f>0+3+0+2+0+3+1+0+1+0</f>
        <v>10</v>
      </c>
      <c r="AH282" s="6">
        <f>225+1070+90+630+170+900+25+230+110+230</f>
        <v>3680</v>
      </c>
      <c r="AI282" s="6">
        <f t="shared" si="519"/>
        <v>4.7516198704103674E-2</v>
      </c>
      <c r="AJ282" s="6">
        <f t="shared" si="520"/>
        <v>1.5550755939524838E-2</v>
      </c>
      <c r="AK282" s="6">
        <f t="shared" si="521"/>
        <v>2.3758099352051837E-2</v>
      </c>
      <c r="AL282" s="6">
        <f t="shared" si="522"/>
        <v>0.11792656587473002</v>
      </c>
      <c r="AM282" s="6">
        <f t="shared" si="523"/>
        <v>4.3196544276457886E-3</v>
      </c>
      <c r="AN282" s="6">
        <f t="shared" si="524"/>
        <v>1.5896328293736501</v>
      </c>
      <c r="AO282" s="7">
        <v>5</v>
      </c>
      <c r="AP282" s="7">
        <v>3</v>
      </c>
      <c r="AQ282" s="7">
        <v>1</v>
      </c>
      <c r="AR282" s="27">
        <v>0</v>
      </c>
      <c r="AS282" s="27">
        <v>0</v>
      </c>
      <c r="AT282" s="27">
        <v>0</v>
      </c>
      <c r="AU282" s="27">
        <v>0</v>
      </c>
      <c r="AV282" s="27">
        <v>0</v>
      </c>
      <c r="AW282" s="7">
        <v>0</v>
      </c>
      <c r="AX282" s="7">
        <v>1</v>
      </c>
      <c r="AY282" s="6">
        <v>5</v>
      </c>
      <c r="AZ282" s="7">
        <v>0</v>
      </c>
      <c r="BA282" s="7">
        <v>0</v>
      </c>
      <c r="BB282" s="7">
        <v>0</v>
      </c>
      <c r="BC282" s="7">
        <v>1</v>
      </c>
      <c r="BD282" s="7">
        <v>1</v>
      </c>
      <c r="BE282" s="7">
        <v>0</v>
      </c>
      <c r="BF282" s="7">
        <v>0</v>
      </c>
      <c r="BG282" s="7">
        <v>0</v>
      </c>
      <c r="BH282" s="7">
        <v>0</v>
      </c>
      <c r="BI282" s="7">
        <v>0</v>
      </c>
      <c r="BJ282" s="7">
        <v>1</v>
      </c>
      <c r="BK282" s="24">
        <v>1</v>
      </c>
      <c r="BL282" s="7" t="s">
        <v>1436</v>
      </c>
      <c r="BM282" s="6">
        <v>1</v>
      </c>
    </row>
    <row r="283" spans="1:65" s="20" customFormat="1" ht="30" customHeight="1" x14ac:dyDescent="0.3">
      <c r="A283" s="20" t="s">
        <v>19</v>
      </c>
      <c r="B283" s="20">
        <v>2</v>
      </c>
      <c r="C283" s="21">
        <v>44492</v>
      </c>
      <c r="D283" s="22">
        <v>0.22916666666666666</v>
      </c>
      <c r="E283" s="23">
        <v>58</v>
      </c>
      <c r="F283" s="20">
        <v>0</v>
      </c>
      <c r="G283" s="20">
        <v>0</v>
      </c>
      <c r="H283" s="20">
        <v>0</v>
      </c>
      <c r="I283" s="20">
        <v>0</v>
      </c>
      <c r="J283" s="22">
        <v>0.2722222222222222</v>
      </c>
      <c r="K283" s="20">
        <v>143.4</v>
      </c>
      <c r="L283" s="11">
        <f t="shared" si="517"/>
        <v>0.20000000000001705</v>
      </c>
      <c r="M283" s="5">
        <f t="shared" si="518"/>
        <v>2315</v>
      </c>
      <c r="N283" s="24">
        <v>30.5</v>
      </c>
      <c r="O283" s="24">
        <v>32.125</v>
      </c>
      <c r="P283" s="24">
        <v>10.625</v>
      </c>
      <c r="Q283" s="24">
        <v>10.75</v>
      </c>
      <c r="R283" s="24">
        <v>20</v>
      </c>
      <c r="S283" s="24">
        <v>20.125</v>
      </c>
      <c r="T283" s="32"/>
      <c r="U283" s="32"/>
      <c r="V283" s="32"/>
      <c r="W283" s="32"/>
      <c r="X283" s="32"/>
      <c r="Y283" s="32"/>
      <c r="Z283" s="20" t="s">
        <v>1439</v>
      </c>
      <c r="AA283" s="25" t="s">
        <v>1463</v>
      </c>
      <c r="AB283" s="6">
        <f>440+280+240+100+480+400+525</f>
        <v>2465</v>
      </c>
      <c r="AC283" s="6">
        <f>10+24+3+10+29+3+23</f>
        <v>102</v>
      </c>
      <c r="AD283" s="6">
        <f>4+14+1+6+16+0+0</f>
        <v>41</v>
      </c>
      <c r="AE283" s="6">
        <f>12+20+9+2+10+13+0</f>
        <v>66</v>
      </c>
      <c r="AF283" s="6">
        <f>76+0+47+2+54+83+75</f>
        <v>337</v>
      </c>
      <c r="AG283" s="6">
        <f>8+0+3+0+3+3+0</f>
        <v>17</v>
      </c>
      <c r="AH283" s="6">
        <f>1360+460+600+105+160+933+225</f>
        <v>3843</v>
      </c>
      <c r="AI283" s="6">
        <f t="shared" si="519"/>
        <v>4.1379310344827586E-2</v>
      </c>
      <c r="AJ283" s="6">
        <f t="shared" si="520"/>
        <v>1.6632860040567951E-2</v>
      </c>
      <c r="AK283" s="6">
        <f t="shared" si="521"/>
        <v>2.6774847870182555E-2</v>
      </c>
      <c r="AL283" s="6">
        <f t="shared" si="522"/>
        <v>0.13671399594320488</v>
      </c>
      <c r="AM283" s="6">
        <f t="shared" si="523"/>
        <v>6.8965517241379309E-3</v>
      </c>
      <c r="AN283" s="6">
        <f t="shared" si="524"/>
        <v>1.559026369168357</v>
      </c>
      <c r="AO283" s="7">
        <v>5</v>
      </c>
      <c r="AP283" s="7">
        <v>0</v>
      </c>
      <c r="AQ283" s="7">
        <v>1</v>
      </c>
      <c r="AR283" s="28">
        <v>0</v>
      </c>
      <c r="AS283" s="28">
        <v>0</v>
      </c>
      <c r="AT283" s="28">
        <v>0</v>
      </c>
      <c r="AU283" s="27">
        <v>0</v>
      </c>
      <c r="AV283" s="28">
        <v>0</v>
      </c>
      <c r="AW283" s="20">
        <v>1</v>
      </c>
      <c r="AX283" s="20">
        <v>1</v>
      </c>
      <c r="AY283" s="6">
        <v>5</v>
      </c>
      <c r="AZ283" s="20">
        <v>0</v>
      </c>
      <c r="BA283" s="20">
        <v>0</v>
      </c>
      <c r="BB283" s="20">
        <v>0</v>
      </c>
      <c r="BC283" s="20">
        <v>1</v>
      </c>
      <c r="BD283" s="20">
        <v>1</v>
      </c>
      <c r="BE283" s="20">
        <v>0</v>
      </c>
      <c r="BF283" s="20">
        <v>0</v>
      </c>
      <c r="BG283" s="20">
        <v>0</v>
      </c>
      <c r="BH283" s="20">
        <v>0</v>
      </c>
      <c r="BI283" s="20">
        <v>0</v>
      </c>
      <c r="BJ283" s="20">
        <v>0</v>
      </c>
      <c r="BK283" s="24">
        <v>1</v>
      </c>
      <c r="BL283" s="20" t="s">
        <v>1436</v>
      </c>
      <c r="BM283" s="24">
        <v>1.6666666666666667</v>
      </c>
    </row>
    <row r="284" spans="1:65" s="20" customFormat="1" ht="30" customHeight="1" x14ac:dyDescent="0.3">
      <c r="A284" s="20" t="s">
        <v>23</v>
      </c>
      <c r="B284" s="20">
        <v>3</v>
      </c>
      <c r="C284" s="21">
        <v>44493</v>
      </c>
      <c r="D284" s="22">
        <v>0.25</v>
      </c>
      <c r="E284" s="23">
        <v>56</v>
      </c>
      <c r="F284" s="20">
        <v>0</v>
      </c>
      <c r="G284" s="20">
        <v>0</v>
      </c>
      <c r="H284" s="20">
        <v>0</v>
      </c>
      <c r="I284" s="20">
        <v>0</v>
      </c>
      <c r="J284" s="22">
        <v>0.33680555555555558</v>
      </c>
      <c r="K284" s="20">
        <v>142</v>
      </c>
      <c r="L284" s="11">
        <f t="shared" ref="L284" si="525">K284-K283</f>
        <v>-1.4000000000000057</v>
      </c>
      <c r="M284" s="5">
        <f t="shared" ref="M284" si="526">AB283</f>
        <v>2465</v>
      </c>
      <c r="N284" s="24">
        <v>30</v>
      </c>
      <c r="O284" s="24">
        <v>32.5</v>
      </c>
      <c r="P284" s="24">
        <v>10.75</v>
      </c>
      <c r="Q284" s="24">
        <v>10.75</v>
      </c>
      <c r="R284" s="24">
        <v>20</v>
      </c>
      <c r="S284" s="24">
        <v>20.25</v>
      </c>
      <c r="T284" s="32"/>
      <c r="U284" s="32"/>
      <c r="V284" s="32"/>
      <c r="W284" s="32"/>
      <c r="X284" s="32"/>
      <c r="Y284" s="32"/>
      <c r="Z284" s="20" t="s">
        <v>1440</v>
      </c>
      <c r="AA284" s="25" t="s">
        <v>1464</v>
      </c>
      <c r="AB284" s="6">
        <f>800+350+440+420+400</f>
        <v>2410</v>
      </c>
      <c r="AC284" s="6">
        <f>5+30+10+18+22</f>
        <v>85</v>
      </c>
      <c r="AD284" s="6">
        <f>0+18+4+0+9</f>
        <v>31</v>
      </c>
      <c r="AE284" s="6">
        <f>27+25+12+0+19</f>
        <v>83</v>
      </c>
      <c r="AF284" s="6">
        <f>165+0+76+60+38</f>
        <v>339</v>
      </c>
      <c r="AG284" s="6">
        <f>5+0+8+0+3</f>
        <v>16</v>
      </c>
      <c r="AH284" s="6">
        <f>1867+575+1360+180+920</f>
        <v>4902</v>
      </c>
      <c r="AI284" s="6">
        <f t="shared" si="519"/>
        <v>3.5269709543568464E-2</v>
      </c>
      <c r="AJ284" s="6">
        <f t="shared" si="520"/>
        <v>1.2863070539419087E-2</v>
      </c>
      <c r="AK284" s="6">
        <f t="shared" si="521"/>
        <v>3.4439834024896268E-2</v>
      </c>
      <c r="AL284" s="6">
        <f t="shared" si="522"/>
        <v>0.14066390041493776</v>
      </c>
      <c r="AM284" s="6">
        <f t="shared" si="523"/>
        <v>6.6390041493775932E-3</v>
      </c>
      <c r="AN284" s="6">
        <f t="shared" si="524"/>
        <v>2.03402489626556</v>
      </c>
      <c r="AO284" s="7">
        <v>5</v>
      </c>
      <c r="AP284" s="7">
        <v>1</v>
      </c>
      <c r="AQ284" s="7">
        <v>1</v>
      </c>
      <c r="AR284" s="28">
        <v>0</v>
      </c>
      <c r="AS284" s="28">
        <v>0</v>
      </c>
      <c r="AT284" s="28">
        <v>0</v>
      </c>
      <c r="AU284" s="27">
        <v>0</v>
      </c>
      <c r="AV284" s="28">
        <v>0</v>
      </c>
      <c r="AW284" s="20">
        <v>31</v>
      </c>
      <c r="AX284" s="20">
        <v>1</v>
      </c>
      <c r="AY284" s="6">
        <v>7.5</v>
      </c>
      <c r="AZ284" s="20">
        <v>0</v>
      </c>
      <c r="BA284" s="20">
        <v>0</v>
      </c>
      <c r="BB284" s="20">
        <v>0</v>
      </c>
      <c r="BC284" s="20">
        <v>1</v>
      </c>
      <c r="BD284" s="20">
        <v>1</v>
      </c>
      <c r="BE284" s="20">
        <v>0</v>
      </c>
      <c r="BF284" s="20">
        <v>0</v>
      </c>
      <c r="BG284" s="20">
        <v>0</v>
      </c>
      <c r="BH284" s="20">
        <v>0</v>
      </c>
      <c r="BI284" s="20">
        <v>0</v>
      </c>
      <c r="BJ284" s="20">
        <v>1</v>
      </c>
      <c r="BK284" s="24">
        <v>2</v>
      </c>
      <c r="BL284" s="20" t="s">
        <v>1129</v>
      </c>
      <c r="BM284" s="24">
        <v>1.6666666666666667</v>
      </c>
    </row>
    <row r="285" spans="1:65" ht="30" customHeight="1" x14ac:dyDescent="0.3">
      <c r="A285" s="20" t="s">
        <v>15</v>
      </c>
      <c r="B285" s="20">
        <v>4</v>
      </c>
      <c r="C285" s="8">
        <v>44494</v>
      </c>
      <c r="D285" s="9">
        <v>0.25</v>
      </c>
      <c r="E285" s="4">
        <v>58</v>
      </c>
      <c r="F285" s="20">
        <v>0</v>
      </c>
      <c r="G285" s="20">
        <v>0</v>
      </c>
      <c r="H285" s="20">
        <v>0</v>
      </c>
      <c r="I285" s="20">
        <v>0</v>
      </c>
      <c r="J285" s="9">
        <v>0.69444444444444453</v>
      </c>
      <c r="K285" s="20">
        <v>142.4</v>
      </c>
      <c r="L285" s="11">
        <f t="shared" ref="L285" si="527">K285-K284</f>
        <v>0.40000000000000568</v>
      </c>
      <c r="M285" s="5">
        <f t="shared" ref="M285:M288" si="528">AB284</f>
        <v>2410</v>
      </c>
      <c r="N285" s="11">
        <v>31</v>
      </c>
      <c r="O285" s="11">
        <v>32</v>
      </c>
      <c r="P285" s="11">
        <v>10.625</v>
      </c>
      <c r="Q285" s="11">
        <v>10.75</v>
      </c>
      <c r="R285" s="11">
        <v>19.75</v>
      </c>
      <c r="S285" s="11">
        <v>20.375</v>
      </c>
      <c r="T285" s="30"/>
      <c r="U285" s="30"/>
      <c r="V285" s="30"/>
      <c r="W285" s="30"/>
      <c r="X285" s="30"/>
      <c r="Y285" s="30"/>
      <c r="Z285" s="20" t="s">
        <v>1441</v>
      </c>
      <c r="AA285" s="10" t="s">
        <v>1465</v>
      </c>
      <c r="AB285" s="5">
        <f>420+150+240+400+140+480</f>
        <v>1830</v>
      </c>
      <c r="AC285" s="6">
        <f>18+15+2+22+12+29</f>
        <v>98</v>
      </c>
      <c r="AD285" s="6">
        <f>0+9+1+9+7+16</f>
        <v>42</v>
      </c>
      <c r="AE285" s="6">
        <f>0+3+8+19+10+10</f>
        <v>50</v>
      </c>
      <c r="AF285" s="6">
        <f>60+3+46+38+0+54</f>
        <v>201</v>
      </c>
      <c r="AG285" s="6">
        <f>0+0+2+3+0+3</f>
        <v>8</v>
      </c>
      <c r="AH285" s="6">
        <f>180+158+630+920+230+160</f>
        <v>2278</v>
      </c>
      <c r="AI285" s="6">
        <f t="shared" si="519"/>
        <v>5.3551912568306013E-2</v>
      </c>
      <c r="AJ285" s="6">
        <f t="shared" si="520"/>
        <v>2.2950819672131147E-2</v>
      </c>
      <c r="AK285" s="6">
        <f t="shared" si="521"/>
        <v>2.7322404371584699E-2</v>
      </c>
      <c r="AL285" s="6">
        <f t="shared" si="522"/>
        <v>0.10983606557377049</v>
      </c>
      <c r="AM285" s="6">
        <f t="shared" si="523"/>
        <v>4.3715846994535519E-3</v>
      </c>
      <c r="AN285" s="6">
        <f t="shared" si="524"/>
        <v>1.2448087431693988</v>
      </c>
      <c r="AO285" s="7">
        <v>5</v>
      </c>
      <c r="AP285" s="7">
        <v>3</v>
      </c>
      <c r="AQ285" s="7">
        <v>1</v>
      </c>
      <c r="AR285" s="27">
        <v>0</v>
      </c>
      <c r="AS285" s="27">
        <v>0</v>
      </c>
      <c r="AT285" s="27">
        <v>0</v>
      </c>
      <c r="AU285" s="27">
        <v>0</v>
      </c>
      <c r="AV285" s="27">
        <v>0</v>
      </c>
      <c r="AW285" s="7">
        <v>0</v>
      </c>
      <c r="AX285" s="7">
        <v>1</v>
      </c>
      <c r="AY285" s="5">
        <v>6</v>
      </c>
      <c r="AZ285" s="7">
        <v>0</v>
      </c>
      <c r="BA285" s="7">
        <v>0</v>
      </c>
      <c r="BB285" s="7">
        <v>0</v>
      </c>
      <c r="BC285" s="7">
        <v>1</v>
      </c>
      <c r="BD285" s="7">
        <v>1</v>
      </c>
      <c r="BE285" s="7">
        <v>0</v>
      </c>
      <c r="BF285" s="7">
        <v>0</v>
      </c>
      <c r="BG285" s="7">
        <v>0</v>
      </c>
      <c r="BH285" s="7">
        <v>0</v>
      </c>
      <c r="BI285" s="20">
        <v>0</v>
      </c>
      <c r="BJ285" s="7">
        <v>1</v>
      </c>
      <c r="BK285" s="11">
        <v>2</v>
      </c>
      <c r="BL285" s="7" t="s">
        <v>1129</v>
      </c>
      <c r="BM285" s="11">
        <v>1</v>
      </c>
    </row>
    <row r="286" spans="1:65" ht="30" customHeight="1" x14ac:dyDescent="0.3">
      <c r="A286" s="20" t="s">
        <v>16</v>
      </c>
      <c r="B286" s="20">
        <v>5</v>
      </c>
      <c r="C286" s="8">
        <v>44495</v>
      </c>
      <c r="D286" s="9">
        <v>0.25</v>
      </c>
      <c r="E286" s="4">
        <v>48</v>
      </c>
      <c r="F286" s="20">
        <v>0</v>
      </c>
      <c r="G286" s="20">
        <v>0</v>
      </c>
      <c r="H286" s="20">
        <v>0</v>
      </c>
      <c r="I286" s="20">
        <v>0</v>
      </c>
      <c r="J286" s="9">
        <v>0.54861111111111105</v>
      </c>
      <c r="K286" s="20">
        <v>143.4</v>
      </c>
      <c r="L286" s="11">
        <f t="shared" ref="L286:L288" si="529">K286-K285</f>
        <v>1</v>
      </c>
      <c r="M286" s="5">
        <f t="shared" si="528"/>
        <v>1830</v>
      </c>
      <c r="N286" s="11">
        <v>31.375</v>
      </c>
      <c r="O286" s="11">
        <v>32.75</v>
      </c>
      <c r="P286" s="11">
        <v>10.75</v>
      </c>
      <c r="Q286" s="11">
        <v>10.75</v>
      </c>
      <c r="R286" s="11">
        <v>19.75</v>
      </c>
      <c r="S286" s="11">
        <v>20.125</v>
      </c>
      <c r="T286" s="30"/>
      <c r="U286" s="30"/>
      <c r="V286" s="30"/>
      <c r="W286" s="30"/>
      <c r="X286" s="30"/>
      <c r="Y286" s="30"/>
      <c r="Z286" s="20" t="s">
        <v>1453</v>
      </c>
      <c r="AA286" s="10" t="s">
        <v>1466</v>
      </c>
      <c r="AB286" s="5">
        <f>640+450+240+150+270+120</f>
        <v>1870</v>
      </c>
      <c r="AC286" s="6">
        <f>52+18+2+15+2+8</f>
        <v>97</v>
      </c>
      <c r="AD286" s="6">
        <f>6+3+1+9+1+5</f>
        <v>25</v>
      </c>
      <c r="AE286" s="6">
        <f>24+6+8+3+9+10</f>
        <v>60</v>
      </c>
      <c r="AF286" s="6">
        <f>32+60+46+3+53+2</f>
        <v>196</v>
      </c>
      <c r="AG286" s="6">
        <f>12+3+2+0+2+0</f>
        <v>19</v>
      </c>
      <c r="AH286" s="6">
        <f>540+1080+630+158+450+280</f>
        <v>3138</v>
      </c>
      <c r="AI286" s="6">
        <f t="shared" si="519"/>
        <v>5.1871657754010696E-2</v>
      </c>
      <c r="AJ286" s="6">
        <f t="shared" si="520"/>
        <v>1.3368983957219251E-2</v>
      </c>
      <c r="AK286" s="6">
        <f t="shared" si="521"/>
        <v>3.2085561497326207E-2</v>
      </c>
      <c r="AL286" s="6">
        <f t="shared" si="522"/>
        <v>0.10481283422459893</v>
      </c>
      <c r="AM286" s="6">
        <f t="shared" si="523"/>
        <v>1.0160427807486631E-2</v>
      </c>
      <c r="AN286" s="6">
        <f t="shared" si="524"/>
        <v>1.6780748663101603</v>
      </c>
      <c r="AO286" s="7">
        <v>6</v>
      </c>
      <c r="AP286" s="7">
        <v>0</v>
      </c>
      <c r="AQ286" s="7">
        <v>1</v>
      </c>
      <c r="AR286" s="28">
        <v>0</v>
      </c>
      <c r="AS286" s="28">
        <v>0</v>
      </c>
      <c r="AT286" s="28">
        <v>0</v>
      </c>
      <c r="AU286" s="27">
        <v>0</v>
      </c>
      <c r="AV286" s="28">
        <v>0</v>
      </c>
      <c r="AW286" s="7">
        <v>0</v>
      </c>
      <c r="AX286" s="7">
        <v>0</v>
      </c>
      <c r="AY286" s="5">
        <v>6.5</v>
      </c>
      <c r="AZ286" s="20">
        <v>0</v>
      </c>
      <c r="BA286" s="7">
        <v>1</v>
      </c>
      <c r="BB286" s="20">
        <v>0</v>
      </c>
      <c r="BC286" s="20">
        <v>1</v>
      </c>
      <c r="BD286" s="20">
        <v>1</v>
      </c>
      <c r="BE286" s="20">
        <v>0</v>
      </c>
      <c r="BF286" s="7">
        <v>0</v>
      </c>
      <c r="BG286" s="7">
        <v>0</v>
      </c>
      <c r="BH286" s="20">
        <v>0</v>
      </c>
      <c r="BI286" s="20">
        <v>0</v>
      </c>
      <c r="BJ286" s="20">
        <v>1</v>
      </c>
      <c r="BK286" s="11">
        <v>0</v>
      </c>
      <c r="BL286" s="3">
        <v>0</v>
      </c>
      <c r="BM286" s="11">
        <v>1</v>
      </c>
    </row>
    <row r="287" spans="1:65" ht="30" customHeight="1" x14ac:dyDescent="0.3">
      <c r="A287" s="20" t="s">
        <v>17</v>
      </c>
      <c r="B287" s="20">
        <v>6</v>
      </c>
      <c r="C287" s="8">
        <v>44496</v>
      </c>
      <c r="D287" s="9">
        <v>0.25</v>
      </c>
      <c r="E287" s="4">
        <v>48</v>
      </c>
      <c r="F287" s="20">
        <v>0</v>
      </c>
      <c r="G287" s="20">
        <v>0</v>
      </c>
      <c r="H287" s="20">
        <v>0</v>
      </c>
      <c r="I287" s="20">
        <v>0</v>
      </c>
      <c r="J287" s="29"/>
      <c r="K287" s="33"/>
      <c r="L287" s="30"/>
      <c r="M287" s="31"/>
      <c r="N287" s="30"/>
      <c r="O287" s="30"/>
      <c r="P287" s="30"/>
      <c r="Q287" s="30"/>
      <c r="R287" s="30"/>
      <c r="S287" s="30"/>
      <c r="T287" s="30"/>
      <c r="U287" s="30"/>
      <c r="V287" s="30"/>
      <c r="W287" s="30"/>
      <c r="X287" s="30"/>
      <c r="Y287" s="30"/>
      <c r="Z287" s="20" t="s">
        <v>1452</v>
      </c>
      <c r="AA287" s="10" t="s">
        <v>1467</v>
      </c>
      <c r="AB287" s="5">
        <f>375+810+300</f>
        <v>1485</v>
      </c>
      <c r="AC287" s="6">
        <f>15+5+20</f>
        <v>40</v>
      </c>
      <c r="AD287" s="6">
        <f>0+2+13</f>
        <v>15</v>
      </c>
      <c r="AE287" s="6">
        <f>0+27+25</f>
        <v>52</v>
      </c>
      <c r="AF287" s="6">
        <f>60+159+5</f>
        <v>224</v>
      </c>
      <c r="AG287" s="6">
        <f>0+6+0</f>
        <v>6</v>
      </c>
      <c r="AH287" s="6">
        <f>300+1350+700</f>
        <v>2350</v>
      </c>
      <c r="AI287" s="6">
        <f t="shared" si="519"/>
        <v>2.6936026936026935E-2</v>
      </c>
      <c r="AJ287" s="6">
        <f t="shared" si="520"/>
        <v>1.0101010101010102E-2</v>
      </c>
      <c r="AK287" s="6">
        <f t="shared" si="521"/>
        <v>3.5016835016835016E-2</v>
      </c>
      <c r="AL287" s="6">
        <f t="shared" si="522"/>
        <v>0.15084175084175083</v>
      </c>
      <c r="AM287" s="6">
        <f t="shared" si="523"/>
        <v>4.0404040404040404E-3</v>
      </c>
      <c r="AN287" s="6">
        <f t="shared" si="524"/>
        <v>1.5824915824915824</v>
      </c>
      <c r="AO287" s="7">
        <v>5</v>
      </c>
      <c r="AP287" s="7">
        <v>1</v>
      </c>
      <c r="AQ287" s="7">
        <v>1</v>
      </c>
      <c r="AR287" s="27">
        <v>0</v>
      </c>
      <c r="AS287" s="27">
        <v>0</v>
      </c>
      <c r="AT287" s="27">
        <v>0</v>
      </c>
      <c r="AU287" s="27">
        <v>0</v>
      </c>
      <c r="AV287" s="27">
        <v>0</v>
      </c>
      <c r="AW287" s="7">
        <v>0</v>
      </c>
      <c r="AX287" s="7">
        <v>1</v>
      </c>
      <c r="AY287" s="5">
        <v>6.5</v>
      </c>
      <c r="AZ287" s="20">
        <v>0</v>
      </c>
      <c r="BA287" s="7">
        <v>0</v>
      </c>
      <c r="BB287" s="7">
        <v>0</v>
      </c>
      <c r="BC287" s="7">
        <v>1</v>
      </c>
      <c r="BD287" s="7">
        <v>1</v>
      </c>
      <c r="BE287" s="7">
        <v>0</v>
      </c>
      <c r="BF287" s="7">
        <v>0</v>
      </c>
      <c r="BG287" s="7">
        <v>0</v>
      </c>
      <c r="BH287" s="7">
        <v>0</v>
      </c>
      <c r="BI287" s="20">
        <v>0</v>
      </c>
      <c r="BJ287" s="7">
        <v>1</v>
      </c>
      <c r="BK287" s="11">
        <v>1</v>
      </c>
      <c r="BL287" s="3" t="s">
        <v>1129</v>
      </c>
      <c r="BM287" s="11">
        <v>1</v>
      </c>
    </row>
    <row r="288" spans="1:65" ht="30" customHeight="1" x14ac:dyDescent="0.3">
      <c r="A288" s="20" t="s">
        <v>18</v>
      </c>
      <c r="B288" s="20">
        <v>7</v>
      </c>
      <c r="C288" s="8">
        <v>44497</v>
      </c>
      <c r="D288" s="9">
        <v>0.25</v>
      </c>
      <c r="E288" s="4">
        <v>56</v>
      </c>
      <c r="F288" s="20">
        <v>0</v>
      </c>
      <c r="G288" s="20">
        <v>0</v>
      </c>
      <c r="H288" s="20">
        <v>0</v>
      </c>
      <c r="I288" s="20">
        <v>0</v>
      </c>
      <c r="J288" s="9">
        <v>0.85555555555555562</v>
      </c>
      <c r="K288" s="20">
        <v>140.80000000000001</v>
      </c>
      <c r="L288" s="11">
        <f t="shared" si="529"/>
        <v>140.80000000000001</v>
      </c>
      <c r="M288" s="5">
        <f t="shared" si="528"/>
        <v>1485</v>
      </c>
      <c r="N288" s="11">
        <v>30.5</v>
      </c>
      <c r="O288" s="11">
        <v>32.24</v>
      </c>
      <c r="P288" s="11">
        <v>10.625</v>
      </c>
      <c r="Q288" s="11">
        <v>10.75</v>
      </c>
      <c r="R288" s="11">
        <v>19.75</v>
      </c>
      <c r="S288" s="11">
        <v>20.125</v>
      </c>
      <c r="T288" s="30"/>
      <c r="U288" s="30"/>
      <c r="V288" s="30"/>
      <c r="W288" s="30"/>
      <c r="X288" s="30"/>
      <c r="Y288" s="30"/>
      <c r="Z288" s="20" t="s">
        <v>1451</v>
      </c>
      <c r="AA288" s="10" t="s">
        <v>1468</v>
      </c>
      <c r="AB288" s="5">
        <f>375+140+160+180+1350+540+240+180</f>
        <v>3165</v>
      </c>
      <c r="AC288" s="6">
        <f>15+6+12+16+84+3+2+12</f>
        <v>150</v>
      </c>
      <c r="AD288" s="6">
        <f>0+0+7+9+14+1+1+8</f>
        <v>40</v>
      </c>
      <c r="AE288" s="6">
        <f>0+0+12+12+15+18+8+15</f>
        <v>80</v>
      </c>
      <c r="AF288" s="6">
        <f>60+20+2+0+126+106+46+3</f>
        <v>363</v>
      </c>
      <c r="AG288" s="6">
        <f>0+0+0+0+6+4+2+0</f>
        <v>12</v>
      </c>
      <c r="AH288" s="6">
        <f>300+60+300+320+2040+900+630+420</f>
        <v>4970</v>
      </c>
      <c r="AI288" s="6">
        <f t="shared" si="519"/>
        <v>4.7393364928909949E-2</v>
      </c>
      <c r="AJ288" s="6">
        <f t="shared" si="520"/>
        <v>1.2638230647709321E-2</v>
      </c>
      <c r="AK288" s="6">
        <f t="shared" si="521"/>
        <v>2.5276461295418641E-2</v>
      </c>
      <c r="AL288" s="6">
        <f t="shared" si="522"/>
        <v>0.11469194312796209</v>
      </c>
      <c r="AM288" s="6">
        <f t="shared" si="523"/>
        <v>3.7914691943127963E-3</v>
      </c>
      <c r="AN288" s="6">
        <f t="shared" si="524"/>
        <v>1.570300157977883</v>
      </c>
      <c r="AO288" s="7">
        <v>6</v>
      </c>
      <c r="AP288" s="7">
        <v>2</v>
      </c>
      <c r="AQ288" s="7">
        <v>0</v>
      </c>
      <c r="AR288" s="28">
        <v>0</v>
      </c>
      <c r="AS288" s="28">
        <v>0</v>
      </c>
      <c r="AT288" s="28">
        <v>0</v>
      </c>
      <c r="AU288" s="27">
        <v>0</v>
      </c>
      <c r="AV288" s="28">
        <v>0</v>
      </c>
      <c r="AW288" s="7">
        <v>1</v>
      </c>
      <c r="AX288" s="7">
        <v>1</v>
      </c>
      <c r="AY288" s="5">
        <v>6</v>
      </c>
      <c r="AZ288" s="7">
        <v>0</v>
      </c>
      <c r="BA288" s="7">
        <v>1</v>
      </c>
      <c r="BB288" s="20">
        <v>0</v>
      </c>
      <c r="BC288" s="20">
        <v>1</v>
      </c>
      <c r="BD288" s="20">
        <v>1</v>
      </c>
      <c r="BE288" s="20">
        <v>0</v>
      </c>
      <c r="BF288" s="7">
        <v>0</v>
      </c>
      <c r="BG288" s="7">
        <v>0</v>
      </c>
      <c r="BH288" s="20">
        <v>0</v>
      </c>
      <c r="BI288" s="20">
        <v>0</v>
      </c>
      <c r="BJ288" s="20">
        <v>1</v>
      </c>
      <c r="BK288" s="11">
        <v>3</v>
      </c>
      <c r="BL288" s="3" t="s">
        <v>1448</v>
      </c>
      <c r="BM288" s="11">
        <v>1</v>
      </c>
    </row>
    <row r="289" spans="1:65" ht="30" customHeight="1" x14ac:dyDescent="0.3">
      <c r="A289" s="20" t="s">
        <v>137</v>
      </c>
      <c r="B289" s="20">
        <v>8</v>
      </c>
      <c r="C289" s="8">
        <v>44498</v>
      </c>
      <c r="D289" s="9">
        <v>0.25</v>
      </c>
      <c r="E289" s="4">
        <v>56</v>
      </c>
      <c r="F289" s="20">
        <v>0</v>
      </c>
      <c r="G289" s="20">
        <v>0</v>
      </c>
      <c r="H289" s="20">
        <v>0</v>
      </c>
      <c r="I289" s="20">
        <v>0</v>
      </c>
      <c r="J289" s="9">
        <v>0.65972222222222221</v>
      </c>
      <c r="K289" s="20">
        <v>139.80000000000001</v>
      </c>
      <c r="L289" s="11">
        <f t="shared" ref="L289" si="530">K289-K288</f>
        <v>-1</v>
      </c>
      <c r="M289" s="5">
        <f t="shared" ref="M289" si="531">AB288</f>
        <v>3165</v>
      </c>
      <c r="N289" s="11">
        <v>30.25</v>
      </c>
      <c r="O289" s="11">
        <v>32</v>
      </c>
      <c r="P289" s="11">
        <v>10.9375</v>
      </c>
      <c r="Q289" s="11">
        <v>10.75</v>
      </c>
      <c r="R289" s="11">
        <v>19.75</v>
      </c>
      <c r="S289" s="11">
        <v>19.75</v>
      </c>
      <c r="T289" s="30"/>
      <c r="U289" s="30"/>
      <c r="V289" s="30"/>
      <c r="W289" s="30"/>
      <c r="X289" s="30"/>
      <c r="Y289" s="30"/>
      <c r="Z289" s="20" t="s">
        <v>1450</v>
      </c>
      <c r="AA289" s="10" t="s">
        <v>1469</v>
      </c>
      <c r="AB289" s="5">
        <f>480+150+160+180+338+360+525</f>
        <v>2193</v>
      </c>
      <c r="AC289" s="6">
        <f>4+15+12+16+21+11+21</f>
        <v>100</v>
      </c>
      <c r="AD289" s="6">
        <f>1+9+7+9+3+2+0</f>
        <v>31</v>
      </c>
      <c r="AE289" s="6">
        <f>16+3+12+12+4+6+0</f>
        <v>53</v>
      </c>
      <c r="AF289" s="6">
        <f>92+3+2+0+32+66+84</f>
        <v>279</v>
      </c>
      <c r="AG289" s="6">
        <f>4+0+0+0+2+3+0</f>
        <v>9</v>
      </c>
      <c r="AH289" s="6">
        <f>1260+158+300+320+510+750+420</f>
        <v>3718</v>
      </c>
      <c r="AI289" s="6">
        <f t="shared" si="519"/>
        <v>4.5599635202918376E-2</v>
      </c>
      <c r="AJ289" s="6">
        <f t="shared" si="520"/>
        <v>1.4135886912904697E-2</v>
      </c>
      <c r="AK289" s="6">
        <f t="shared" si="521"/>
        <v>2.4167806657546739E-2</v>
      </c>
      <c r="AL289" s="6">
        <f t="shared" si="522"/>
        <v>0.12722298221614228</v>
      </c>
      <c r="AM289" s="6">
        <f t="shared" si="523"/>
        <v>4.1039671682626538E-3</v>
      </c>
      <c r="AN289" s="6">
        <f t="shared" si="524"/>
        <v>1.6953944368445053</v>
      </c>
      <c r="AO289" s="7">
        <v>6</v>
      </c>
      <c r="AP289" s="7">
        <v>1</v>
      </c>
      <c r="AQ289" s="7">
        <v>0</v>
      </c>
      <c r="AR289" s="27">
        <v>0</v>
      </c>
      <c r="AS289" s="27">
        <v>0</v>
      </c>
      <c r="AT289" s="27">
        <v>0</v>
      </c>
      <c r="AU289" s="27">
        <v>0</v>
      </c>
      <c r="AV289" s="27">
        <v>0</v>
      </c>
      <c r="AW289" s="7">
        <v>0</v>
      </c>
      <c r="AX289" s="7">
        <v>1</v>
      </c>
      <c r="AY289" s="5">
        <v>8.5</v>
      </c>
      <c r="AZ289" s="20">
        <v>0</v>
      </c>
      <c r="BA289" s="7">
        <v>1</v>
      </c>
      <c r="BB289" s="7">
        <v>0</v>
      </c>
      <c r="BC289" s="7">
        <v>1</v>
      </c>
      <c r="BD289" s="7">
        <v>1</v>
      </c>
      <c r="BE289" s="7">
        <v>0</v>
      </c>
      <c r="BF289" s="3">
        <v>1</v>
      </c>
      <c r="BG289" s="3">
        <v>20</v>
      </c>
      <c r="BH289" s="7">
        <v>0</v>
      </c>
      <c r="BI289" s="20">
        <v>0</v>
      </c>
      <c r="BJ289" s="7">
        <v>1</v>
      </c>
      <c r="BK289" s="11">
        <v>1</v>
      </c>
      <c r="BL289" s="7" t="s">
        <v>1129</v>
      </c>
      <c r="BM289" s="11">
        <v>1</v>
      </c>
    </row>
    <row r="290" spans="1:65" ht="30" customHeight="1" x14ac:dyDescent="0.3">
      <c r="A290" s="3" t="s">
        <v>19</v>
      </c>
      <c r="B290" s="3">
        <v>9</v>
      </c>
      <c r="C290" s="8">
        <v>44499</v>
      </c>
      <c r="D290" s="9">
        <v>0.25</v>
      </c>
      <c r="E290" s="4">
        <v>57</v>
      </c>
      <c r="F290" s="3">
        <v>0</v>
      </c>
      <c r="G290" s="3">
        <v>0</v>
      </c>
      <c r="H290" s="3">
        <v>0</v>
      </c>
      <c r="I290" s="3">
        <v>0</v>
      </c>
      <c r="J290" s="9">
        <v>0.27777777777777779</v>
      </c>
      <c r="K290" s="20">
        <v>141</v>
      </c>
      <c r="L290" s="11">
        <f t="shared" ref="L290" si="532">K290-K289</f>
        <v>1.1999999999999886</v>
      </c>
      <c r="M290" s="5">
        <f t="shared" ref="M290" si="533">AB289</f>
        <v>2193</v>
      </c>
      <c r="N290" s="11">
        <v>31.25</v>
      </c>
      <c r="O290" s="11">
        <v>32.25</v>
      </c>
      <c r="P290" s="11">
        <v>10.5</v>
      </c>
      <c r="Q290" s="11">
        <v>10.75</v>
      </c>
      <c r="R290" s="11">
        <v>19.5</v>
      </c>
      <c r="S290" s="11">
        <v>19.75</v>
      </c>
      <c r="T290" s="30"/>
      <c r="U290" s="30"/>
      <c r="V290" s="30"/>
      <c r="W290" s="30"/>
      <c r="X290" s="30"/>
      <c r="Y290" s="30"/>
      <c r="Z290" s="20" t="s">
        <v>1454</v>
      </c>
      <c r="AA290" s="10" t="s">
        <v>1471</v>
      </c>
      <c r="AB290" s="5">
        <f>240+160+170+400+225+135+200+60+70</f>
        <v>1660</v>
      </c>
      <c r="AC290" s="6">
        <f>3+12+15+0+9+5+2+4+6</f>
        <v>56</v>
      </c>
      <c r="AD290" s="6">
        <f>1+7+2+0+0+2+0+3+4</f>
        <v>19</v>
      </c>
      <c r="AE290" s="6">
        <f>9+12+6+5+0+0+8+5+5</f>
        <v>50</v>
      </c>
      <c r="AF290" s="6">
        <f>47+2+5+95+36+20+40+1+0</f>
        <v>246</v>
      </c>
      <c r="AG290" s="6">
        <f>3+0+2+0+0+0+10+0+0</f>
        <v>15</v>
      </c>
      <c r="AH290" s="6">
        <f>600+300+85+100+180+0+360+140+35</f>
        <v>1800</v>
      </c>
      <c r="AI290" s="6">
        <f t="shared" si="519"/>
        <v>3.3734939759036145E-2</v>
      </c>
      <c r="AJ290" s="6">
        <f t="shared" si="520"/>
        <v>1.144578313253012E-2</v>
      </c>
      <c r="AK290" s="6">
        <f t="shared" si="521"/>
        <v>3.0120481927710843E-2</v>
      </c>
      <c r="AL290" s="6">
        <f t="shared" si="522"/>
        <v>0.14819277108433734</v>
      </c>
      <c r="AM290" s="6">
        <f t="shared" si="523"/>
        <v>9.0361445783132526E-3</v>
      </c>
      <c r="AN290" s="6">
        <f t="shared" si="524"/>
        <v>1.0843373493975903</v>
      </c>
      <c r="AO290" s="7">
        <v>5</v>
      </c>
      <c r="AP290" s="7">
        <v>0</v>
      </c>
      <c r="AQ290" s="7">
        <v>0</v>
      </c>
      <c r="AR290" s="28">
        <v>0</v>
      </c>
      <c r="AS290" s="28">
        <v>0</v>
      </c>
      <c r="AT290" s="28">
        <v>0</v>
      </c>
      <c r="AU290" s="27">
        <v>0</v>
      </c>
      <c r="AV290" s="28">
        <v>0</v>
      </c>
      <c r="AW290" s="7">
        <v>1</v>
      </c>
      <c r="AX290" s="7">
        <v>1</v>
      </c>
      <c r="AY290" s="5">
        <v>6</v>
      </c>
      <c r="AZ290" s="20">
        <v>0</v>
      </c>
      <c r="BA290" s="7">
        <v>0</v>
      </c>
      <c r="BB290" s="7">
        <v>0</v>
      </c>
      <c r="BC290" s="20">
        <v>1</v>
      </c>
      <c r="BD290" s="20">
        <v>1</v>
      </c>
      <c r="BE290" s="20">
        <v>0</v>
      </c>
      <c r="BF290" s="7">
        <v>0</v>
      </c>
      <c r="BG290" s="7">
        <v>0</v>
      </c>
      <c r="BH290" s="20">
        <v>0</v>
      </c>
      <c r="BI290" s="20">
        <v>0</v>
      </c>
      <c r="BK290" s="11">
        <v>1</v>
      </c>
      <c r="BL290" s="3" t="s">
        <v>1129</v>
      </c>
      <c r="BM290" s="11">
        <f>5/3</f>
        <v>1.6666666666666667</v>
      </c>
    </row>
    <row r="291" spans="1:65" ht="30" customHeight="1" x14ac:dyDescent="0.3">
      <c r="A291" s="20" t="s">
        <v>23</v>
      </c>
      <c r="B291" s="20">
        <v>10</v>
      </c>
      <c r="C291" s="8">
        <v>44500</v>
      </c>
      <c r="D291" s="9">
        <v>0.25</v>
      </c>
      <c r="E291" s="4">
        <v>60</v>
      </c>
      <c r="F291" s="20">
        <v>0</v>
      </c>
      <c r="G291" s="20">
        <v>0</v>
      </c>
      <c r="H291" s="20">
        <v>0</v>
      </c>
      <c r="I291" s="20">
        <v>0</v>
      </c>
      <c r="J291" s="29"/>
      <c r="K291" s="33"/>
      <c r="L291" s="30"/>
      <c r="M291" s="31"/>
      <c r="N291" s="30"/>
      <c r="O291" s="30"/>
      <c r="P291" s="30"/>
      <c r="Q291" s="30"/>
      <c r="R291" s="30"/>
      <c r="S291" s="30"/>
      <c r="T291" s="30"/>
      <c r="U291" s="30"/>
      <c r="V291" s="30"/>
      <c r="W291" s="30"/>
      <c r="X291" s="30"/>
      <c r="Y291" s="30"/>
      <c r="Z291" s="20" t="s">
        <v>1455</v>
      </c>
      <c r="AA291" s="10" t="s">
        <v>1470</v>
      </c>
      <c r="AB291" s="5">
        <f>400+360+160+180+120+140+60</f>
        <v>1420</v>
      </c>
      <c r="AC291" s="6">
        <f>0+0+12+16+8+12+2</f>
        <v>50</v>
      </c>
      <c r="AD291" s="6">
        <f>0+0+7+9+5+7+1</f>
        <v>29</v>
      </c>
      <c r="AE291" s="6">
        <f>5+12+12+12+10+10+0</f>
        <v>61</v>
      </c>
      <c r="AF291" s="6">
        <f>95+78+2+0+2+0+9</f>
        <v>186</v>
      </c>
      <c r="AG291" s="6">
        <f>0+2+0+0+0+0+0</f>
        <v>2</v>
      </c>
      <c r="AH291" s="6">
        <f>100+420+300+320+280+70+0</f>
        <v>1490</v>
      </c>
      <c r="AI291" s="6">
        <f t="shared" si="519"/>
        <v>3.5211267605633804E-2</v>
      </c>
      <c r="AJ291" s="6">
        <f t="shared" si="520"/>
        <v>2.0422535211267606E-2</v>
      </c>
      <c r="AK291" s="6">
        <f t="shared" si="521"/>
        <v>4.2957746478873238E-2</v>
      </c>
      <c r="AL291" s="6">
        <f t="shared" si="522"/>
        <v>0.13098591549295774</v>
      </c>
      <c r="AM291" s="6">
        <f t="shared" si="523"/>
        <v>1.4084507042253522E-3</v>
      </c>
      <c r="AN291" s="6">
        <f t="shared" si="524"/>
        <v>1.0492957746478873</v>
      </c>
      <c r="AO291" s="7">
        <v>5</v>
      </c>
      <c r="AP291" s="7">
        <v>0</v>
      </c>
      <c r="AQ291" s="7">
        <v>0</v>
      </c>
      <c r="AR291" s="27">
        <v>0</v>
      </c>
      <c r="AS291" s="27">
        <v>0</v>
      </c>
      <c r="AT291" s="27">
        <v>0</v>
      </c>
      <c r="AU291" s="27">
        <v>0</v>
      </c>
      <c r="AV291" s="27">
        <v>0</v>
      </c>
      <c r="AW291" s="7">
        <v>1</v>
      </c>
      <c r="AX291" s="7">
        <v>1</v>
      </c>
      <c r="AY291" s="5">
        <v>8</v>
      </c>
      <c r="AZ291" s="20">
        <v>0</v>
      </c>
      <c r="BA291" s="7">
        <v>1</v>
      </c>
      <c r="BB291" s="7">
        <v>0</v>
      </c>
      <c r="BC291" s="7">
        <v>1</v>
      </c>
      <c r="BD291" s="7">
        <v>1</v>
      </c>
      <c r="BE291" s="7">
        <v>0</v>
      </c>
      <c r="BF291" s="7">
        <v>0</v>
      </c>
      <c r="BG291" s="7">
        <v>0</v>
      </c>
      <c r="BH291" s="7">
        <v>0</v>
      </c>
      <c r="BI291" s="20">
        <v>0</v>
      </c>
      <c r="BJ291" s="7">
        <v>0</v>
      </c>
      <c r="BK291" s="11">
        <v>1</v>
      </c>
      <c r="BL291" s="3" t="s">
        <v>1129</v>
      </c>
      <c r="BM291" s="11">
        <f>5/3</f>
        <v>1.6666666666666667</v>
      </c>
    </row>
    <row r="292" spans="1:65" ht="30" customHeight="1" x14ac:dyDescent="0.3">
      <c r="A292" s="20" t="s">
        <v>1449</v>
      </c>
      <c r="B292" s="20">
        <v>11</v>
      </c>
      <c r="C292" s="8">
        <v>44501</v>
      </c>
      <c r="D292" s="9">
        <v>0.25</v>
      </c>
      <c r="E292" s="4">
        <v>51</v>
      </c>
      <c r="F292" s="3">
        <v>0</v>
      </c>
      <c r="G292" s="3">
        <v>0</v>
      </c>
      <c r="H292" s="3">
        <v>0</v>
      </c>
      <c r="I292" s="3">
        <v>0</v>
      </c>
      <c r="J292" s="29"/>
      <c r="K292" s="33"/>
      <c r="L292" s="30"/>
      <c r="M292" s="31"/>
      <c r="N292" s="30"/>
      <c r="O292" s="30"/>
      <c r="P292" s="30"/>
      <c r="Q292" s="30"/>
      <c r="R292" s="30"/>
      <c r="S292" s="30"/>
      <c r="T292" s="30"/>
      <c r="U292" s="30"/>
      <c r="V292" s="30"/>
      <c r="W292" s="30"/>
      <c r="X292" s="30"/>
      <c r="Y292" s="30"/>
      <c r="Z292" s="20" t="s">
        <v>1456</v>
      </c>
      <c r="AA292" s="10" t="s">
        <v>1472</v>
      </c>
      <c r="AB292" s="5">
        <f>60+540+210+60+480+160+90+120</f>
        <v>1720</v>
      </c>
      <c r="AC292" s="6">
        <f>2+0+18+4+28+12+8+3</f>
        <v>75</v>
      </c>
      <c r="AD292" s="6">
        <f>1+0+11+3+16+7+5+2</f>
        <v>45</v>
      </c>
      <c r="AE292" s="6">
        <f>0+18+15+5+38+12+6+2</f>
        <v>96</v>
      </c>
      <c r="AF292" s="6">
        <f>9+117+0+1+18+2+0+20</f>
        <v>167</v>
      </c>
      <c r="AG292" s="6">
        <f>0+3+0+0+6+0+0+1</f>
        <v>10</v>
      </c>
      <c r="AH292" s="6">
        <f>0+630+105+140+740+300+160+410</f>
        <v>2485</v>
      </c>
      <c r="AI292" s="6">
        <f t="shared" si="519"/>
        <v>4.3604651162790699E-2</v>
      </c>
      <c r="AJ292" s="6">
        <f t="shared" si="520"/>
        <v>2.616279069767442E-2</v>
      </c>
      <c r="AK292" s="6">
        <f t="shared" si="521"/>
        <v>5.5813953488372092E-2</v>
      </c>
      <c r="AL292" s="6">
        <f t="shared" si="522"/>
        <v>9.7093023255813954E-2</v>
      </c>
      <c r="AM292" s="6">
        <f t="shared" si="523"/>
        <v>5.8139534883720929E-3</v>
      </c>
      <c r="AN292" s="6">
        <f t="shared" si="524"/>
        <v>1.444767441860465</v>
      </c>
      <c r="AO292" s="7">
        <v>6</v>
      </c>
      <c r="AP292" s="7">
        <v>1</v>
      </c>
      <c r="AQ292" s="7">
        <v>0</v>
      </c>
      <c r="AR292" s="28">
        <v>0</v>
      </c>
      <c r="AS292" s="28">
        <v>0</v>
      </c>
      <c r="AT292" s="28">
        <v>0</v>
      </c>
      <c r="AU292" s="27">
        <v>0</v>
      </c>
      <c r="AV292" s="28">
        <v>0</v>
      </c>
      <c r="AW292" s="7">
        <v>1</v>
      </c>
      <c r="AX292" s="7">
        <v>1</v>
      </c>
      <c r="AY292" s="5">
        <v>5</v>
      </c>
      <c r="AZ292" s="20">
        <v>0</v>
      </c>
      <c r="BA292" s="7">
        <v>1</v>
      </c>
      <c r="BB292" s="7">
        <v>0</v>
      </c>
      <c r="BC292" s="20">
        <v>1</v>
      </c>
      <c r="BD292" s="20">
        <v>1</v>
      </c>
      <c r="BE292" s="20">
        <v>0</v>
      </c>
      <c r="BF292" s="7">
        <v>0</v>
      </c>
      <c r="BG292" s="7">
        <v>0</v>
      </c>
      <c r="BH292" s="20">
        <v>0</v>
      </c>
      <c r="BI292" s="20">
        <v>0</v>
      </c>
      <c r="BJ292" s="7">
        <v>1</v>
      </c>
      <c r="BK292" s="11">
        <v>1</v>
      </c>
      <c r="BL292" s="3" t="s">
        <v>1129</v>
      </c>
      <c r="BM292" s="11">
        <v>1.67</v>
      </c>
    </row>
    <row r="293" spans="1:65" s="26" customFormat="1" ht="30" customHeight="1" x14ac:dyDescent="0.3">
      <c r="A293" s="26" t="s">
        <v>16</v>
      </c>
      <c r="B293" s="26">
        <v>12</v>
      </c>
      <c r="C293" s="34">
        <v>44502</v>
      </c>
      <c r="D293" s="35">
        <v>0.25</v>
      </c>
      <c r="E293" s="36">
        <v>52</v>
      </c>
      <c r="F293" s="26">
        <v>0</v>
      </c>
      <c r="G293" s="26">
        <v>0</v>
      </c>
      <c r="H293" s="26">
        <v>0</v>
      </c>
      <c r="I293" s="26">
        <v>0</v>
      </c>
      <c r="J293" s="35">
        <v>0.35486111111111113</v>
      </c>
      <c r="K293" s="26">
        <v>142.6</v>
      </c>
      <c r="L293" s="37">
        <f t="shared" ref="L293" si="534">K293-K292</f>
        <v>142.6</v>
      </c>
      <c r="M293" s="38">
        <f t="shared" ref="M293:M304" si="535">AB292</f>
        <v>1720</v>
      </c>
      <c r="N293" s="37">
        <v>30.25</v>
      </c>
      <c r="O293" s="37">
        <v>32.25</v>
      </c>
      <c r="P293" s="37">
        <v>10.625</v>
      </c>
      <c r="Q293" s="37">
        <v>10.625</v>
      </c>
      <c r="R293" s="37">
        <v>19.375</v>
      </c>
      <c r="S293" s="37">
        <v>19.625</v>
      </c>
      <c r="T293" s="39"/>
      <c r="U293" s="39"/>
      <c r="V293" s="39"/>
      <c r="W293" s="39"/>
      <c r="X293" s="39"/>
      <c r="Y293" s="39"/>
      <c r="Z293" s="26" t="s">
        <v>1474</v>
      </c>
      <c r="AA293" s="26" t="s">
        <v>1473</v>
      </c>
      <c r="AB293" s="38">
        <f>440+360+420+90+360+120+400</f>
        <v>2190</v>
      </c>
      <c r="AC293" s="38">
        <f>10+9+36+8+0+4+0</f>
        <v>67</v>
      </c>
      <c r="AD293" s="38">
        <f>4+6+21+5+0+2+0</f>
        <v>38</v>
      </c>
      <c r="AE293" s="38">
        <f>12+6+30+6+12+0+5</f>
        <v>71</v>
      </c>
      <c r="AF293" s="38">
        <f>76+60+0+0+78+18+95</f>
        <v>327</v>
      </c>
      <c r="AG293" s="38">
        <f>8+3+0+0+2+0+0</f>
        <v>13</v>
      </c>
      <c r="AH293" s="38">
        <f>1360+1230+210+160+420+0+100</f>
        <v>3480</v>
      </c>
      <c r="AI293" s="38">
        <f t="shared" si="519"/>
        <v>3.0593607305936073E-2</v>
      </c>
      <c r="AJ293" s="38">
        <f t="shared" si="520"/>
        <v>1.7351598173515982E-2</v>
      </c>
      <c r="AK293" s="38">
        <f t="shared" si="521"/>
        <v>3.2420091324200914E-2</v>
      </c>
      <c r="AL293" s="38">
        <f t="shared" si="522"/>
        <v>0.14931506849315068</v>
      </c>
      <c r="AM293" s="38">
        <f t="shared" si="523"/>
        <v>5.9360730593607308E-3</v>
      </c>
      <c r="AN293" s="38">
        <f t="shared" si="524"/>
        <v>1.5890410958904109</v>
      </c>
      <c r="AO293" s="27">
        <v>6</v>
      </c>
      <c r="AP293" s="27">
        <v>1</v>
      </c>
      <c r="AQ293" s="27">
        <v>0</v>
      </c>
      <c r="AR293" s="27">
        <v>0</v>
      </c>
      <c r="AS293" s="27">
        <v>0</v>
      </c>
      <c r="AT293" s="27">
        <v>0</v>
      </c>
      <c r="AU293" s="27">
        <v>0</v>
      </c>
      <c r="AV293" s="27">
        <v>0</v>
      </c>
      <c r="AW293" s="27">
        <v>1</v>
      </c>
      <c r="AX293" s="27">
        <v>1</v>
      </c>
      <c r="AY293" s="38">
        <v>6</v>
      </c>
      <c r="AZ293" s="26">
        <v>0</v>
      </c>
      <c r="BA293" s="27">
        <v>0</v>
      </c>
      <c r="BB293" s="27">
        <v>0</v>
      </c>
      <c r="BC293" s="27">
        <v>1</v>
      </c>
      <c r="BD293" s="27">
        <v>1</v>
      </c>
      <c r="BE293" s="27">
        <v>0</v>
      </c>
      <c r="BF293" s="27">
        <v>0</v>
      </c>
      <c r="BG293" s="27">
        <v>0</v>
      </c>
      <c r="BH293" s="27">
        <v>0</v>
      </c>
      <c r="BI293" s="26">
        <v>0</v>
      </c>
      <c r="BJ293" s="27">
        <v>0</v>
      </c>
      <c r="BK293" s="37">
        <v>2</v>
      </c>
      <c r="BL293" s="27" t="s">
        <v>1129</v>
      </c>
      <c r="BM293" s="37">
        <v>1.67</v>
      </c>
    </row>
    <row r="294" spans="1:65" s="28" customFormat="1" ht="25.05" customHeight="1" x14ac:dyDescent="0.3">
      <c r="A294" s="28" t="s">
        <v>17</v>
      </c>
      <c r="B294" s="28">
        <v>13</v>
      </c>
      <c r="C294" s="40">
        <v>44503</v>
      </c>
      <c r="D294" s="41">
        <v>0.25</v>
      </c>
      <c r="E294" s="27">
        <v>75</v>
      </c>
      <c r="F294" s="28">
        <v>0</v>
      </c>
      <c r="G294" s="28">
        <v>0</v>
      </c>
      <c r="H294" s="28">
        <v>0</v>
      </c>
      <c r="I294" s="28">
        <v>0</v>
      </c>
      <c r="J294" s="43"/>
      <c r="K294" s="43"/>
      <c r="L294" s="42"/>
      <c r="M294" s="38">
        <f t="shared" si="535"/>
        <v>2190</v>
      </c>
      <c r="N294" s="42"/>
      <c r="O294" s="42"/>
      <c r="P294" s="42"/>
      <c r="Q294" s="42"/>
      <c r="R294" s="42"/>
      <c r="S294" s="42"/>
      <c r="T294" s="42"/>
      <c r="U294" s="42"/>
      <c r="V294" s="42"/>
      <c r="W294" s="42"/>
      <c r="X294" s="42"/>
      <c r="Y294" s="42"/>
      <c r="Z294" s="28" t="s">
        <v>1477</v>
      </c>
      <c r="AA294" s="28" t="s">
        <v>1481</v>
      </c>
      <c r="AB294" s="38">
        <f>220+140+180+200+60+70+340+320</f>
        <v>1530</v>
      </c>
      <c r="AC294" s="38">
        <f>5+12+6+2+4+5+30+26</f>
        <v>90</v>
      </c>
      <c r="AD294" s="38">
        <f>2+7+3+0+3+3+4+3</f>
        <v>25</v>
      </c>
      <c r="AE294" s="38">
        <f>6+10+0+8+5+4+12+12</f>
        <v>57</v>
      </c>
      <c r="AF294" s="38">
        <f>38+0+27+38+1+0+10+16</f>
        <v>130</v>
      </c>
      <c r="AG294" s="38">
        <f>4+0+0+4+0+0+4+6</f>
        <v>18</v>
      </c>
      <c r="AH294" s="38">
        <f>680+70+0+400+140+105+170+270</f>
        <v>1835</v>
      </c>
      <c r="AI294" s="6">
        <f t="shared" si="519"/>
        <v>5.8823529411764705E-2</v>
      </c>
      <c r="AJ294" s="6">
        <f t="shared" si="520"/>
        <v>1.6339869281045753E-2</v>
      </c>
      <c r="AK294" s="6">
        <f t="shared" si="521"/>
        <v>3.7254901960784313E-2</v>
      </c>
      <c r="AL294" s="6">
        <f t="shared" si="522"/>
        <v>8.4967320261437912E-2</v>
      </c>
      <c r="AM294" s="6">
        <f t="shared" si="523"/>
        <v>1.1764705882352941E-2</v>
      </c>
      <c r="AN294" s="6">
        <f t="shared" si="524"/>
        <v>1.1993464052287581</v>
      </c>
      <c r="AO294" s="27">
        <v>7</v>
      </c>
      <c r="AP294" s="27">
        <v>1</v>
      </c>
      <c r="AQ294" s="27">
        <v>0</v>
      </c>
      <c r="AR294" s="28">
        <v>0</v>
      </c>
      <c r="AS294" s="28">
        <v>0</v>
      </c>
      <c r="AT294" s="28">
        <v>0</v>
      </c>
      <c r="AU294" s="27">
        <v>0</v>
      </c>
      <c r="AV294" s="28">
        <v>0</v>
      </c>
      <c r="AW294" s="28">
        <v>0</v>
      </c>
      <c r="AX294" s="28">
        <v>1</v>
      </c>
      <c r="AY294" s="38">
        <v>7</v>
      </c>
      <c r="AZ294" s="20">
        <v>0</v>
      </c>
      <c r="BA294" s="28">
        <v>1</v>
      </c>
      <c r="BB294" s="7">
        <v>0</v>
      </c>
      <c r="BC294" s="20">
        <v>1</v>
      </c>
      <c r="BD294" s="20">
        <v>1</v>
      </c>
      <c r="BE294" s="20">
        <v>0</v>
      </c>
      <c r="BF294" s="7">
        <v>0</v>
      </c>
      <c r="BG294" s="7">
        <v>0</v>
      </c>
      <c r="BH294" s="20">
        <v>0</v>
      </c>
      <c r="BI294" s="20">
        <v>0</v>
      </c>
      <c r="BJ294" s="7">
        <v>0</v>
      </c>
      <c r="BK294" s="38">
        <v>0</v>
      </c>
      <c r="BL294" s="28">
        <v>0</v>
      </c>
      <c r="BM294" s="38">
        <v>1.67</v>
      </c>
    </row>
    <row r="295" spans="1:65" s="28" customFormat="1" ht="25.05" customHeight="1" x14ac:dyDescent="0.3">
      <c r="A295" s="28" t="s">
        <v>18</v>
      </c>
      <c r="B295" s="28">
        <v>14</v>
      </c>
      <c r="C295" s="40">
        <v>44504</v>
      </c>
      <c r="D295" s="41">
        <v>0.25</v>
      </c>
      <c r="E295" s="27">
        <v>52</v>
      </c>
      <c r="F295" s="28">
        <v>0</v>
      </c>
      <c r="G295" s="28">
        <v>0</v>
      </c>
      <c r="H295" s="28">
        <v>0</v>
      </c>
      <c r="I295" s="28">
        <v>0</v>
      </c>
      <c r="J295" s="43"/>
      <c r="K295" s="43"/>
      <c r="L295" s="42"/>
      <c r="M295" s="38">
        <f t="shared" si="535"/>
        <v>1530</v>
      </c>
      <c r="N295" s="42"/>
      <c r="O295" s="42"/>
      <c r="P295" s="42"/>
      <c r="Q295" s="42"/>
      <c r="R295" s="42"/>
      <c r="S295" s="42"/>
      <c r="T295" s="42"/>
      <c r="U295" s="42"/>
      <c r="V295" s="42"/>
      <c r="W295" s="42"/>
      <c r="X295" s="42"/>
      <c r="Y295" s="42"/>
      <c r="Z295" s="28" t="s">
        <v>1478</v>
      </c>
      <c r="AA295" s="28" t="s">
        <v>1482</v>
      </c>
      <c r="AB295" s="38">
        <f>930+350+240+320+480+60+160</f>
        <v>2540</v>
      </c>
      <c r="AC295" s="38">
        <f>18+25+16+26+0+2+13</f>
        <v>100</v>
      </c>
      <c r="AD295" s="38">
        <f>3+15+10+3+0+1+2</f>
        <v>34</v>
      </c>
      <c r="AE295" s="38">
        <f>27+20+20+12+6+0+6</f>
        <v>91</v>
      </c>
      <c r="AF295" s="38">
        <f>159+0+4+16+114+9+8</f>
        <v>310</v>
      </c>
      <c r="AG295" s="38">
        <f>6+0+0+6+0+0+3</f>
        <v>15</v>
      </c>
      <c r="AH295" s="38">
        <f>2580+525+560+270+120+0+135</f>
        <v>4190</v>
      </c>
      <c r="AI295" s="38">
        <f t="shared" si="519"/>
        <v>3.937007874015748E-2</v>
      </c>
      <c r="AJ295" s="38">
        <f t="shared" si="520"/>
        <v>1.3385826771653543E-2</v>
      </c>
      <c r="AK295" s="38">
        <f t="shared" si="521"/>
        <v>3.582677165354331E-2</v>
      </c>
      <c r="AL295" s="38">
        <f t="shared" si="522"/>
        <v>0.12204724409448819</v>
      </c>
      <c r="AM295" s="38">
        <f t="shared" si="523"/>
        <v>5.905511811023622E-3</v>
      </c>
      <c r="AN295" s="38">
        <f t="shared" si="524"/>
        <v>1.6496062992125984</v>
      </c>
      <c r="AO295" s="27">
        <v>6</v>
      </c>
      <c r="AP295" s="27">
        <v>1</v>
      </c>
      <c r="AQ295" s="27">
        <v>0</v>
      </c>
      <c r="AR295" s="27">
        <v>0</v>
      </c>
      <c r="AS295" s="27">
        <v>0</v>
      </c>
      <c r="AT295" s="27">
        <v>0</v>
      </c>
      <c r="AU295" s="27">
        <v>0</v>
      </c>
      <c r="AV295" s="27">
        <v>0</v>
      </c>
      <c r="AW295" s="28">
        <v>1</v>
      </c>
      <c r="AX295" s="28">
        <v>1</v>
      </c>
      <c r="AY295" s="38">
        <v>4</v>
      </c>
      <c r="AZ295" s="26">
        <v>0</v>
      </c>
      <c r="BA295" s="28">
        <v>0</v>
      </c>
      <c r="BB295" s="27">
        <v>0</v>
      </c>
      <c r="BC295" s="27">
        <v>1</v>
      </c>
      <c r="BD295" s="27">
        <v>1</v>
      </c>
      <c r="BE295" s="27">
        <v>0</v>
      </c>
      <c r="BF295" s="27">
        <v>0</v>
      </c>
      <c r="BG295" s="27">
        <v>0</v>
      </c>
      <c r="BH295" s="27">
        <v>0</v>
      </c>
      <c r="BI295" s="26">
        <v>0</v>
      </c>
      <c r="BJ295" s="27">
        <v>0</v>
      </c>
      <c r="BK295" s="38">
        <v>2</v>
      </c>
      <c r="BL295" s="28" t="s">
        <v>1476</v>
      </c>
      <c r="BM295" s="38">
        <v>1.67</v>
      </c>
    </row>
    <row r="296" spans="1:65" s="25" customFormat="1" ht="25.05" customHeight="1" x14ac:dyDescent="0.3">
      <c r="A296" s="25" t="s">
        <v>137</v>
      </c>
      <c r="B296" s="25">
        <v>15</v>
      </c>
      <c r="C296" s="44">
        <v>44505</v>
      </c>
      <c r="D296" s="45">
        <v>0.25</v>
      </c>
      <c r="E296" s="46">
        <v>52</v>
      </c>
      <c r="F296" s="25">
        <v>0</v>
      </c>
      <c r="G296" s="25">
        <v>0</v>
      </c>
      <c r="H296" s="25">
        <v>0</v>
      </c>
      <c r="I296" s="25">
        <v>0</v>
      </c>
      <c r="J296" s="52"/>
      <c r="K296" s="52"/>
      <c r="L296" s="53"/>
      <c r="M296" s="38">
        <f t="shared" si="535"/>
        <v>2540</v>
      </c>
      <c r="N296" s="53"/>
      <c r="O296" s="53"/>
      <c r="P296" s="53"/>
      <c r="Q296" s="53"/>
      <c r="R296" s="53"/>
      <c r="S296" s="53"/>
      <c r="T296" s="48"/>
      <c r="U296" s="48"/>
      <c r="V296" s="48"/>
      <c r="W296" s="48"/>
      <c r="X296" s="48"/>
      <c r="Y296" s="48"/>
      <c r="Z296" s="25" t="s">
        <v>1480</v>
      </c>
      <c r="AA296" s="25" t="s">
        <v>1484</v>
      </c>
      <c r="AB296" s="49">
        <f>400+350+110+180+150+563+120</f>
        <v>1873</v>
      </c>
      <c r="AC296" s="49">
        <f>4+25+3+12+15+23+4</f>
        <v>86</v>
      </c>
      <c r="AD296" s="49">
        <f>0+15+1+8+9+13+2</f>
        <v>48</v>
      </c>
      <c r="AE296" s="49">
        <f>16+20+3+15+3+8+0</f>
        <v>65</v>
      </c>
      <c r="AF296" s="49">
        <f>76+0+19+3+3+86+18</f>
        <v>205</v>
      </c>
      <c r="AG296" s="49">
        <f>8+0+2+0+0+4+0</f>
        <v>14</v>
      </c>
      <c r="AH296" s="49">
        <f>800+525+340+420+158+1800+0</f>
        <v>4043</v>
      </c>
      <c r="AI296" s="6">
        <f t="shared" si="519"/>
        <v>4.591564335290977E-2</v>
      </c>
      <c r="AJ296" s="6">
        <f t="shared" si="520"/>
        <v>2.562733582487987E-2</v>
      </c>
      <c r="AK296" s="6">
        <f t="shared" si="521"/>
        <v>3.4703683929524824E-2</v>
      </c>
      <c r="AL296" s="6">
        <f t="shared" si="522"/>
        <v>0.10945008008542445</v>
      </c>
      <c r="AM296" s="6">
        <f t="shared" si="523"/>
        <v>7.4746396155899626E-3</v>
      </c>
      <c r="AN296" s="6">
        <f t="shared" si="524"/>
        <v>2.1585691404164442</v>
      </c>
      <c r="AO296" s="50">
        <v>6</v>
      </c>
      <c r="AP296" s="50">
        <v>1</v>
      </c>
      <c r="AQ296" s="50">
        <v>0</v>
      </c>
      <c r="AR296" s="51">
        <v>0</v>
      </c>
      <c r="AS296" s="51">
        <v>0</v>
      </c>
      <c r="AT296" s="51">
        <v>0</v>
      </c>
      <c r="AU296" s="50">
        <v>0</v>
      </c>
      <c r="AV296" s="51">
        <v>0</v>
      </c>
      <c r="AW296" s="25">
        <v>1</v>
      </c>
      <c r="AX296" s="25">
        <v>1</v>
      </c>
      <c r="AY296" s="49">
        <v>8</v>
      </c>
      <c r="AZ296" s="25">
        <v>0</v>
      </c>
      <c r="BA296" s="25">
        <v>0</v>
      </c>
      <c r="BB296" s="25">
        <v>0</v>
      </c>
      <c r="BC296" s="25">
        <v>1</v>
      </c>
      <c r="BD296" s="25">
        <v>1</v>
      </c>
      <c r="BE296" s="25">
        <v>0</v>
      </c>
      <c r="BF296" s="25">
        <v>1</v>
      </c>
      <c r="BG296" s="25">
        <v>20</v>
      </c>
      <c r="BH296" s="25">
        <v>0</v>
      </c>
      <c r="BI296" s="25">
        <v>0</v>
      </c>
      <c r="BJ296" s="25">
        <v>0</v>
      </c>
      <c r="BK296" s="47">
        <v>1</v>
      </c>
      <c r="BL296" s="25" t="s">
        <v>1479</v>
      </c>
      <c r="BM296" s="47">
        <v>1.6666666666666667</v>
      </c>
    </row>
    <row r="297" spans="1:65" ht="30" customHeight="1" x14ac:dyDescent="0.3">
      <c r="A297" s="3" t="s">
        <v>19</v>
      </c>
      <c r="B297" s="3">
        <v>16</v>
      </c>
      <c r="C297" s="8">
        <v>44506</v>
      </c>
      <c r="D297" s="9">
        <v>0.25</v>
      </c>
      <c r="E297" s="4">
        <v>56</v>
      </c>
      <c r="F297" s="3">
        <v>0</v>
      </c>
      <c r="G297" s="3">
        <v>0</v>
      </c>
      <c r="H297" s="3">
        <v>0</v>
      </c>
      <c r="I297" s="3">
        <v>0</v>
      </c>
      <c r="J297" s="54"/>
      <c r="K297" s="54"/>
      <c r="L297" s="55"/>
      <c r="M297" s="38">
        <f t="shared" si="535"/>
        <v>1873</v>
      </c>
      <c r="N297" s="55"/>
      <c r="O297" s="55"/>
      <c r="P297" s="55"/>
      <c r="Q297" s="55"/>
      <c r="R297" s="55"/>
      <c r="S297" s="55"/>
      <c r="T297" s="30"/>
      <c r="U297" s="30"/>
      <c r="V297" s="30"/>
      <c r="W297" s="30"/>
      <c r="X297" s="30"/>
      <c r="Y297" s="30"/>
      <c r="Z297" s="3" t="s">
        <v>1486</v>
      </c>
      <c r="AA297" s="10" t="s">
        <v>1489</v>
      </c>
      <c r="AB297" s="5">
        <f>360+120+210+320+340+560+280+110+480</f>
        <v>2780</v>
      </c>
      <c r="AC297" s="6">
        <f>0+8+15+26+30+0+8+3+16</f>
        <v>106</v>
      </c>
      <c r="AD297" s="6">
        <f>0+5+9+3+4+0+2+1+8</f>
        <v>32</v>
      </c>
      <c r="AE297" s="6">
        <f>12+10+12+12+12+7+8+3+0</f>
        <v>76</v>
      </c>
      <c r="AF297" s="6">
        <f>78+2+0+16+10+133+42+19+72</f>
        <v>372</v>
      </c>
      <c r="AG297" s="6">
        <f>2+0+0+6+4+0+2+2+0</f>
        <v>16</v>
      </c>
      <c r="AH297" s="6">
        <f>420+280+315+270+170+140+660+340+0</f>
        <v>2595</v>
      </c>
      <c r="AI297" s="38">
        <f t="shared" si="519"/>
        <v>3.8129496402877695E-2</v>
      </c>
      <c r="AJ297" s="38">
        <f t="shared" si="520"/>
        <v>1.1510791366906475E-2</v>
      </c>
      <c r="AK297" s="38">
        <f t="shared" si="521"/>
        <v>2.7338129496402876E-2</v>
      </c>
      <c r="AL297" s="38">
        <f t="shared" si="522"/>
        <v>0.13381294964028778</v>
      </c>
      <c r="AM297" s="38">
        <f t="shared" si="523"/>
        <v>5.7553956834532375E-3</v>
      </c>
      <c r="AN297" s="38">
        <f t="shared" si="524"/>
        <v>0.93345323741007191</v>
      </c>
      <c r="AO297" s="7">
        <v>6</v>
      </c>
      <c r="AP297" s="7">
        <v>2</v>
      </c>
      <c r="AQ297" s="7">
        <v>0</v>
      </c>
      <c r="AR297" s="28">
        <v>0</v>
      </c>
      <c r="AS297" s="28">
        <v>0</v>
      </c>
      <c r="AT297" s="28">
        <v>0</v>
      </c>
      <c r="AU297" s="27">
        <v>0</v>
      </c>
      <c r="AV297" s="28">
        <v>0</v>
      </c>
      <c r="AW297" s="28">
        <v>0</v>
      </c>
      <c r="AX297" s="28">
        <v>1</v>
      </c>
      <c r="AY297" s="5">
        <v>5</v>
      </c>
      <c r="AZ297" s="28">
        <v>0</v>
      </c>
      <c r="BA297" s="28">
        <v>0</v>
      </c>
      <c r="BB297" s="28">
        <v>0</v>
      </c>
      <c r="BC297" s="28">
        <v>1</v>
      </c>
      <c r="BD297" s="28">
        <v>1</v>
      </c>
      <c r="BE297" s="28">
        <v>0</v>
      </c>
      <c r="BF297" s="28">
        <v>0</v>
      </c>
      <c r="BG297" s="28">
        <v>0</v>
      </c>
      <c r="BH297" s="28">
        <v>0</v>
      </c>
      <c r="BI297" s="28">
        <v>0</v>
      </c>
      <c r="BJ297" s="28">
        <v>0</v>
      </c>
      <c r="BK297" s="11">
        <v>2</v>
      </c>
      <c r="BL297" s="3" t="s">
        <v>1485</v>
      </c>
      <c r="BM297" s="11">
        <v>1.67</v>
      </c>
    </row>
    <row r="298" spans="1:65" ht="30" customHeight="1" x14ac:dyDescent="0.3">
      <c r="A298" s="3" t="s">
        <v>23</v>
      </c>
      <c r="B298" s="3">
        <v>17</v>
      </c>
      <c r="C298" s="8">
        <v>44507</v>
      </c>
      <c r="D298" s="9">
        <v>0.20833333333333334</v>
      </c>
      <c r="E298" s="4">
        <v>52</v>
      </c>
      <c r="F298" s="3">
        <v>0</v>
      </c>
      <c r="G298" s="3">
        <v>0</v>
      </c>
      <c r="H298" s="3">
        <v>0</v>
      </c>
      <c r="I298" s="3">
        <v>0</v>
      </c>
      <c r="J298" s="54"/>
      <c r="K298" s="54"/>
      <c r="L298" s="55"/>
      <c r="M298" s="38">
        <f t="shared" si="535"/>
        <v>2780</v>
      </c>
      <c r="N298" s="55"/>
      <c r="O298" s="55"/>
      <c r="P298" s="55"/>
      <c r="Q298" s="55"/>
      <c r="R298" s="55"/>
      <c r="S298" s="55"/>
      <c r="T298" s="30"/>
      <c r="U298" s="30"/>
      <c r="V298" s="30"/>
      <c r="W298" s="30"/>
      <c r="X298" s="30"/>
      <c r="Y298" s="30"/>
      <c r="Z298" s="3" t="s">
        <v>1491</v>
      </c>
      <c r="AA298" s="10" t="s">
        <v>1493</v>
      </c>
      <c r="AB298" s="5">
        <f>1680+350+120+200+560</f>
        <v>2910</v>
      </c>
      <c r="AC298" s="6">
        <f>48+25+8+2+0</f>
        <v>83</v>
      </c>
      <c r="AD298" s="6">
        <f>12+15+5+0+0</f>
        <v>32</v>
      </c>
      <c r="AE298" s="6">
        <f>48+20+10+8+7</f>
        <v>93</v>
      </c>
      <c r="AF298" s="6">
        <f>252+0+2+38+133</f>
        <v>425</v>
      </c>
      <c r="AG298" s="6">
        <f>12+0+0+4+0</f>
        <v>16</v>
      </c>
      <c r="AH298" s="6">
        <f>3960+525+280+400+140</f>
        <v>5305</v>
      </c>
      <c r="AI298" s="38">
        <f t="shared" si="519"/>
        <v>2.8522336769759449E-2</v>
      </c>
      <c r="AJ298" s="38">
        <f t="shared" si="520"/>
        <v>1.0996563573883162E-2</v>
      </c>
      <c r="AK298" s="38">
        <f t="shared" si="521"/>
        <v>3.1958762886597936E-2</v>
      </c>
      <c r="AL298" s="38">
        <f t="shared" si="522"/>
        <v>0.14604810996563575</v>
      </c>
      <c r="AM298" s="38">
        <f t="shared" si="523"/>
        <v>5.4982817869415812E-3</v>
      </c>
      <c r="AN298" s="38">
        <f t="shared" si="524"/>
        <v>1.8230240549828178</v>
      </c>
      <c r="AO298" s="7">
        <v>6</v>
      </c>
      <c r="AP298" s="7">
        <v>1</v>
      </c>
      <c r="AQ298" s="7">
        <v>0</v>
      </c>
      <c r="AR298" s="28">
        <v>0</v>
      </c>
      <c r="AS298" s="28">
        <v>0</v>
      </c>
      <c r="AT298" s="28">
        <v>0</v>
      </c>
      <c r="AU298" s="27">
        <v>0</v>
      </c>
      <c r="AV298" s="28">
        <v>0</v>
      </c>
      <c r="AW298" s="28">
        <v>1</v>
      </c>
      <c r="AX298" s="28">
        <v>1</v>
      </c>
      <c r="AY298" s="5">
        <v>8.5</v>
      </c>
      <c r="AZ298" s="28">
        <v>0</v>
      </c>
      <c r="BA298" s="28">
        <v>1</v>
      </c>
      <c r="BB298" s="28">
        <v>0</v>
      </c>
      <c r="BC298" s="28">
        <v>1</v>
      </c>
      <c r="BD298" s="28">
        <v>1</v>
      </c>
      <c r="BE298" s="28">
        <v>0</v>
      </c>
      <c r="BF298" s="28">
        <v>0</v>
      </c>
      <c r="BG298" s="28">
        <v>0</v>
      </c>
      <c r="BH298" s="28">
        <v>0</v>
      </c>
      <c r="BI298" s="28">
        <v>0</v>
      </c>
      <c r="BJ298" s="28">
        <v>1</v>
      </c>
      <c r="BK298" s="11">
        <v>2</v>
      </c>
      <c r="BL298" s="3" t="s">
        <v>1485</v>
      </c>
      <c r="BM298" s="11">
        <v>1.67</v>
      </c>
    </row>
    <row r="299" spans="1:65" ht="30" customHeight="1" x14ac:dyDescent="0.3">
      <c r="A299" s="3" t="s">
        <v>15</v>
      </c>
      <c r="B299" s="3">
        <v>18</v>
      </c>
      <c r="C299" s="8">
        <v>44508</v>
      </c>
      <c r="D299" s="9">
        <v>0.25</v>
      </c>
      <c r="E299" s="4">
        <v>54</v>
      </c>
      <c r="F299" s="3">
        <v>0</v>
      </c>
      <c r="G299" s="3">
        <v>0</v>
      </c>
      <c r="H299" s="3">
        <v>0</v>
      </c>
      <c r="I299" s="3">
        <v>0</v>
      </c>
      <c r="J299" s="9">
        <v>0.61527777777777781</v>
      </c>
      <c r="K299" s="3">
        <v>144.4</v>
      </c>
      <c r="L299" s="55"/>
      <c r="M299" s="38">
        <f t="shared" si="535"/>
        <v>2910</v>
      </c>
      <c r="N299" s="11">
        <v>30.625</v>
      </c>
      <c r="O299" s="11">
        <v>32.25</v>
      </c>
      <c r="P299" s="11">
        <v>10.375</v>
      </c>
      <c r="Q299" s="11">
        <v>10.5</v>
      </c>
      <c r="R299" s="11">
        <v>20</v>
      </c>
      <c r="S299" s="11">
        <v>19.75</v>
      </c>
      <c r="T299" s="30"/>
      <c r="U299" s="30"/>
      <c r="V299" s="30"/>
      <c r="W299" s="30"/>
      <c r="X299" s="30"/>
      <c r="Y299" s="30"/>
      <c r="Z299" s="3" t="s">
        <v>1492</v>
      </c>
      <c r="AA299" s="10" t="s">
        <v>1494</v>
      </c>
      <c r="AB299" s="5">
        <f>1680+350+120+200+560+320</f>
        <v>3230</v>
      </c>
      <c r="AC299" s="6">
        <f>48+25+8+2+0+26</f>
        <v>109</v>
      </c>
      <c r="AD299" s="6">
        <f>12+15+5+0+0+3</f>
        <v>35</v>
      </c>
      <c r="AE299" s="6">
        <f>48+20+10+8+7+12</f>
        <v>105</v>
      </c>
      <c r="AF299" s="6">
        <f>252+0+2+38+133+16</f>
        <v>441</v>
      </c>
      <c r="AG299" s="6">
        <f>12+0+0+4+0+6</f>
        <v>22</v>
      </c>
      <c r="AH299" s="6">
        <f>3960+525+280+400+140+270</f>
        <v>5575</v>
      </c>
      <c r="AI299" s="38">
        <f t="shared" si="519"/>
        <v>3.3746130030959755E-2</v>
      </c>
      <c r="AJ299" s="38">
        <f t="shared" si="520"/>
        <v>1.0835913312693499E-2</v>
      </c>
      <c r="AK299" s="38">
        <f t="shared" si="521"/>
        <v>3.2507739938080496E-2</v>
      </c>
      <c r="AL299" s="38">
        <f t="shared" si="522"/>
        <v>0.13653250773993808</v>
      </c>
      <c r="AM299" s="38">
        <f t="shared" si="523"/>
        <v>6.8111455108359137E-3</v>
      </c>
      <c r="AN299" s="38">
        <f t="shared" si="524"/>
        <v>1.7260061919504643</v>
      </c>
      <c r="AO299" s="7">
        <v>6</v>
      </c>
      <c r="AP299" s="7">
        <v>1</v>
      </c>
      <c r="AQ299" s="7">
        <v>0</v>
      </c>
      <c r="AR299" s="28">
        <v>0</v>
      </c>
      <c r="AS299" s="28">
        <v>0</v>
      </c>
      <c r="AT299" s="28">
        <v>0</v>
      </c>
      <c r="AU299" s="27">
        <v>0</v>
      </c>
      <c r="AV299" s="28">
        <v>0</v>
      </c>
      <c r="AW299" s="28">
        <v>0</v>
      </c>
      <c r="AX299" s="28">
        <v>1</v>
      </c>
      <c r="AY299" s="5">
        <v>7</v>
      </c>
      <c r="AZ299" s="3">
        <v>0</v>
      </c>
      <c r="BA299" s="28">
        <v>0</v>
      </c>
      <c r="BB299" s="3">
        <v>0</v>
      </c>
      <c r="BC299" s="3">
        <v>1</v>
      </c>
      <c r="BD299" s="3">
        <v>1</v>
      </c>
      <c r="BE299" s="3">
        <v>0</v>
      </c>
      <c r="BF299" s="3">
        <v>0</v>
      </c>
      <c r="BG299" s="3">
        <v>0</v>
      </c>
      <c r="BH299" s="3">
        <v>0</v>
      </c>
      <c r="BI299" s="3">
        <v>0</v>
      </c>
      <c r="BJ299" s="3">
        <v>1</v>
      </c>
      <c r="BK299" s="11">
        <v>2</v>
      </c>
      <c r="BL299" s="3" t="s">
        <v>1485</v>
      </c>
      <c r="BM299" s="11">
        <v>1.67</v>
      </c>
    </row>
    <row r="300" spans="1:65" ht="30" customHeight="1" x14ac:dyDescent="0.3">
      <c r="A300" s="3" t="s">
        <v>16</v>
      </c>
      <c r="B300" s="3">
        <v>19</v>
      </c>
      <c r="C300" s="8">
        <v>44509</v>
      </c>
      <c r="D300" s="9">
        <v>0.25</v>
      </c>
      <c r="E300" s="4">
        <v>62</v>
      </c>
      <c r="F300" s="3">
        <v>0</v>
      </c>
      <c r="G300" s="3">
        <v>0</v>
      </c>
      <c r="H300" s="3">
        <v>0</v>
      </c>
      <c r="I300" s="3">
        <v>0</v>
      </c>
      <c r="J300" s="54">
        <v>0</v>
      </c>
      <c r="K300" s="54">
        <v>0</v>
      </c>
      <c r="L300" s="55"/>
      <c r="M300" s="56">
        <f t="shared" si="535"/>
        <v>3230</v>
      </c>
      <c r="N300" s="55"/>
      <c r="O300" s="55"/>
      <c r="P300" s="55"/>
      <c r="Q300" s="55"/>
      <c r="R300" s="55"/>
      <c r="S300" s="55"/>
      <c r="T300" s="30"/>
      <c r="U300" s="30"/>
      <c r="V300" s="30"/>
      <c r="W300" s="30"/>
      <c r="X300" s="30"/>
      <c r="Y300" s="30"/>
      <c r="Z300" s="3" t="s">
        <v>1495</v>
      </c>
      <c r="AA300" s="10" t="s">
        <v>1502</v>
      </c>
      <c r="AB300" s="5">
        <f>540+380+210+420+60+560+900+80</f>
        <v>3150</v>
      </c>
      <c r="AC300" s="6">
        <f>0+11+15+36+4+0+30+7</f>
        <v>103</v>
      </c>
      <c r="AD300" s="6">
        <f>0+2+9+21+3+0+15+1</f>
        <v>51</v>
      </c>
      <c r="AE300" s="6">
        <f>18+11+12+30+5+7+0+3</f>
        <v>86</v>
      </c>
      <c r="AF300" s="6">
        <f>117+59+0+0+1+133+135+4</f>
        <v>449</v>
      </c>
      <c r="AG300" s="6">
        <f>3+3+0+0+0+0+0+2</f>
        <v>8</v>
      </c>
      <c r="AH300" s="6">
        <f>630+910+315+210+140+140+0+68</f>
        <v>2413</v>
      </c>
      <c r="AI300" s="38">
        <f t="shared" si="519"/>
        <v>3.2698412698412699E-2</v>
      </c>
      <c r="AJ300" s="38">
        <f t="shared" si="520"/>
        <v>1.6190476190476189E-2</v>
      </c>
      <c r="AK300" s="38">
        <f t="shared" si="521"/>
        <v>2.7301587301587302E-2</v>
      </c>
      <c r="AL300" s="38">
        <f t="shared" si="522"/>
        <v>0.14253968253968255</v>
      </c>
      <c r="AM300" s="38">
        <f t="shared" si="523"/>
        <v>2.5396825396825397E-3</v>
      </c>
      <c r="AN300" s="38">
        <f t="shared" si="524"/>
        <v>0.76603174603174606</v>
      </c>
      <c r="AO300" s="7">
        <v>6</v>
      </c>
      <c r="AP300" s="7">
        <v>1</v>
      </c>
      <c r="AQ300" s="7">
        <v>0</v>
      </c>
      <c r="AR300" s="28">
        <v>0</v>
      </c>
      <c r="AS300" s="28">
        <v>0</v>
      </c>
      <c r="AT300" s="28">
        <v>0</v>
      </c>
      <c r="AU300" s="27">
        <v>0</v>
      </c>
      <c r="AV300" s="28">
        <v>0</v>
      </c>
      <c r="AW300" s="28">
        <v>0</v>
      </c>
      <c r="AX300" s="28">
        <v>0</v>
      </c>
      <c r="AY300" s="5">
        <v>8</v>
      </c>
      <c r="AZ300" s="28">
        <v>0</v>
      </c>
      <c r="BA300" s="28">
        <v>0</v>
      </c>
      <c r="BB300" s="28">
        <v>0</v>
      </c>
      <c r="BC300" s="28">
        <v>1</v>
      </c>
      <c r="BD300" s="28">
        <v>1</v>
      </c>
      <c r="BE300" s="28">
        <v>0</v>
      </c>
      <c r="BF300" s="28">
        <v>0</v>
      </c>
      <c r="BG300" s="28">
        <v>0</v>
      </c>
      <c r="BH300" s="28">
        <v>0</v>
      </c>
      <c r="BI300" s="28">
        <v>0</v>
      </c>
      <c r="BJ300" s="28">
        <v>1</v>
      </c>
      <c r="BK300" s="11">
        <v>1</v>
      </c>
      <c r="BL300" s="3" t="s">
        <v>1485</v>
      </c>
      <c r="BM300" s="11">
        <v>1.67</v>
      </c>
    </row>
    <row r="301" spans="1:65" ht="30" customHeight="1" x14ac:dyDescent="0.3">
      <c r="A301" s="3" t="s">
        <v>17</v>
      </c>
      <c r="B301" s="3">
        <v>20</v>
      </c>
      <c r="C301" s="8">
        <v>44510</v>
      </c>
      <c r="D301" s="9">
        <v>0.25</v>
      </c>
      <c r="E301" s="4">
        <v>57</v>
      </c>
      <c r="F301" s="3">
        <v>0</v>
      </c>
      <c r="G301" s="3">
        <v>0</v>
      </c>
      <c r="H301" s="3">
        <v>0</v>
      </c>
      <c r="I301" s="3">
        <v>0</v>
      </c>
      <c r="J301" s="54">
        <v>0</v>
      </c>
      <c r="K301" s="54"/>
      <c r="L301" s="55"/>
      <c r="M301" s="56">
        <f t="shared" si="535"/>
        <v>3150</v>
      </c>
      <c r="N301" s="55"/>
      <c r="O301" s="55"/>
      <c r="P301" s="55"/>
      <c r="Q301" s="55"/>
      <c r="R301" s="55"/>
      <c r="S301" s="55"/>
      <c r="T301" s="30"/>
      <c r="U301" s="30"/>
      <c r="V301" s="30"/>
      <c r="W301" s="30"/>
      <c r="X301" s="30"/>
      <c r="Y301" s="30"/>
      <c r="Z301" s="3" t="s">
        <v>1496</v>
      </c>
      <c r="AA301" s="10" t="s">
        <v>1503</v>
      </c>
      <c r="AB301" s="5">
        <f>380+360+420+180+900+300</f>
        <v>2540</v>
      </c>
      <c r="AC301" s="6">
        <f>11+0+36+12+30+19</f>
        <v>108</v>
      </c>
      <c r="AD301" s="6">
        <f>2+0+21+8+15+3</f>
        <v>49</v>
      </c>
      <c r="AE301" s="6">
        <f>11+12+30+15+0+3</f>
        <v>71</v>
      </c>
      <c r="AF301" s="6">
        <f>59+78+0+3+135+28</f>
        <v>303</v>
      </c>
      <c r="AG301" s="6">
        <f>3+2+0+0+0+1</f>
        <v>6</v>
      </c>
      <c r="AH301" s="6">
        <f>910+420+210+420+0+453</f>
        <v>2413</v>
      </c>
      <c r="AI301" s="38">
        <f t="shared" si="519"/>
        <v>4.2519685039370078E-2</v>
      </c>
      <c r="AJ301" s="38">
        <f t="shared" si="520"/>
        <v>1.9291338582677165E-2</v>
      </c>
      <c r="AK301" s="38">
        <f t="shared" si="521"/>
        <v>2.7952755905511811E-2</v>
      </c>
      <c r="AL301" s="38">
        <f t="shared" si="522"/>
        <v>0.11929133858267717</v>
      </c>
      <c r="AM301" s="38">
        <f t="shared" si="523"/>
        <v>2.3622047244094488E-3</v>
      </c>
      <c r="AN301" s="38">
        <f t="shared" si="524"/>
        <v>0.95</v>
      </c>
      <c r="AO301" s="7">
        <v>7</v>
      </c>
      <c r="AP301" s="7">
        <v>1</v>
      </c>
      <c r="AQ301" s="7">
        <v>0</v>
      </c>
      <c r="AR301" s="28">
        <v>0</v>
      </c>
      <c r="AS301" s="28">
        <v>0</v>
      </c>
      <c r="AT301" s="28">
        <v>0</v>
      </c>
      <c r="AU301" s="27">
        <v>0</v>
      </c>
      <c r="AV301" s="28">
        <v>0</v>
      </c>
      <c r="AW301" s="28">
        <v>0</v>
      </c>
      <c r="AX301" s="28">
        <v>1</v>
      </c>
      <c r="AY301" s="5">
        <v>8</v>
      </c>
      <c r="AZ301" s="28">
        <v>0</v>
      </c>
      <c r="BA301" s="28">
        <v>0</v>
      </c>
      <c r="BB301" s="28">
        <v>0</v>
      </c>
      <c r="BC301" s="28">
        <v>1</v>
      </c>
      <c r="BD301" s="28">
        <v>1</v>
      </c>
      <c r="BE301" s="28">
        <v>0</v>
      </c>
      <c r="BF301" s="28">
        <v>0</v>
      </c>
      <c r="BG301" s="28">
        <v>0</v>
      </c>
      <c r="BH301" s="28">
        <v>0</v>
      </c>
      <c r="BI301" s="28">
        <v>0</v>
      </c>
      <c r="BJ301" s="28">
        <v>1</v>
      </c>
      <c r="BK301" s="11">
        <v>1</v>
      </c>
      <c r="BL301" s="3" t="s">
        <v>1485</v>
      </c>
      <c r="BM301" s="11">
        <v>1.67</v>
      </c>
    </row>
    <row r="302" spans="1:65" ht="30" customHeight="1" x14ac:dyDescent="0.3">
      <c r="A302" s="3" t="s">
        <v>18</v>
      </c>
      <c r="B302" s="3">
        <v>21</v>
      </c>
      <c r="C302" s="8">
        <v>44511</v>
      </c>
      <c r="D302" s="9">
        <v>0.25</v>
      </c>
      <c r="E302" s="4">
        <v>56</v>
      </c>
      <c r="F302" s="3">
        <v>0</v>
      </c>
      <c r="G302" s="3">
        <v>0</v>
      </c>
      <c r="H302" s="3">
        <v>0</v>
      </c>
      <c r="I302" s="3">
        <v>0</v>
      </c>
      <c r="J302" s="54"/>
      <c r="K302" s="54"/>
      <c r="L302" s="55"/>
      <c r="M302" s="56">
        <f t="shared" si="535"/>
        <v>2540</v>
      </c>
      <c r="N302" s="55"/>
      <c r="O302" s="55"/>
      <c r="P302" s="55"/>
      <c r="Q302" s="55"/>
      <c r="R302" s="55"/>
      <c r="S302" s="55"/>
      <c r="T302" s="30"/>
      <c r="U302" s="30"/>
      <c r="V302" s="30"/>
      <c r="W302" s="30"/>
      <c r="X302" s="30"/>
      <c r="Y302" s="30"/>
      <c r="Z302" s="3" t="s">
        <v>1501</v>
      </c>
      <c r="AA302" s="10" t="s">
        <v>1504</v>
      </c>
      <c r="AB302" s="5">
        <f>320+360+420+190+180+360+540+599</f>
        <v>2969</v>
      </c>
      <c r="AC302" s="6">
        <f>26+0+30+8+7+0+18+37</f>
        <v>126</v>
      </c>
      <c r="AD302" s="6">
        <f>3+0+18+1+2+0+9+6</f>
        <v>39</v>
      </c>
      <c r="AE302" s="6">
        <f>12+12+24+13+9+0+0+7</f>
        <v>77</v>
      </c>
      <c r="AF302" s="6">
        <f>16+78+0+18+21+100+81+56</f>
        <v>370</v>
      </c>
      <c r="AG302" s="6">
        <f>66+2+0+4+3+0+0+3</f>
        <v>78</v>
      </c>
      <c r="AH302" s="6">
        <f>460+420+630+300+410+120+0+904</f>
        <v>3244</v>
      </c>
      <c r="AI302" s="38">
        <f t="shared" si="519"/>
        <v>4.2438531492084874E-2</v>
      </c>
      <c r="AJ302" s="38">
        <f t="shared" si="520"/>
        <v>1.3135735938026272E-2</v>
      </c>
      <c r="AK302" s="38">
        <f t="shared" si="521"/>
        <v>2.593465813405187E-2</v>
      </c>
      <c r="AL302" s="38">
        <f t="shared" si="522"/>
        <v>0.12462108454024924</v>
      </c>
      <c r="AM302" s="38">
        <f t="shared" si="523"/>
        <v>2.6271471876052544E-2</v>
      </c>
      <c r="AN302" s="38">
        <f t="shared" si="524"/>
        <v>1.0926237790501852</v>
      </c>
      <c r="AO302" s="7">
        <v>6</v>
      </c>
      <c r="AP302" s="7">
        <v>1</v>
      </c>
      <c r="AQ302" s="7">
        <v>0</v>
      </c>
      <c r="AR302" s="28">
        <v>0</v>
      </c>
      <c r="AS302" s="28">
        <v>0</v>
      </c>
      <c r="AT302" s="28">
        <v>0</v>
      </c>
      <c r="AU302" s="27">
        <v>0</v>
      </c>
      <c r="AV302" s="28">
        <v>0</v>
      </c>
      <c r="AW302" s="28">
        <v>0</v>
      </c>
      <c r="AX302" s="28">
        <v>0</v>
      </c>
      <c r="AY302" s="5">
        <v>6.5</v>
      </c>
      <c r="AZ302" s="28">
        <v>0</v>
      </c>
      <c r="BA302" s="28">
        <v>0</v>
      </c>
      <c r="BB302" s="28">
        <v>0</v>
      </c>
      <c r="BC302" s="28">
        <v>1</v>
      </c>
      <c r="BD302" s="28">
        <v>1</v>
      </c>
      <c r="BE302" s="28">
        <v>0</v>
      </c>
      <c r="BF302" s="28">
        <v>0</v>
      </c>
      <c r="BG302" s="28">
        <v>0</v>
      </c>
      <c r="BH302" s="28">
        <v>0</v>
      </c>
      <c r="BI302" s="28">
        <v>0</v>
      </c>
      <c r="BJ302" s="28">
        <v>1</v>
      </c>
      <c r="BK302" s="11">
        <v>3</v>
      </c>
      <c r="BL302" s="3" t="s">
        <v>1485</v>
      </c>
      <c r="BM302" s="11">
        <v>1.67</v>
      </c>
    </row>
    <row r="303" spans="1:65" ht="30" customHeight="1" x14ac:dyDescent="0.3">
      <c r="A303" s="3" t="s">
        <v>137</v>
      </c>
      <c r="B303" s="3">
        <v>22</v>
      </c>
      <c r="C303" s="8">
        <v>44512</v>
      </c>
      <c r="D303" s="9">
        <v>0.25</v>
      </c>
      <c r="E303" s="4">
        <v>71</v>
      </c>
      <c r="J303" s="9">
        <v>0.31597222222222221</v>
      </c>
      <c r="K303" s="3">
        <v>144.19999999999999</v>
      </c>
      <c r="L303" s="55"/>
      <c r="M303" s="38">
        <f t="shared" si="535"/>
        <v>2969</v>
      </c>
      <c r="N303" s="11">
        <v>30.5</v>
      </c>
      <c r="O303" s="11">
        <v>32</v>
      </c>
      <c r="P303" s="11">
        <v>10.75</v>
      </c>
      <c r="Q303" s="11">
        <v>10.625</v>
      </c>
      <c r="R303" s="11">
        <v>20.25</v>
      </c>
      <c r="S303" s="11">
        <v>20.25</v>
      </c>
      <c r="T303" s="30"/>
      <c r="U303" s="30"/>
      <c r="V303" s="30"/>
      <c r="W303" s="30"/>
      <c r="X303" s="30"/>
      <c r="Y303" s="30"/>
      <c r="Z303" s="3" t="s">
        <v>1500</v>
      </c>
      <c r="AA303" s="10" t="s">
        <v>1506</v>
      </c>
      <c r="AB303" s="5">
        <f>440+300+160+180+288+180+70+320</f>
        <v>1938</v>
      </c>
      <c r="AC303" s="6">
        <f>10+20+0+0+11+0+5+26</f>
        <v>72</v>
      </c>
      <c r="AD303" s="6">
        <f>4+13+0+0+3+0+3+3</f>
        <v>26</v>
      </c>
      <c r="AE303" s="6">
        <f>12+25+5+0+14+6+4+12</f>
        <v>78</v>
      </c>
      <c r="AF303" s="6">
        <f>76+5+40+50+34+39+0+16</f>
        <v>260</v>
      </c>
      <c r="AG303" s="6">
        <f>8+0+5+0+5+1+0+66</f>
        <v>85</v>
      </c>
      <c r="AH303" s="6">
        <f>1360+700+853+60+656+210+105+460</f>
        <v>4404</v>
      </c>
      <c r="AI303" s="38">
        <f t="shared" si="519"/>
        <v>3.7151702786377708E-2</v>
      </c>
      <c r="AJ303" s="38">
        <f t="shared" si="520"/>
        <v>1.3415892672858616E-2</v>
      </c>
      <c r="AK303" s="38">
        <f t="shared" si="521"/>
        <v>4.0247678018575851E-2</v>
      </c>
      <c r="AL303" s="38">
        <f t="shared" si="522"/>
        <v>0.13415892672858618</v>
      </c>
      <c r="AM303" s="38">
        <f t="shared" si="523"/>
        <v>4.3859649122807015E-2</v>
      </c>
      <c r="AN303" s="38">
        <f t="shared" si="524"/>
        <v>2.2724458204334366</v>
      </c>
      <c r="AO303" s="7">
        <v>6</v>
      </c>
      <c r="AP303" s="7">
        <v>1</v>
      </c>
      <c r="AQ303" s="7">
        <v>0</v>
      </c>
      <c r="AR303" s="28">
        <v>0</v>
      </c>
      <c r="AS303" s="28">
        <v>0</v>
      </c>
      <c r="AT303" s="28">
        <v>0</v>
      </c>
      <c r="AU303" s="27">
        <v>0</v>
      </c>
      <c r="AV303" s="28">
        <v>0</v>
      </c>
      <c r="AW303" s="28">
        <v>0</v>
      </c>
      <c r="AX303" s="28">
        <v>1</v>
      </c>
      <c r="AY303" s="5">
        <v>4.5</v>
      </c>
      <c r="AZ303" s="28">
        <v>0</v>
      </c>
      <c r="BA303" s="28">
        <v>0</v>
      </c>
      <c r="BB303" s="28">
        <v>0</v>
      </c>
      <c r="BC303" s="28">
        <v>1</v>
      </c>
      <c r="BD303" s="28">
        <v>1</v>
      </c>
      <c r="BE303" s="28">
        <v>0</v>
      </c>
      <c r="BF303" s="28">
        <v>0</v>
      </c>
      <c r="BG303" s="28">
        <v>0</v>
      </c>
      <c r="BH303" s="28">
        <v>0</v>
      </c>
      <c r="BI303" s="28">
        <v>0</v>
      </c>
      <c r="BJ303" s="28">
        <v>1</v>
      </c>
      <c r="BK303" s="11">
        <v>1</v>
      </c>
      <c r="BL303" s="3" t="s">
        <v>1485</v>
      </c>
      <c r="BM303" s="11">
        <v>1.67</v>
      </c>
    </row>
    <row r="304" spans="1:65" ht="30" customHeight="1" x14ac:dyDescent="0.3">
      <c r="A304" s="3" t="s">
        <v>19</v>
      </c>
      <c r="B304" s="3">
        <v>23</v>
      </c>
      <c r="C304" s="8">
        <v>44513</v>
      </c>
      <c r="D304" s="9">
        <v>0.25</v>
      </c>
      <c r="E304" s="4">
        <v>53</v>
      </c>
      <c r="F304" s="3">
        <v>0</v>
      </c>
      <c r="G304" s="3">
        <v>0</v>
      </c>
      <c r="H304" s="3">
        <v>0</v>
      </c>
      <c r="I304" s="3">
        <v>0</v>
      </c>
      <c r="J304" s="9">
        <v>0.27777777777777779</v>
      </c>
      <c r="K304" s="3">
        <v>145.80000000000001</v>
      </c>
      <c r="L304" s="55"/>
      <c r="M304" s="38">
        <f t="shared" si="535"/>
        <v>1938</v>
      </c>
      <c r="N304" s="11">
        <v>31.875</v>
      </c>
      <c r="O304" s="11">
        <v>32.75</v>
      </c>
      <c r="P304" s="11">
        <v>10.75</v>
      </c>
      <c r="Q304" s="11">
        <v>10.75</v>
      </c>
      <c r="R304" s="11">
        <v>20.625</v>
      </c>
      <c r="S304" s="11">
        <v>20</v>
      </c>
      <c r="T304" s="30"/>
      <c r="U304" s="30"/>
      <c r="V304" s="30"/>
      <c r="W304" s="30"/>
      <c r="X304" s="30"/>
      <c r="Y304" s="30"/>
      <c r="Z304" s="3" t="s">
        <v>1507</v>
      </c>
      <c r="AA304" s="10" t="s">
        <v>1509</v>
      </c>
      <c r="AB304" s="5">
        <f>320+110+70+40+691+200</f>
        <v>1431</v>
      </c>
      <c r="AC304" s="6">
        <f>26+3+5+0+12+20</f>
        <v>66</v>
      </c>
      <c r="AD304" s="6">
        <f>3+1+3+0+2+12</f>
        <v>21</v>
      </c>
      <c r="AE304" s="6">
        <f>12+3+5+1+29+4</f>
        <v>54</v>
      </c>
      <c r="AF304" s="6">
        <f>16+19+1+10+114+4</f>
        <v>164</v>
      </c>
      <c r="AG304" s="6">
        <f>66+2+0+1+8+0</f>
        <v>77</v>
      </c>
      <c r="AH304" s="6">
        <f>460+340+150+213+2268+210</f>
        <v>3641</v>
      </c>
      <c r="AI304" s="38">
        <f t="shared" si="519"/>
        <v>4.6121593291404611E-2</v>
      </c>
      <c r="AJ304" s="38">
        <f t="shared" si="520"/>
        <v>1.4675052410901468E-2</v>
      </c>
      <c r="AK304" s="38">
        <f t="shared" si="521"/>
        <v>3.7735849056603772E-2</v>
      </c>
      <c r="AL304" s="38">
        <f t="shared" si="522"/>
        <v>0.1146051712089448</v>
      </c>
      <c r="AM304" s="38">
        <f t="shared" si="523"/>
        <v>5.3808525506638713E-2</v>
      </c>
      <c r="AN304" s="38">
        <f t="shared" si="524"/>
        <v>2.5443745632424877</v>
      </c>
      <c r="AO304" s="7">
        <v>5</v>
      </c>
      <c r="AP304" s="7">
        <v>1</v>
      </c>
      <c r="AQ304" s="7">
        <v>0</v>
      </c>
      <c r="AR304" s="28">
        <v>0</v>
      </c>
      <c r="AS304" s="28">
        <v>0</v>
      </c>
      <c r="AT304" s="28">
        <v>0</v>
      </c>
      <c r="AU304" s="27">
        <v>0</v>
      </c>
      <c r="AV304" s="28">
        <v>0</v>
      </c>
      <c r="AW304" s="28">
        <v>1</v>
      </c>
      <c r="AX304" s="28">
        <v>1</v>
      </c>
      <c r="AY304" s="5">
        <v>6.5</v>
      </c>
      <c r="AZ304" s="28">
        <v>0</v>
      </c>
      <c r="BA304" s="28">
        <v>0</v>
      </c>
      <c r="BB304" s="28">
        <v>0</v>
      </c>
      <c r="BC304" s="28">
        <v>1</v>
      </c>
      <c r="BD304" s="28">
        <v>1</v>
      </c>
      <c r="BE304" s="28">
        <v>0</v>
      </c>
      <c r="BF304" s="28">
        <v>0</v>
      </c>
      <c r="BG304" s="28">
        <v>0</v>
      </c>
      <c r="BH304" s="28">
        <v>0</v>
      </c>
      <c r="BI304" s="28">
        <v>0</v>
      </c>
      <c r="BJ304" s="28">
        <v>0</v>
      </c>
      <c r="BK304" s="11">
        <v>1.5</v>
      </c>
      <c r="BL304" s="28" t="s">
        <v>1485</v>
      </c>
      <c r="BM304" s="11">
        <v>1.67</v>
      </c>
    </row>
    <row r="305" spans="20:25" x14ac:dyDescent="0.3">
      <c r="T305" s="30"/>
      <c r="U305" s="30"/>
      <c r="V305" s="30"/>
      <c r="W305" s="30"/>
      <c r="X305" s="30"/>
      <c r="Y305" s="30"/>
    </row>
    <row r="306" spans="20:25" x14ac:dyDescent="0.3">
      <c r="T306" s="30"/>
      <c r="U306" s="30"/>
      <c r="V306" s="30"/>
      <c r="W306" s="30"/>
      <c r="X306" s="30"/>
      <c r="Y306" s="30"/>
    </row>
    <row r="307" spans="20:25" x14ac:dyDescent="0.3">
      <c r="T307" s="30"/>
      <c r="U307" s="30"/>
      <c r="V307" s="30"/>
      <c r="W307" s="30"/>
      <c r="X307" s="30"/>
      <c r="Y307" s="30"/>
    </row>
    <row r="308" spans="20:25" x14ac:dyDescent="0.3">
      <c r="T308" s="30"/>
      <c r="U308" s="30"/>
      <c r="V308" s="30"/>
      <c r="W308" s="30"/>
      <c r="X308" s="30"/>
      <c r="Y308" s="30"/>
    </row>
    <row r="309" spans="20:25" x14ac:dyDescent="0.3">
      <c r="T309" s="30"/>
      <c r="U309" s="30"/>
      <c r="V309" s="30"/>
      <c r="W309" s="30"/>
      <c r="X309" s="30"/>
      <c r="Y309" s="30"/>
    </row>
    <row r="310" spans="20:25" x14ac:dyDescent="0.3">
      <c r="T310" s="30"/>
      <c r="U310" s="30"/>
      <c r="V310" s="30"/>
      <c r="W310" s="30"/>
      <c r="X310" s="30"/>
      <c r="Y310" s="30"/>
    </row>
    <row r="311" spans="20:25" x14ac:dyDescent="0.3">
      <c r="T311" s="30"/>
      <c r="U311" s="30"/>
      <c r="V311" s="30"/>
      <c r="W311" s="30"/>
      <c r="X311" s="30"/>
      <c r="Y311" s="30"/>
    </row>
    <row r="312" spans="20:25" x14ac:dyDescent="0.3">
      <c r="T312" s="30"/>
      <c r="U312" s="30"/>
      <c r="V312" s="30"/>
      <c r="W312" s="30"/>
      <c r="X312" s="30"/>
      <c r="Y312" s="30"/>
    </row>
    <row r="313" spans="20:25" x14ac:dyDescent="0.3">
      <c r="T313" s="30"/>
      <c r="U313" s="30"/>
      <c r="V313" s="30"/>
      <c r="W313" s="30"/>
      <c r="X313" s="30"/>
      <c r="Y313" s="30"/>
    </row>
    <row r="314" spans="20:25" x14ac:dyDescent="0.3">
      <c r="T314" s="30"/>
      <c r="U314" s="30"/>
      <c r="V314" s="30"/>
      <c r="W314" s="30"/>
      <c r="X314" s="30"/>
      <c r="Y314" s="30"/>
    </row>
    <row r="315" spans="20:25" x14ac:dyDescent="0.3">
      <c r="T315" s="30"/>
      <c r="U315" s="30"/>
      <c r="V315" s="30"/>
      <c r="W315" s="30"/>
      <c r="X315" s="30"/>
      <c r="Y315" s="30"/>
    </row>
    <row r="316" spans="20:25" x14ac:dyDescent="0.3">
      <c r="T316" s="30"/>
      <c r="U316" s="30"/>
      <c r="V316" s="30"/>
      <c r="W316" s="30"/>
      <c r="X316" s="30"/>
      <c r="Y316" s="30"/>
    </row>
    <row r="317" spans="20:25" x14ac:dyDescent="0.3">
      <c r="T317" s="30"/>
      <c r="U317" s="30"/>
      <c r="V317" s="30"/>
      <c r="W317" s="30"/>
      <c r="X317" s="30"/>
      <c r="Y317" s="30"/>
    </row>
    <row r="318" spans="20:25" x14ac:dyDescent="0.3">
      <c r="T318" s="30"/>
      <c r="U318" s="30"/>
      <c r="V318" s="30"/>
      <c r="W318" s="30"/>
      <c r="X318" s="30"/>
      <c r="Y318" s="30"/>
    </row>
    <row r="319" spans="20:25" x14ac:dyDescent="0.3">
      <c r="T319" s="30"/>
      <c r="U319" s="30"/>
      <c r="V319" s="30"/>
      <c r="W319" s="30"/>
      <c r="X319" s="30"/>
      <c r="Y319" s="30"/>
    </row>
    <row r="320" spans="20:25" x14ac:dyDescent="0.3">
      <c r="T320" s="30"/>
      <c r="U320" s="30"/>
      <c r="V320" s="30"/>
      <c r="W320" s="30"/>
      <c r="X320" s="30"/>
      <c r="Y320" s="30"/>
    </row>
    <row r="321" spans="20:25" x14ac:dyDescent="0.3">
      <c r="T321" s="30"/>
      <c r="U321" s="30"/>
      <c r="V321" s="30"/>
      <c r="W321" s="30"/>
      <c r="X321" s="30"/>
      <c r="Y321" s="30"/>
    </row>
    <row r="322" spans="20:25" x14ac:dyDescent="0.3">
      <c r="T322" s="30"/>
      <c r="U322" s="30"/>
      <c r="V322" s="30"/>
      <c r="W322" s="30"/>
      <c r="X322" s="30"/>
      <c r="Y322" s="30"/>
    </row>
    <row r="323" spans="20:25" x14ac:dyDescent="0.3">
      <c r="T323" s="30"/>
      <c r="U323" s="30"/>
      <c r="V323" s="30"/>
      <c r="W323" s="30"/>
      <c r="X323" s="30"/>
      <c r="Y323" s="30"/>
    </row>
    <row r="324" spans="20:25" x14ac:dyDescent="0.3">
      <c r="T324" s="30"/>
      <c r="U324" s="30"/>
      <c r="V324" s="30"/>
      <c r="W324" s="30"/>
      <c r="X324" s="30"/>
      <c r="Y324" s="30"/>
    </row>
    <row r="325" spans="20:25" x14ac:dyDescent="0.3">
      <c r="T325" s="30"/>
      <c r="U325" s="30"/>
      <c r="V325" s="30"/>
      <c r="W325" s="30"/>
      <c r="X325" s="30"/>
      <c r="Y325" s="30"/>
    </row>
    <row r="326" spans="20:25" x14ac:dyDescent="0.3">
      <c r="T326" s="30"/>
      <c r="U326" s="30"/>
      <c r="V326" s="30"/>
      <c r="W326" s="30"/>
      <c r="X326" s="30"/>
      <c r="Y326" s="30"/>
    </row>
    <row r="327" spans="20:25" x14ac:dyDescent="0.3">
      <c r="T327" s="30"/>
      <c r="U327" s="30"/>
      <c r="V327" s="30"/>
      <c r="W327" s="30"/>
      <c r="X327" s="30"/>
      <c r="Y327" s="30"/>
    </row>
    <row r="328" spans="20:25" x14ac:dyDescent="0.3">
      <c r="T328" s="30"/>
      <c r="U328" s="30"/>
      <c r="V328" s="30"/>
      <c r="W328" s="30"/>
      <c r="X328" s="30"/>
      <c r="Y328" s="30"/>
    </row>
    <row r="329" spans="20:25" x14ac:dyDescent="0.3">
      <c r="T329" s="30"/>
      <c r="U329" s="30"/>
      <c r="V329" s="30"/>
      <c r="W329" s="30"/>
      <c r="X329" s="30"/>
      <c r="Y329" s="30"/>
    </row>
    <row r="330" spans="20:25" x14ac:dyDescent="0.3">
      <c r="T330" s="30"/>
      <c r="U330" s="30"/>
      <c r="V330" s="30"/>
      <c r="W330" s="30"/>
      <c r="X330" s="30"/>
      <c r="Y330" s="30"/>
    </row>
    <row r="331" spans="20:25" x14ac:dyDescent="0.3">
      <c r="T331" s="30"/>
      <c r="U331" s="30"/>
      <c r="V331" s="30"/>
      <c r="W331" s="30"/>
      <c r="X331" s="30"/>
      <c r="Y331" s="30"/>
    </row>
    <row r="332" spans="20:25" x14ac:dyDescent="0.3">
      <c r="T332" s="30"/>
      <c r="U332" s="30"/>
      <c r="V332" s="30"/>
      <c r="W332" s="30"/>
      <c r="X332" s="30"/>
      <c r="Y332" s="30"/>
    </row>
    <row r="333" spans="20:25" x14ac:dyDescent="0.3">
      <c r="T333" s="30"/>
      <c r="U333" s="30"/>
      <c r="V333" s="30"/>
      <c r="W333" s="30"/>
      <c r="X333" s="30"/>
      <c r="Y333" s="30"/>
    </row>
    <row r="334" spans="20:25" x14ac:dyDescent="0.3">
      <c r="T334" s="30"/>
      <c r="U334" s="30"/>
      <c r="V334" s="30"/>
      <c r="W334" s="30"/>
      <c r="X334" s="30"/>
      <c r="Y334" s="30"/>
    </row>
    <row r="335" spans="20:25" x14ac:dyDescent="0.3">
      <c r="T335" s="30"/>
      <c r="U335" s="30"/>
      <c r="V335" s="30"/>
      <c r="W335" s="30"/>
      <c r="X335" s="30"/>
      <c r="Y335" s="30"/>
    </row>
    <row r="336" spans="20:25" x14ac:dyDescent="0.3">
      <c r="T336" s="30"/>
      <c r="U336" s="30"/>
      <c r="V336" s="30"/>
      <c r="W336" s="30"/>
      <c r="X336" s="30"/>
      <c r="Y336" s="30"/>
    </row>
    <row r="337" spans="20:25" x14ac:dyDescent="0.3">
      <c r="T337" s="30"/>
      <c r="U337" s="30"/>
      <c r="V337" s="30"/>
      <c r="W337" s="30"/>
      <c r="X337" s="30"/>
      <c r="Y337" s="30"/>
    </row>
    <row r="338" spans="20:25" x14ac:dyDescent="0.3">
      <c r="T338" s="30"/>
      <c r="U338" s="30"/>
      <c r="V338" s="30"/>
      <c r="W338" s="30"/>
      <c r="X338" s="30"/>
      <c r="Y338" s="30"/>
    </row>
    <row r="339" spans="20:25" x14ac:dyDescent="0.3">
      <c r="T339" s="30"/>
      <c r="U339" s="30"/>
      <c r="V339" s="30"/>
      <c r="W339" s="30"/>
      <c r="X339" s="30"/>
      <c r="Y339" s="30"/>
    </row>
    <row r="340" spans="20:25" x14ac:dyDescent="0.3">
      <c r="T340" s="30"/>
      <c r="U340" s="30"/>
      <c r="V340" s="30"/>
      <c r="W340" s="30"/>
      <c r="X340" s="30"/>
      <c r="Y340" s="30"/>
    </row>
    <row r="341" spans="20:25" x14ac:dyDescent="0.3">
      <c r="T341" s="30"/>
      <c r="U341" s="30"/>
      <c r="V341" s="30"/>
      <c r="W341" s="30"/>
      <c r="X341" s="30"/>
      <c r="Y341" s="30"/>
    </row>
    <row r="342" spans="20:25" x14ac:dyDescent="0.3">
      <c r="T342" s="30"/>
      <c r="U342" s="30"/>
      <c r="V342" s="30"/>
      <c r="W342" s="30"/>
      <c r="X342" s="30"/>
      <c r="Y342" s="30"/>
    </row>
    <row r="343" spans="20:25" x14ac:dyDescent="0.3">
      <c r="T343" s="30"/>
      <c r="U343" s="30"/>
      <c r="V343" s="30"/>
      <c r="W343" s="30"/>
      <c r="X343" s="30"/>
      <c r="Y343" s="30"/>
    </row>
    <row r="344" spans="20:25" x14ac:dyDescent="0.3">
      <c r="T344" s="30"/>
      <c r="U344" s="30"/>
      <c r="V344" s="30"/>
      <c r="W344" s="30"/>
      <c r="X344" s="30"/>
      <c r="Y344" s="30"/>
    </row>
    <row r="345" spans="20:25" x14ac:dyDescent="0.3">
      <c r="T345" s="30"/>
      <c r="U345" s="30"/>
      <c r="V345" s="30"/>
      <c r="W345" s="30"/>
      <c r="X345" s="30"/>
      <c r="Y345" s="30"/>
    </row>
    <row r="346" spans="20:25" x14ac:dyDescent="0.3">
      <c r="T346" s="30"/>
      <c r="U346" s="30"/>
      <c r="V346" s="30"/>
      <c r="W346" s="30"/>
      <c r="X346" s="30"/>
      <c r="Y346" s="30"/>
    </row>
    <row r="347" spans="20:25" x14ac:dyDescent="0.3">
      <c r="T347" s="30"/>
      <c r="U347" s="30"/>
      <c r="V347" s="30"/>
      <c r="W347" s="30"/>
      <c r="X347" s="30"/>
      <c r="Y347" s="30"/>
    </row>
    <row r="348" spans="20:25" x14ac:dyDescent="0.3">
      <c r="T348" s="30"/>
      <c r="U348" s="30"/>
      <c r="V348" s="30"/>
      <c r="W348" s="30"/>
      <c r="X348" s="30"/>
      <c r="Y348" s="30"/>
    </row>
    <row r="349" spans="20:25" x14ac:dyDescent="0.3">
      <c r="T349" s="30"/>
      <c r="U349" s="30"/>
      <c r="V349" s="30"/>
      <c r="W349" s="30"/>
      <c r="X349" s="30"/>
      <c r="Y349" s="30"/>
    </row>
    <row r="350" spans="20:25" x14ac:dyDescent="0.3">
      <c r="T350" s="30"/>
      <c r="U350" s="30"/>
      <c r="V350" s="30"/>
      <c r="W350" s="30"/>
      <c r="X350" s="30"/>
      <c r="Y350" s="30"/>
    </row>
    <row r="351" spans="20:25" x14ac:dyDescent="0.3">
      <c r="T351" s="30"/>
      <c r="U351" s="30"/>
      <c r="V351" s="30"/>
      <c r="W351" s="30"/>
      <c r="X351" s="30"/>
      <c r="Y351" s="30"/>
    </row>
    <row r="352" spans="20:25" x14ac:dyDescent="0.3">
      <c r="T352" s="30"/>
      <c r="U352" s="30"/>
      <c r="V352" s="30"/>
      <c r="W352" s="30"/>
      <c r="X352" s="30"/>
      <c r="Y352" s="30"/>
    </row>
    <row r="353" spans="20:25" x14ac:dyDescent="0.3">
      <c r="T353" s="30"/>
      <c r="U353" s="30"/>
      <c r="V353" s="30"/>
      <c r="W353" s="30"/>
      <c r="X353" s="30"/>
      <c r="Y353" s="30"/>
    </row>
    <row r="354" spans="20:25" x14ac:dyDescent="0.3">
      <c r="T354" s="30"/>
      <c r="U354" s="30"/>
      <c r="V354" s="30"/>
      <c r="W354" s="30"/>
      <c r="X354" s="30"/>
      <c r="Y354" s="30"/>
    </row>
    <row r="355" spans="20:25" x14ac:dyDescent="0.3">
      <c r="T355" s="30"/>
      <c r="U355" s="30"/>
      <c r="V355" s="30"/>
      <c r="W355" s="30"/>
      <c r="X355" s="30"/>
      <c r="Y355" s="30"/>
    </row>
    <row r="356" spans="20:25" x14ac:dyDescent="0.3">
      <c r="T356" s="30"/>
      <c r="U356" s="30"/>
      <c r="V356" s="30"/>
      <c r="W356" s="30"/>
      <c r="X356" s="30"/>
      <c r="Y356" s="30"/>
    </row>
    <row r="357" spans="20:25" x14ac:dyDescent="0.3">
      <c r="T357" s="30"/>
      <c r="U357" s="30"/>
      <c r="V357" s="30"/>
      <c r="W357" s="30"/>
      <c r="X357" s="30"/>
      <c r="Y357" s="30"/>
    </row>
    <row r="358" spans="20:25" x14ac:dyDescent="0.3">
      <c r="T358" s="30"/>
      <c r="U358" s="30"/>
      <c r="V358" s="30"/>
      <c r="W358" s="30"/>
      <c r="X358" s="30"/>
      <c r="Y358" s="30"/>
    </row>
    <row r="359" spans="20:25" x14ac:dyDescent="0.3">
      <c r="T359" s="30"/>
      <c r="U359" s="30"/>
      <c r="V359" s="30"/>
      <c r="W359" s="30"/>
      <c r="X359" s="30"/>
      <c r="Y359" s="30"/>
    </row>
    <row r="360" spans="20:25" x14ac:dyDescent="0.3">
      <c r="T360" s="30"/>
      <c r="U360" s="30"/>
      <c r="V360" s="30"/>
      <c r="W360" s="30"/>
      <c r="X360" s="30"/>
      <c r="Y360" s="30"/>
    </row>
    <row r="361" spans="20:25" x14ac:dyDescent="0.3">
      <c r="T361" s="30"/>
      <c r="U361" s="30"/>
      <c r="V361" s="30"/>
      <c r="W361" s="30"/>
      <c r="X361" s="30"/>
      <c r="Y361" s="30"/>
    </row>
    <row r="362" spans="20:25" x14ac:dyDescent="0.3">
      <c r="T362" s="30"/>
      <c r="U362" s="30"/>
      <c r="V362" s="30"/>
      <c r="W362" s="30"/>
      <c r="X362" s="30"/>
      <c r="Y362" s="30"/>
    </row>
    <row r="363" spans="20:25" x14ac:dyDescent="0.3">
      <c r="T363" s="30"/>
      <c r="U363" s="30"/>
      <c r="V363" s="30"/>
      <c r="W363" s="30"/>
      <c r="X363" s="30"/>
      <c r="Y363" s="30"/>
    </row>
    <row r="364" spans="20:25" x14ac:dyDescent="0.3">
      <c r="T364" s="30"/>
      <c r="U364" s="30"/>
      <c r="V364" s="30"/>
      <c r="W364" s="30"/>
      <c r="X364" s="30"/>
      <c r="Y364" s="30"/>
    </row>
    <row r="365" spans="20:25" x14ac:dyDescent="0.3">
      <c r="T365" s="30"/>
      <c r="U365" s="30"/>
      <c r="V365" s="30"/>
      <c r="W365" s="30"/>
      <c r="X365" s="30"/>
      <c r="Y365" s="30"/>
    </row>
    <row r="366" spans="20:25" x14ac:dyDescent="0.3">
      <c r="T366" s="30"/>
      <c r="U366" s="30"/>
      <c r="V366" s="30"/>
      <c r="W366" s="30"/>
      <c r="X366" s="30"/>
      <c r="Y366" s="30"/>
    </row>
    <row r="367" spans="20:25" x14ac:dyDescent="0.3">
      <c r="T367" s="30"/>
      <c r="U367" s="30"/>
      <c r="V367" s="30"/>
      <c r="W367" s="30"/>
      <c r="X367" s="30"/>
      <c r="Y367" s="30"/>
    </row>
    <row r="368" spans="20:25" x14ac:dyDescent="0.3">
      <c r="T368" s="30"/>
      <c r="U368" s="30"/>
      <c r="V368" s="30"/>
      <c r="W368" s="30"/>
      <c r="X368" s="30"/>
      <c r="Y368" s="30"/>
    </row>
    <row r="369" spans="20:25" x14ac:dyDescent="0.3">
      <c r="T369" s="30"/>
      <c r="U369" s="30"/>
      <c r="V369" s="30"/>
      <c r="W369" s="30"/>
      <c r="X369" s="30"/>
      <c r="Y369" s="30"/>
    </row>
    <row r="370" spans="20:25" x14ac:dyDescent="0.3">
      <c r="T370" s="30"/>
      <c r="U370" s="30"/>
      <c r="V370" s="30"/>
      <c r="W370" s="30"/>
      <c r="X370" s="30"/>
      <c r="Y370" s="30"/>
    </row>
    <row r="371" spans="20:25" x14ac:dyDescent="0.3">
      <c r="T371" s="30"/>
      <c r="U371" s="30"/>
      <c r="V371" s="30"/>
      <c r="W371" s="30"/>
      <c r="X371" s="30"/>
      <c r="Y371" s="30"/>
    </row>
    <row r="372" spans="20:25" x14ac:dyDescent="0.3">
      <c r="T372" s="30"/>
      <c r="U372" s="30"/>
      <c r="V372" s="30"/>
      <c r="W372" s="30"/>
      <c r="X372" s="30"/>
      <c r="Y372" s="30"/>
    </row>
    <row r="373" spans="20:25" x14ac:dyDescent="0.3">
      <c r="T373" s="30"/>
      <c r="U373" s="30"/>
      <c r="V373" s="30"/>
      <c r="W373" s="30"/>
      <c r="X373" s="30"/>
      <c r="Y373" s="30"/>
    </row>
    <row r="374" spans="20:25" x14ac:dyDescent="0.3">
      <c r="T374" s="30"/>
      <c r="U374" s="30"/>
      <c r="V374" s="30"/>
      <c r="W374" s="30"/>
      <c r="X374" s="30"/>
      <c r="Y374" s="30"/>
    </row>
    <row r="375" spans="20:25" x14ac:dyDescent="0.3">
      <c r="T375" s="30"/>
      <c r="U375" s="30"/>
      <c r="V375" s="30"/>
      <c r="W375" s="30"/>
      <c r="X375" s="30"/>
      <c r="Y375" s="30"/>
    </row>
    <row r="376" spans="20:25" x14ac:dyDescent="0.3">
      <c r="T376" s="30"/>
      <c r="U376" s="30"/>
      <c r="V376" s="30"/>
      <c r="W376" s="30"/>
      <c r="X376" s="30"/>
      <c r="Y376" s="30"/>
    </row>
    <row r="377" spans="20:25" x14ac:dyDescent="0.3">
      <c r="T377" s="30"/>
      <c r="U377" s="30"/>
      <c r="V377" s="30"/>
      <c r="W377" s="30"/>
      <c r="X377" s="30"/>
      <c r="Y377" s="30"/>
    </row>
    <row r="378" spans="20:25" x14ac:dyDescent="0.3">
      <c r="T378" s="30"/>
      <c r="U378" s="30"/>
      <c r="V378" s="30"/>
      <c r="W378" s="30"/>
      <c r="X378" s="30"/>
      <c r="Y378" s="30"/>
    </row>
    <row r="379" spans="20:25" x14ac:dyDescent="0.3">
      <c r="T379" s="30"/>
      <c r="U379" s="30"/>
      <c r="V379" s="30"/>
      <c r="W379" s="30"/>
      <c r="X379" s="30"/>
      <c r="Y379" s="30"/>
    </row>
    <row r="380" spans="20:25" x14ac:dyDescent="0.3">
      <c r="T380" s="30"/>
      <c r="U380" s="30"/>
      <c r="V380" s="30"/>
      <c r="W380" s="30"/>
      <c r="X380" s="30"/>
      <c r="Y380" s="30"/>
    </row>
    <row r="381" spans="20:25" x14ac:dyDescent="0.3">
      <c r="T381" s="30"/>
      <c r="U381" s="30"/>
      <c r="V381" s="30"/>
      <c r="W381" s="30"/>
      <c r="X381" s="30"/>
      <c r="Y381" s="30"/>
    </row>
    <row r="382" spans="20:25" x14ac:dyDescent="0.3">
      <c r="T382" s="30"/>
      <c r="U382" s="30"/>
      <c r="V382" s="30"/>
      <c r="W382" s="30"/>
      <c r="X382" s="30"/>
      <c r="Y382" s="30"/>
    </row>
    <row r="383" spans="20:25" x14ac:dyDescent="0.3">
      <c r="T383" s="30"/>
      <c r="U383" s="30"/>
      <c r="V383" s="30"/>
      <c r="W383" s="30"/>
      <c r="X383" s="30"/>
      <c r="Y383" s="30"/>
    </row>
    <row r="384" spans="20:25" x14ac:dyDescent="0.3">
      <c r="T384" s="30"/>
      <c r="U384" s="30"/>
      <c r="V384" s="30"/>
      <c r="W384" s="30"/>
      <c r="X384" s="30"/>
      <c r="Y384" s="30"/>
    </row>
    <row r="385" spans="20:25" x14ac:dyDescent="0.3">
      <c r="T385" s="30"/>
      <c r="U385" s="30"/>
      <c r="V385" s="30"/>
      <c r="W385" s="30"/>
      <c r="X385" s="30"/>
      <c r="Y385" s="30"/>
    </row>
    <row r="386" spans="20:25" x14ac:dyDescent="0.3">
      <c r="T386" s="30"/>
      <c r="U386" s="30"/>
      <c r="V386" s="30"/>
      <c r="W386" s="30"/>
      <c r="X386" s="30"/>
      <c r="Y386" s="30"/>
    </row>
    <row r="387" spans="20:25" x14ac:dyDescent="0.3">
      <c r="T387" s="30"/>
      <c r="U387" s="30"/>
      <c r="V387" s="30"/>
      <c r="W387" s="30"/>
      <c r="X387" s="30"/>
      <c r="Y387" s="30"/>
    </row>
    <row r="388" spans="20:25" x14ac:dyDescent="0.3">
      <c r="T388" s="30"/>
      <c r="U388" s="30"/>
      <c r="V388" s="30"/>
      <c r="W388" s="30"/>
      <c r="X388" s="30"/>
      <c r="Y388" s="30"/>
    </row>
    <row r="389" spans="20:25" x14ac:dyDescent="0.3">
      <c r="T389" s="30"/>
      <c r="U389" s="30"/>
      <c r="V389" s="30"/>
      <c r="W389" s="30"/>
      <c r="X389" s="30"/>
      <c r="Y389" s="30"/>
    </row>
    <row r="390" spans="20:25" x14ac:dyDescent="0.3">
      <c r="T390" s="30"/>
      <c r="U390" s="30"/>
      <c r="V390" s="30"/>
      <c r="W390" s="30"/>
      <c r="X390" s="30"/>
      <c r="Y390" s="30"/>
    </row>
    <row r="391" spans="20:25" x14ac:dyDescent="0.3">
      <c r="T391" s="30"/>
      <c r="U391" s="30"/>
      <c r="V391" s="30"/>
      <c r="W391" s="30"/>
      <c r="X391" s="30"/>
      <c r="Y391" s="30"/>
    </row>
    <row r="392" spans="20:25" x14ac:dyDescent="0.3">
      <c r="T392" s="30"/>
      <c r="U392" s="30"/>
      <c r="V392" s="30"/>
      <c r="W392" s="30"/>
      <c r="X392" s="30"/>
      <c r="Y392" s="30"/>
    </row>
    <row r="393" spans="20:25" x14ac:dyDescent="0.3">
      <c r="T393" s="30"/>
      <c r="U393" s="30"/>
      <c r="V393" s="30"/>
      <c r="W393" s="30"/>
      <c r="X393" s="30"/>
      <c r="Y393" s="30"/>
    </row>
    <row r="394" spans="20:25" x14ac:dyDescent="0.3">
      <c r="T394" s="30"/>
      <c r="U394" s="30"/>
      <c r="V394" s="30"/>
      <c r="W394" s="30"/>
      <c r="X394" s="30"/>
      <c r="Y394" s="30"/>
    </row>
    <row r="395" spans="20:25" x14ac:dyDescent="0.3">
      <c r="T395" s="30"/>
      <c r="U395" s="30"/>
      <c r="V395" s="30"/>
      <c r="W395" s="30"/>
      <c r="X395" s="30"/>
      <c r="Y395" s="30"/>
    </row>
    <row r="396" spans="20:25" x14ac:dyDescent="0.3">
      <c r="T396" s="30"/>
      <c r="U396" s="30"/>
      <c r="V396" s="30"/>
      <c r="W396" s="30"/>
      <c r="X396" s="30"/>
      <c r="Y396" s="30"/>
    </row>
    <row r="397" spans="20:25" x14ac:dyDescent="0.3">
      <c r="T397" s="30"/>
      <c r="U397" s="30"/>
      <c r="V397" s="30"/>
      <c r="W397" s="30"/>
      <c r="X397" s="30"/>
      <c r="Y397" s="30"/>
    </row>
    <row r="398" spans="20:25" x14ac:dyDescent="0.3">
      <c r="T398" s="30"/>
      <c r="U398" s="30"/>
      <c r="V398" s="30"/>
      <c r="W398" s="30"/>
      <c r="X398" s="30"/>
      <c r="Y398" s="30"/>
    </row>
    <row r="399" spans="20:25" x14ac:dyDescent="0.3">
      <c r="T399" s="30"/>
      <c r="U399" s="30"/>
      <c r="V399" s="30"/>
      <c r="W399" s="30"/>
      <c r="X399" s="30"/>
      <c r="Y399" s="30"/>
    </row>
    <row r="400" spans="20:25" x14ac:dyDescent="0.3">
      <c r="T400" s="30"/>
      <c r="U400" s="30"/>
      <c r="V400" s="30"/>
      <c r="W400" s="30"/>
      <c r="X400" s="30"/>
      <c r="Y400" s="30"/>
    </row>
    <row r="401" spans="20:25" x14ac:dyDescent="0.3">
      <c r="T401" s="30"/>
      <c r="U401" s="30"/>
      <c r="V401" s="30"/>
      <c r="W401" s="30"/>
      <c r="X401" s="30"/>
      <c r="Y401" s="30"/>
    </row>
    <row r="402" spans="20:25" x14ac:dyDescent="0.3">
      <c r="T402" s="30"/>
      <c r="U402" s="30"/>
      <c r="V402" s="30"/>
      <c r="W402" s="30"/>
      <c r="X402" s="30"/>
      <c r="Y402" s="30"/>
    </row>
    <row r="403" spans="20:25" x14ac:dyDescent="0.3">
      <c r="T403" s="30"/>
      <c r="U403" s="30"/>
      <c r="V403" s="30"/>
      <c r="W403" s="30"/>
      <c r="X403" s="30"/>
      <c r="Y403" s="30"/>
    </row>
    <row r="404" spans="20:25" x14ac:dyDescent="0.3">
      <c r="T404" s="30"/>
      <c r="U404" s="30"/>
      <c r="V404" s="30"/>
      <c r="W404" s="30"/>
      <c r="X404" s="30"/>
      <c r="Y404" s="30"/>
    </row>
    <row r="405" spans="20:25" x14ac:dyDescent="0.3">
      <c r="T405" s="30"/>
      <c r="U405" s="30"/>
      <c r="V405" s="30"/>
      <c r="W405" s="30"/>
      <c r="X405" s="30"/>
      <c r="Y405" s="30"/>
    </row>
    <row r="406" spans="20:25" x14ac:dyDescent="0.3">
      <c r="T406" s="30"/>
      <c r="U406" s="30"/>
      <c r="V406" s="30"/>
      <c r="W406" s="30"/>
      <c r="X406" s="30"/>
      <c r="Y406" s="30"/>
    </row>
    <row r="407" spans="20:25" x14ac:dyDescent="0.3">
      <c r="T407" s="30"/>
      <c r="U407" s="30"/>
      <c r="V407" s="30"/>
      <c r="W407" s="30"/>
      <c r="X407" s="30"/>
      <c r="Y407" s="30"/>
    </row>
    <row r="408" spans="20:25" x14ac:dyDescent="0.3">
      <c r="T408" s="30"/>
      <c r="U408" s="30"/>
      <c r="V408" s="30"/>
      <c r="W408" s="30"/>
      <c r="X408" s="30"/>
      <c r="Y408" s="30"/>
    </row>
    <row r="409" spans="20:25" x14ac:dyDescent="0.3">
      <c r="T409" s="30"/>
      <c r="U409" s="30"/>
      <c r="V409" s="30"/>
      <c r="W409" s="30"/>
      <c r="X409" s="30"/>
      <c r="Y409" s="30"/>
    </row>
    <row r="410" spans="20:25" x14ac:dyDescent="0.3">
      <c r="T410" s="30"/>
      <c r="U410" s="30"/>
      <c r="V410" s="30"/>
      <c r="W410" s="30"/>
      <c r="X410" s="30"/>
      <c r="Y410" s="30"/>
    </row>
    <row r="411" spans="20:25" x14ac:dyDescent="0.3">
      <c r="T411" s="30"/>
      <c r="U411" s="30"/>
      <c r="V411" s="30"/>
      <c r="W411" s="30"/>
      <c r="X411" s="30"/>
      <c r="Y411" s="30"/>
    </row>
    <row r="412" spans="20:25" x14ac:dyDescent="0.3">
      <c r="T412" s="30"/>
      <c r="U412" s="30"/>
      <c r="V412" s="30"/>
      <c r="W412" s="30"/>
      <c r="X412" s="30"/>
      <c r="Y412" s="30"/>
    </row>
    <row r="413" spans="20:25" x14ac:dyDescent="0.3">
      <c r="T413" s="30"/>
      <c r="U413" s="30"/>
      <c r="V413" s="30"/>
      <c r="W413" s="30"/>
      <c r="X413" s="30"/>
      <c r="Y413" s="30"/>
    </row>
    <row r="414" spans="20:25" x14ac:dyDescent="0.3">
      <c r="T414" s="30"/>
      <c r="U414" s="30"/>
      <c r="V414" s="30"/>
      <c r="W414" s="30"/>
      <c r="X414" s="30"/>
      <c r="Y414" s="30"/>
    </row>
    <row r="415" spans="20:25" x14ac:dyDescent="0.3">
      <c r="T415" s="30"/>
      <c r="U415" s="30"/>
      <c r="V415" s="30"/>
      <c r="W415" s="30"/>
      <c r="X415" s="30"/>
      <c r="Y415" s="30"/>
    </row>
    <row r="416" spans="20:25" x14ac:dyDescent="0.3">
      <c r="T416" s="30"/>
      <c r="U416" s="30"/>
      <c r="V416" s="30"/>
      <c r="W416" s="30"/>
      <c r="X416" s="30"/>
      <c r="Y416" s="30"/>
    </row>
    <row r="417" spans="20:25" x14ac:dyDescent="0.3">
      <c r="T417" s="30"/>
      <c r="U417" s="30"/>
      <c r="V417" s="30"/>
      <c r="W417" s="30"/>
      <c r="X417" s="30"/>
      <c r="Y417" s="30"/>
    </row>
    <row r="418" spans="20:25" x14ac:dyDescent="0.3">
      <c r="T418" s="30"/>
      <c r="U418" s="30"/>
      <c r="V418" s="30"/>
      <c r="W418" s="30"/>
      <c r="X418" s="30"/>
      <c r="Y418" s="30"/>
    </row>
    <row r="419" spans="20:25" x14ac:dyDescent="0.3">
      <c r="T419" s="30"/>
      <c r="U419" s="30"/>
      <c r="V419" s="30"/>
      <c r="W419" s="30"/>
      <c r="X419" s="30"/>
      <c r="Y419" s="30"/>
    </row>
    <row r="420" spans="20:25" x14ac:dyDescent="0.3">
      <c r="T420" s="30"/>
      <c r="U420" s="30"/>
      <c r="V420" s="30"/>
      <c r="W420" s="30"/>
      <c r="X420" s="30"/>
      <c r="Y420" s="30"/>
    </row>
    <row r="421" spans="20:25" x14ac:dyDescent="0.3">
      <c r="T421" s="30"/>
      <c r="U421" s="30"/>
      <c r="V421" s="30"/>
      <c r="W421" s="30"/>
      <c r="X421" s="30"/>
      <c r="Y421" s="30"/>
    </row>
    <row r="422" spans="20:25" x14ac:dyDescent="0.3">
      <c r="T422" s="30"/>
      <c r="U422" s="30"/>
      <c r="V422" s="30"/>
      <c r="W422" s="30"/>
      <c r="X422" s="30"/>
      <c r="Y422" s="30"/>
    </row>
    <row r="423" spans="20:25" x14ac:dyDescent="0.3">
      <c r="T423" s="30"/>
      <c r="U423" s="30"/>
      <c r="V423" s="30"/>
      <c r="W423" s="30"/>
      <c r="X423" s="30"/>
      <c r="Y423" s="30"/>
    </row>
    <row r="424" spans="20:25" x14ac:dyDescent="0.3">
      <c r="T424" s="30"/>
      <c r="U424" s="30"/>
      <c r="V424" s="30"/>
      <c r="W424" s="30"/>
      <c r="X424" s="30"/>
      <c r="Y424" s="30"/>
    </row>
    <row r="425" spans="20:25" x14ac:dyDescent="0.3">
      <c r="T425" s="30"/>
      <c r="U425" s="30"/>
      <c r="V425" s="30"/>
      <c r="W425" s="30"/>
      <c r="X425" s="30"/>
      <c r="Y425" s="30"/>
    </row>
    <row r="426" spans="20:25" x14ac:dyDescent="0.3">
      <c r="T426" s="30"/>
      <c r="U426" s="30"/>
      <c r="V426" s="30"/>
      <c r="W426" s="30"/>
      <c r="X426" s="30"/>
      <c r="Y426" s="30"/>
    </row>
    <row r="427" spans="20:25" x14ac:dyDescent="0.3">
      <c r="T427" s="30"/>
      <c r="U427" s="30"/>
      <c r="V427" s="30"/>
      <c r="W427" s="30"/>
      <c r="X427" s="30"/>
      <c r="Y427" s="30"/>
    </row>
    <row r="428" spans="20:25" x14ac:dyDescent="0.3">
      <c r="T428" s="30"/>
      <c r="U428" s="30"/>
      <c r="V428" s="30"/>
      <c r="W428" s="30"/>
      <c r="X428" s="30"/>
      <c r="Y428" s="30"/>
    </row>
    <row r="429" spans="20:25" x14ac:dyDescent="0.3">
      <c r="T429" s="30"/>
      <c r="U429" s="30"/>
      <c r="V429" s="30"/>
      <c r="W429" s="30"/>
      <c r="X429" s="30"/>
      <c r="Y429" s="30"/>
    </row>
    <row r="430" spans="20:25" x14ac:dyDescent="0.3">
      <c r="T430" s="30"/>
      <c r="U430" s="30"/>
      <c r="V430" s="30"/>
      <c r="W430" s="30"/>
      <c r="X430" s="30"/>
      <c r="Y430" s="30"/>
    </row>
    <row r="431" spans="20:25" x14ac:dyDescent="0.3">
      <c r="T431" s="30"/>
      <c r="U431" s="30"/>
      <c r="V431" s="30"/>
      <c r="W431" s="30"/>
      <c r="X431" s="30"/>
      <c r="Y431" s="30"/>
    </row>
    <row r="432" spans="20:25" x14ac:dyDescent="0.3">
      <c r="T432" s="30"/>
      <c r="U432" s="30"/>
      <c r="V432" s="30"/>
      <c r="W432" s="30"/>
      <c r="X432" s="30"/>
      <c r="Y432" s="30"/>
    </row>
    <row r="433" spans="20:25" x14ac:dyDescent="0.3">
      <c r="T433" s="30"/>
      <c r="U433" s="30"/>
      <c r="V433" s="30"/>
      <c r="W433" s="30"/>
      <c r="X433" s="30"/>
      <c r="Y433" s="30"/>
    </row>
    <row r="434" spans="20:25" x14ac:dyDescent="0.3">
      <c r="T434" s="30"/>
      <c r="U434" s="30"/>
      <c r="V434" s="30"/>
      <c r="W434" s="30"/>
      <c r="X434" s="30"/>
      <c r="Y434" s="30"/>
    </row>
    <row r="435" spans="20:25" x14ac:dyDescent="0.3">
      <c r="T435" s="30"/>
      <c r="U435" s="30"/>
      <c r="V435" s="30"/>
      <c r="W435" s="30"/>
      <c r="X435" s="30"/>
      <c r="Y435" s="30"/>
    </row>
    <row r="436" spans="20:25" x14ac:dyDescent="0.3">
      <c r="T436" s="30"/>
      <c r="U436" s="30"/>
      <c r="V436" s="30"/>
      <c r="W436" s="30"/>
      <c r="X436" s="30"/>
      <c r="Y436" s="30"/>
    </row>
    <row r="437" spans="20:25" x14ac:dyDescent="0.3">
      <c r="T437" s="30"/>
      <c r="U437" s="30"/>
      <c r="V437" s="30"/>
      <c r="W437" s="30"/>
      <c r="X437" s="30"/>
      <c r="Y437" s="30"/>
    </row>
    <row r="438" spans="20:25" x14ac:dyDescent="0.3">
      <c r="T438" s="30"/>
      <c r="U438" s="30"/>
      <c r="V438" s="30"/>
      <c r="W438" s="30"/>
      <c r="X438" s="30"/>
      <c r="Y438" s="30"/>
    </row>
    <row r="439" spans="20:25" x14ac:dyDescent="0.3">
      <c r="T439" s="30"/>
      <c r="U439" s="30"/>
      <c r="V439" s="30"/>
      <c r="W439" s="30"/>
      <c r="X439" s="30"/>
      <c r="Y439" s="30"/>
    </row>
    <row r="440" spans="20:25" x14ac:dyDescent="0.3">
      <c r="T440" s="30"/>
      <c r="U440" s="30"/>
      <c r="V440" s="30"/>
      <c r="W440" s="30"/>
      <c r="X440" s="30"/>
      <c r="Y440" s="30"/>
    </row>
    <row r="441" spans="20:25" x14ac:dyDescent="0.3">
      <c r="T441" s="30"/>
      <c r="U441" s="30"/>
      <c r="V441" s="30"/>
      <c r="W441" s="30"/>
      <c r="X441" s="30"/>
      <c r="Y441" s="30"/>
    </row>
    <row r="442" spans="20:25" x14ac:dyDescent="0.3">
      <c r="T442" s="30"/>
      <c r="U442" s="30"/>
      <c r="V442" s="30"/>
      <c r="W442" s="30"/>
      <c r="X442" s="30"/>
      <c r="Y442" s="30"/>
    </row>
    <row r="443" spans="20:25" x14ac:dyDescent="0.3">
      <c r="T443" s="30"/>
      <c r="U443" s="30"/>
      <c r="V443" s="30"/>
      <c r="W443" s="30"/>
      <c r="X443" s="30"/>
      <c r="Y443" s="30"/>
    </row>
    <row r="444" spans="20:25" x14ac:dyDescent="0.3">
      <c r="T444" s="30"/>
      <c r="U444" s="30"/>
      <c r="V444" s="30"/>
      <c r="W444" s="30"/>
      <c r="X444" s="30"/>
      <c r="Y444" s="30"/>
    </row>
    <row r="445" spans="20:25" x14ac:dyDescent="0.3">
      <c r="T445" s="30"/>
      <c r="U445" s="30"/>
      <c r="V445" s="30"/>
      <c r="W445" s="30"/>
      <c r="X445" s="30"/>
      <c r="Y445" s="30"/>
    </row>
    <row r="446" spans="20:25" x14ac:dyDescent="0.3">
      <c r="T446" s="30"/>
      <c r="U446" s="30"/>
      <c r="V446" s="30"/>
      <c r="W446" s="30"/>
      <c r="X446" s="30"/>
      <c r="Y446" s="30"/>
    </row>
    <row r="447" spans="20:25" x14ac:dyDescent="0.3">
      <c r="T447" s="30"/>
      <c r="U447" s="30"/>
      <c r="V447" s="30"/>
      <c r="W447" s="30"/>
      <c r="X447" s="30"/>
      <c r="Y447" s="30"/>
    </row>
    <row r="448" spans="20:25" x14ac:dyDescent="0.3">
      <c r="T448" s="30"/>
      <c r="U448" s="30"/>
      <c r="V448" s="30"/>
      <c r="W448" s="30"/>
      <c r="X448" s="30"/>
      <c r="Y448" s="30"/>
    </row>
    <row r="449" spans="20:25" x14ac:dyDescent="0.3">
      <c r="T449" s="30"/>
      <c r="U449" s="30"/>
      <c r="V449" s="30"/>
      <c r="W449" s="30"/>
      <c r="X449" s="30"/>
      <c r="Y449" s="30"/>
    </row>
    <row r="450" spans="20:25" x14ac:dyDescent="0.3">
      <c r="T450" s="30"/>
      <c r="U450" s="30"/>
      <c r="V450" s="30"/>
      <c r="W450" s="30"/>
      <c r="X450" s="30"/>
      <c r="Y450" s="30"/>
    </row>
    <row r="451" spans="20:25" x14ac:dyDescent="0.3">
      <c r="T451" s="30"/>
      <c r="U451" s="30"/>
      <c r="V451" s="30"/>
      <c r="W451" s="30"/>
      <c r="X451" s="30"/>
      <c r="Y451" s="30"/>
    </row>
    <row r="452" spans="20:25" x14ac:dyDescent="0.3">
      <c r="T452" s="30"/>
      <c r="U452" s="30"/>
      <c r="V452" s="30"/>
      <c r="W452" s="30"/>
      <c r="X452" s="30"/>
      <c r="Y452" s="30"/>
    </row>
    <row r="453" spans="20:25" x14ac:dyDescent="0.3">
      <c r="T453" s="30"/>
      <c r="U453" s="30"/>
      <c r="V453" s="30"/>
      <c r="W453" s="30"/>
      <c r="X453" s="30"/>
      <c r="Y453" s="30"/>
    </row>
    <row r="454" spans="20:25" x14ac:dyDescent="0.3">
      <c r="T454" s="30"/>
      <c r="U454" s="30"/>
      <c r="V454" s="30"/>
      <c r="W454" s="30"/>
      <c r="X454" s="30"/>
      <c r="Y454" s="30"/>
    </row>
    <row r="455" spans="20:25" x14ac:dyDescent="0.3">
      <c r="T455" s="30"/>
      <c r="U455" s="30"/>
      <c r="V455" s="30"/>
      <c r="W455" s="30"/>
      <c r="X455" s="30"/>
      <c r="Y455" s="30"/>
    </row>
    <row r="456" spans="20:25" x14ac:dyDescent="0.3">
      <c r="T456" s="30"/>
      <c r="U456" s="30"/>
      <c r="V456" s="30"/>
      <c r="W456" s="30"/>
      <c r="X456" s="30"/>
      <c r="Y456" s="30"/>
    </row>
    <row r="457" spans="20:25" x14ac:dyDescent="0.3">
      <c r="T457" s="30"/>
      <c r="U457" s="30"/>
      <c r="V457" s="30"/>
      <c r="W457" s="30"/>
      <c r="X457" s="30"/>
      <c r="Y457" s="30"/>
    </row>
    <row r="458" spans="20:25" x14ac:dyDescent="0.3">
      <c r="T458" s="30"/>
      <c r="U458" s="30"/>
      <c r="V458" s="30"/>
      <c r="W458" s="30"/>
      <c r="X458" s="30"/>
      <c r="Y458" s="30"/>
    </row>
    <row r="459" spans="20:25" x14ac:dyDescent="0.3">
      <c r="T459" s="30"/>
      <c r="U459" s="30"/>
      <c r="V459" s="30"/>
      <c r="W459" s="30"/>
      <c r="X459" s="30"/>
      <c r="Y459" s="30"/>
    </row>
    <row r="460" spans="20:25" x14ac:dyDescent="0.3">
      <c r="T460" s="30"/>
      <c r="U460" s="30"/>
      <c r="V460" s="30"/>
      <c r="W460" s="30"/>
      <c r="X460" s="30"/>
      <c r="Y460" s="30"/>
    </row>
    <row r="461" spans="20:25" x14ac:dyDescent="0.3">
      <c r="T461" s="30"/>
      <c r="U461" s="30"/>
      <c r="V461" s="30"/>
      <c r="W461" s="30"/>
      <c r="X461" s="30"/>
      <c r="Y461" s="30"/>
    </row>
    <row r="462" spans="20:25" x14ac:dyDescent="0.3">
      <c r="T462" s="30"/>
      <c r="U462" s="30"/>
      <c r="V462" s="30"/>
      <c r="W462" s="30"/>
      <c r="X462" s="30"/>
      <c r="Y462" s="30"/>
    </row>
    <row r="463" spans="20:25" x14ac:dyDescent="0.3">
      <c r="T463" s="30"/>
      <c r="U463" s="30"/>
      <c r="V463" s="30"/>
      <c r="W463" s="30"/>
      <c r="X463" s="30"/>
      <c r="Y463" s="30"/>
    </row>
    <row r="464" spans="20:25" x14ac:dyDescent="0.3">
      <c r="T464" s="30"/>
      <c r="U464" s="30"/>
      <c r="V464" s="30"/>
      <c r="W464" s="30"/>
      <c r="X464" s="30"/>
      <c r="Y464" s="30"/>
    </row>
    <row r="465" spans="20:25" x14ac:dyDescent="0.3">
      <c r="T465" s="30"/>
      <c r="U465" s="30"/>
      <c r="V465" s="30"/>
      <c r="W465" s="30"/>
      <c r="X465" s="30"/>
      <c r="Y465" s="30"/>
    </row>
    <row r="466" spans="20:25" x14ac:dyDescent="0.3">
      <c r="T466" s="30"/>
      <c r="U466" s="30"/>
      <c r="V466" s="30"/>
      <c r="W466" s="30"/>
      <c r="X466" s="30"/>
      <c r="Y466" s="30"/>
    </row>
    <row r="467" spans="20:25" x14ac:dyDescent="0.3">
      <c r="T467" s="30"/>
      <c r="U467" s="30"/>
      <c r="V467" s="30"/>
      <c r="W467" s="30"/>
      <c r="X467" s="30"/>
      <c r="Y467" s="30"/>
    </row>
    <row r="468" spans="20:25" x14ac:dyDescent="0.3">
      <c r="T468" s="30"/>
      <c r="U468" s="30"/>
      <c r="V468" s="30"/>
      <c r="W468" s="30"/>
      <c r="X468" s="30"/>
      <c r="Y468" s="30"/>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7" sqref="B67"/>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2021-11-14T02:37:32Z</dcterms:modified>
</cp:coreProperties>
</file>