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9BD5A084-E64B-4FD7-B671-EC8DEDABB03E}"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248" i="1" l="1"/>
  <c r="AG248" i="1"/>
  <c r="AF248" i="1"/>
  <c r="AE248" i="1"/>
  <c r="AD248" i="1"/>
  <c r="AC248" i="1"/>
  <c r="AB248" i="1"/>
  <c r="AJ248" i="1" s="1"/>
  <c r="AI249" i="1"/>
  <c r="AJ249" i="1"/>
  <c r="AK249" i="1"/>
  <c r="AL249" i="1"/>
  <c r="AM249" i="1"/>
  <c r="AN249" i="1"/>
  <c r="L249" i="1"/>
  <c r="C589" i="4"/>
  <c r="D589" i="4"/>
  <c r="E589" i="4"/>
  <c r="F589" i="4"/>
  <c r="G589" i="4"/>
  <c r="H589" i="4"/>
  <c r="B589" i="4"/>
  <c r="C588" i="4"/>
  <c r="D588" i="4"/>
  <c r="E588" i="4"/>
  <c r="F588" i="4"/>
  <c r="G588" i="4"/>
  <c r="H588" i="4"/>
  <c r="B588" i="4"/>
  <c r="L248" i="1"/>
  <c r="M248" i="1"/>
  <c r="AH247" i="1"/>
  <c r="AG247" i="1"/>
  <c r="AF247" i="1"/>
  <c r="AE247" i="1"/>
  <c r="AD247" i="1"/>
  <c r="AC247" i="1"/>
  <c r="AB247" i="1"/>
  <c r="AU247" i="1"/>
  <c r="AD246" i="1"/>
  <c r="L247" i="1"/>
  <c r="M247" i="1"/>
  <c r="AH246" i="1"/>
  <c r="AG246" i="1"/>
  <c r="AF246" i="1"/>
  <c r="AE246" i="1"/>
  <c r="AC246" i="1"/>
  <c r="AB246" i="1"/>
  <c r="AI245" i="1"/>
  <c r="AJ245" i="1"/>
  <c r="AK245" i="1"/>
  <c r="AL245" i="1"/>
  <c r="AM245" i="1"/>
  <c r="AN245" i="1"/>
  <c r="AH245" i="1"/>
  <c r="AG245" i="1"/>
  <c r="AF245" i="1"/>
  <c r="AE245" i="1"/>
  <c r="AD245" i="1"/>
  <c r="AC245" i="1"/>
  <c r="AB245" i="1"/>
  <c r="M246" i="1" s="1"/>
  <c r="L246" i="1"/>
  <c r="L245" i="1"/>
  <c r="M245" i="1"/>
  <c r="AH244" i="1"/>
  <c r="AG244" i="1"/>
  <c r="AM244" i="1" s="1"/>
  <c r="AF244" i="1"/>
  <c r="AL244" i="1" s="1"/>
  <c r="AE244" i="1"/>
  <c r="AD244" i="1"/>
  <c r="AJ244" i="1" s="1"/>
  <c r="AC244" i="1"/>
  <c r="AI244" i="1" s="1"/>
  <c r="AB244" i="1"/>
  <c r="AN248" i="1" l="1"/>
  <c r="AL248" i="1"/>
  <c r="AI248" i="1"/>
  <c r="M249" i="1"/>
  <c r="AM248" i="1"/>
  <c r="AK248" i="1"/>
  <c r="AI247" i="1"/>
  <c r="AN247" i="1"/>
  <c r="AK247" i="1"/>
  <c r="AJ247" i="1"/>
  <c r="AM247" i="1"/>
  <c r="AL247" i="1"/>
  <c r="AM246" i="1"/>
  <c r="AJ246" i="1"/>
  <c r="AI246" i="1"/>
  <c r="AK246" i="1"/>
  <c r="AN246" i="1"/>
  <c r="AL246" i="1"/>
  <c r="AK244" i="1"/>
  <c r="AN244" i="1"/>
  <c r="L244" i="1"/>
  <c r="M244" i="1"/>
  <c r="AH243" i="1"/>
  <c r="AG243" i="1"/>
  <c r="AF243" i="1"/>
  <c r="AE243" i="1"/>
  <c r="AD243" i="1"/>
  <c r="AC243" i="1"/>
  <c r="AI243" i="1" s="1"/>
  <c r="AB243" i="1"/>
  <c r="AU243" i="1"/>
  <c r="AJ243" i="1"/>
  <c r="L243" i="1"/>
  <c r="M243" i="1"/>
  <c r="AI242" i="1"/>
  <c r="AJ242" i="1"/>
  <c r="AK242" i="1"/>
  <c r="AL242" i="1"/>
  <c r="AM242" i="1"/>
  <c r="AN242" i="1"/>
  <c r="AH242" i="1"/>
  <c r="AG242" i="1"/>
  <c r="AF242" i="1"/>
  <c r="AE242" i="1"/>
  <c r="AD242" i="1"/>
  <c r="AC242" i="1"/>
  <c r="AB242" i="1"/>
  <c r="L242" i="1"/>
  <c r="M242" i="1"/>
  <c r="AH241" i="1"/>
  <c r="AG241" i="1"/>
  <c r="AF241" i="1"/>
  <c r="AE241" i="1"/>
  <c r="AD241" i="1"/>
  <c r="AC241" i="1"/>
  <c r="AB241" i="1"/>
  <c r="L241" i="1"/>
  <c r="M241" i="1"/>
  <c r="AH240" i="1"/>
  <c r="AG240" i="1"/>
  <c r="AF240" i="1"/>
  <c r="AE240" i="1"/>
  <c r="AD240" i="1"/>
  <c r="AC240" i="1"/>
  <c r="AB240" i="1"/>
  <c r="AK240" i="1" s="1"/>
  <c r="AI240" i="1"/>
  <c r="AJ240" i="1"/>
  <c r="AN240" i="1"/>
  <c r="L240" i="1"/>
  <c r="M240" i="1"/>
  <c r="AH239" i="1"/>
  <c r="AN239" i="1" s="1"/>
  <c r="AG239" i="1"/>
  <c r="AE239" i="1"/>
  <c r="AF239" i="1"/>
  <c r="AC239" i="1"/>
  <c r="AB239" i="1"/>
  <c r="AD239" i="1"/>
  <c r="AK239" i="1"/>
  <c r="AI239" i="1"/>
  <c r="AJ239" i="1"/>
  <c r="AM239" i="1"/>
  <c r="L239" i="1"/>
  <c r="M239" i="1"/>
  <c r="AI238" i="1"/>
  <c r="AJ238" i="1"/>
  <c r="AK238" i="1"/>
  <c r="AL238" i="1"/>
  <c r="AM238" i="1"/>
  <c r="AN238" i="1"/>
  <c r="AH238" i="1"/>
  <c r="AG238" i="1"/>
  <c r="AF238" i="1"/>
  <c r="AE238" i="1"/>
  <c r="AD238" i="1"/>
  <c r="AC238" i="1"/>
  <c r="AB238" i="1"/>
  <c r="L238" i="1"/>
  <c r="M238" i="1"/>
  <c r="AI237" i="1"/>
  <c r="AJ237" i="1"/>
  <c r="AK237" i="1"/>
  <c r="AL237" i="1"/>
  <c r="AM237" i="1"/>
  <c r="AN237" i="1"/>
  <c r="AH237" i="1"/>
  <c r="AG237" i="1"/>
  <c r="AF237" i="1"/>
  <c r="AE237" i="1"/>
  <c r="AD237" i="1"/>
  <c r="AC237" i="1"/>
  <c r="AB237" i="1"/>
  <c r="L237" i="1"/>
  <c r="M237" i="1"/>
  <c r="AI236" i="1"/>
  <c r="AJ236" i="1"/>
  <c r="AK236" i="1"/>
  <c r="AL236" i="1"/>
  <c r="AM236" i="1"/>
  <c r="AN236" i="1"/>
  <c r="AH236" i="1"/>
  <c r="AG236" i="1"/>
  <c r="AF236" i="1"/>
  <c r="AE236" i="1"/>
  <c r="AD236" i="1"/>
  <c r="AC236" i="1"/>
  <c r="AB236" i="1"/>
  <c r="L236" i="1"/>
  <c r="M236" i="1"/>
  <c r="AH235" i="1"/>
  <c r="AG235" i="1"/>
  <c r="AF235" i="1"/>
  <c r="AE235" i="1"/>
  <c r="AD235" i="1"/>
  <c r="AC235" i="1"/>
  <c r="AB235" i="1"/>
  <c r="AI235" i="1"/>
  <c r="AJ235" i="1"/>
  <c r="L235" i="1"/>
  <c r="M235" i="1"/>
  <c r="AH234" i="1"/>
  <c r="AN234" i="1" s="1"/>
  <c r="AG234" i="1"/>
  <c r="AF234" i="1"/>
  <c r="AE234" i="1"/>
  <c r="AD234" i="1"/>
  <c r="AC234" i="1"/>
  <c r="AB234" i="1"/>
  <c r="AH233" i="1"/>
  <c r="AG233" i="1"/>
  <c r="AF233" i="1"/>
  <c r="AE233" i="1"/>
  <c r="AK233" i="1" s="1"/>
  <c r="AD233" i="1"/>
  <c r="AC233" i="1"/>
  <c r="AB233" i="1"/>
  <c r="AI234" i="1"/>
  <c r="AJ234" i="1"/>
  <c r="AK234" i="1"/>
  <c r="AL234" i="1"/>
  <c r="AM234" i="1"/>
  <c r="L234" i="1"/>
  <c r="AJ233" i="1"/>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N243" i="1" l="1"/>
  <c r="AK243" i="1"/>
  <c r="AM243" i="1"/>
  <c r="AL243" i="1"/>
  <c r="AN241" i="1"/>
  <c r="AI241" i="1"/>
  <c r="AM241" i="1"/>
  <c r="AL241" i="1"/>
  <c r="AK241" i="1"/>
  <c r="AJ241" i="1"/>
  <c r="AM240" i="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<sst xmlns="http://schemas.openxmlformats.org/spreadsheetml/2006/main" count="5234" uniqueCount="1304">
  <si>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</si>
  <si>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</si>
  <si>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</si>
  <si>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</si>
  <si>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</si>
  <si>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</si>
  <si>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</si>
  <si>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</si>
  <si>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</si>
  <si>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</si>
  <si>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</si>
  <si>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</si>
  <si>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</si>
  <si>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</si>
  <si>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</si>
  <si>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</si>
  <si>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</si>
  <si>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</si>
  <si>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</si>
  <si>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</si>
  <si>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</si>
  <si>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</si>
  <si>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</si>
  <si>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</si>
  <si>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</si>
  <si>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</si>
  <si>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</si>
  <si>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</si>
  <si>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</si>
  <si>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</si>
  <si>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</si>
  <si>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</si>
  <si>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</si>
  <si>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</si>
  <si>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</si>
  <si>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</si>
  <si>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</si>
  <si>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</si>
  <si>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</si>
  <si>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</si>
  <si>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</si>
  <si>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</si>
  <si>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</si>
  <si>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</si>
  <si>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</si>
  <si>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</si>
  <si>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</si>
  <si>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</si>
  <si>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</si>
  <si>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</si>
  <si>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</si>
  <si>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</si>
  <si>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</si>
  <si>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</si>
  <si>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</si>
  <si>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</si>
  <si>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</si>
  <si>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</si>
  <si>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</si>
  <si>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</si>
  <si>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</si>
  <si>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</si>
  <si>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</si>
  <si>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</si>
  <si>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</si>
  <si>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</si>
  <si>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</si>
  <si>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</si>
  <si>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</si>
  <si>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</si>
  <si>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</si>
  <si>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</si>
  <si>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</si>
  <si>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</si>
  <si>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</si>
  <si>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</si>
  <si>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</si>
  <si>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</si>
  <si>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</si>
  <si>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</si>
  <si>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</si>
  <si>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</si>
  <si>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</si>
  <si>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</si>
  <si>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</si>
  <si>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</si>
  <si>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</si>
  <si>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</si>
  <si>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</si>
  <si>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</si>
  <si>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</si>
  <si>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</si>
  <si>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</si>
  <si>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</si>
  <si>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</si>
  <si>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</si>
  <si>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</si>
  <si>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</si>
  <si>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</si>
  <si>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</si>
  <si>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</si>
  <si>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</si>
  <si>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</si>
  <si>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</si>
  <si>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</si>
  <si>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</si>
  <si>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</si>
  <si>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</si>
  <si>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</si>
  <si>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</si>
  <si>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</si>
  <si>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</si>
  <si>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</si>
  <si>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</si>
  <si>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</si>
  <si>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</si>
  <si>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</si>
  <si>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</si>
  <si>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</si>
  <si>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</si>
  <si>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</si>
  <si>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</si>
  <si>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</si>
  <si>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</si>
  <si>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</si>
  <si>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</si>
  <si>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</si>
  <si>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</si>
  <si>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</si>
  <si>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</si>
  <si>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</si>
  <si>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</si>
  <si>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</si>
  <si>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</si>
  <si>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</si>
  <si>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</si>
  <si>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</si>
  <si>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</si>
  <si>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</si>
  <si>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</si>
  <si>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</si>
  <si>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</si>
  <si>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</si>
  <si>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</si>
  <si>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</si>
  <si>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</si>
  <si>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</si>
  <si>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</si>
  <si>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</si>
  <si>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</si>
  <si>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</si>
  <si>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</si>
  <si>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</si>
  <si>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</si>
  <si>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</si>
  <si>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</si>
  <si>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</si>
  <si>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</si>
  <si>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</si>
  <si>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</si>
  <si>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</si>
  <si>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</si>
  <si>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</si>
  <si>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</si>
  <si>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</si>
  <si>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</si>
  <si>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</si>
  <si>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</si>
  <si>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</si>
  <si>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</si>
  <si>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</si>
  <si>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</si>
  <si>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</si>
  <si>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</si>
  <si>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</si>
  <si>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</si>
  <si>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</si>
  <si>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</si>
  <si>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</si>
  <si>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</si>
  <si>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</si>
  <si>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</si>
  <si>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</si>
  <si>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</si>
  <si>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</si>
  <si>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</si>
  <si>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</si>
  <si>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</si>
  <si>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</si>
  <si>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</si>
  <si>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</si>
  <si>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</si>
  <si>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</si>
  <si>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</si>
  <si>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</si>
  <si>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</si>
  <si>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</si>
  <si>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</si>
  <si>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</si>
  <si>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</si>
  <si>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</si>
  <si>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</si>
  <si>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</si>
  <si>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</si>
  <si>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</si>
  <si>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</si>
  <si>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</si>
  <si>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</si>
  <si>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</si>
  <si>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</si>
  <si>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</si>
  <si>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</si>
  <si>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</si>
  <si>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</si>
  <si>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</si>
  <si>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</si>
  <si>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</si>
  <si>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</si>
  <si>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</si>
  <si>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</si>
  <si>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</si>
  <si>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</si>
  <si>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</si>
  <si>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</si>
  <si>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</si>
  <si>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</si>
  <si>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</si>
  <si>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</si>
  <si>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</si>
  <si>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</si>
  <si>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</si>
  <si>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</si>
  <si>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</si>
  <si>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</si>
  <si>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</si>
  <si>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</si>
  <si>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</si>
  <si>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</si>
  <si>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</si>
  <si>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</si>
  <si>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</si>
  <si>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</si>
  <si>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</si>
  <si>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</si>
  <si>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</si>
  <si>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</si>
  <si>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</si>
  <si>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</si>
  <si>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</si>
  <si>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</si>
  <si>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</si>
  <si>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</si>
  <si>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</si>
  <si>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</si>
  <si>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</si>
  <si>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</si>
  <si>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</si>
  <si>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</si>
  <si>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</si>
  <si>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</si>
  <si>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</si>
  <si>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</si>
  <si>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</si>
  <si>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</si>
  <si>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</si>
  <si>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</si>
  <si>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</si>
  <si>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</si>
  <si>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</si>
  <si>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</si>
  <si>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</si>
  <si>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</si>
  <si>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</si>
  <si>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</si>
  <si>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</si>
  <si>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</si>
  <si>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</si>
  <si>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</si>
  <si>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</si>
  <si>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</si>
  <si>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</si>
  <si>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</si>
  <si>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</si>
  <si>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</si>
  <si>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</si>
  <si>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</si>
  <si>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</si>
  <si>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</si>
  <si>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</si>
  <si>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</si>
  <si>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</si>
  <si>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</si>
  <si>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</si>
  <si>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</si>
  <si>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</si>
  <si>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</si>
  <si>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</si>
  <si>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</si>
  <si>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</si>
  <si>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</si>
  <si>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</si>
  <si>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</si>
  <si>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</si>
  <si>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</si>
  <si>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</si>
  <si>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</si>
  <si>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</si>
  <si>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</si>
  <si>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</si>
  <si>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</si>
  <si>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</si>
  <si>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</si>
  <si>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</si>
  <si>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</si>
  <si>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</si>
  <si>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</si>
  <si>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</si>
  <si>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</si>
  <si>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</si>
  <si>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</si>
  <si>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</si>
  <si>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</si>
  <si>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</si>
  <si>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</si>
  <si>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</si>
  <si>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</si>
  <si>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</si>
  <si>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</si>
  <si>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</si>
  <si>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</si>
  <si>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</si>
  <si>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</si>
  <si>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</si>
  <si>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</si>
  <si>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</si>
  <si>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</si>
  <si>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</si>
  <si>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</si>
  <si>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</si>
  <si>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</si>
  <si>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</si>
  <si>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</si>
  <si>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</si>
  <si>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</si>
  <si>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</si>
  <si>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</si>
  <si>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</si>
  <si>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</si>
  <si>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</si>
  <si>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</si>
  <si>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</si>
  <si>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</si>
  <si>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</si>
  <si>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</si>
  <si>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</si>
  <si>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</si>
  <si>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</si>
  <si>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</si>
  <si>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</si>
  <si>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</si>
  <si>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</si>
  <si>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</si>
  <si>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</si>
  <si>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</si>
  <si>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</si>
  <si>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</si>
  <si>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</si>
  <si>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</si>
  <si>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</si>
  <si>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</si>
  <si>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</si>
  <si>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</si>
  <si>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</si>
  <si>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</si>
  <si>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</si>
  <si>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</si>
  <si>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</si>
  <si>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</si>
  <si>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</si>
  <si>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</si>
  <si>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</si>
  <si>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</si>
  <si>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</si>
  <si>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</si>
  <si>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</si>
  <si>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</si>
  <si>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</si>
  <si>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</si>
  <si>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</si>
  <si>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</si>
  <si>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</si>
  <si>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</si>
  <si>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</si>
  <si>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</si>
  <si>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</si>
  <si>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</si>
  <si>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</si>
  <si>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</si>
  <si>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</si>
  <si>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</si>
  <si>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</si>
  <si>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</si>
  <si>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</si>
  <si>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</si>
  <si>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</si>
  <si>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</si>
  <si>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</si>
  <si>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</si>
  <si>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</si>
  <si>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</si>
  <si>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</si>
  <si>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</si>
  <si>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</si>
  <si>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</si>
  <si>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</si>
  <si>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</si>
  <si>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</si>
  <si>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</si>
  <si>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</si>
  <si>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</si>
  <si>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</si>
  <si>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</si>
  <si>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</si>
  <si>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</si>
  <si>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</si>
  <si>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</si>
  <si>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</si>
  <si>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</si>
  <si>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</si>
  <si>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</si>
  <si>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</si>
  <si>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</si>
  <si>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</si>
  <si>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</si>
  <si>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</si>
  <si>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</si>
  <si>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</si>
  <si>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</si>
  <si>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</si>
  <si>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</si>
  <si>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</si>
  <si>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</si>
  <si>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</si>
  <si>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</si>
  <si>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</si>
  <si>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</si>
  <si>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</si>
  <si>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</si>
  <si>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</si>
  <si>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</si>
  <si>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</si>
  <si>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</si>
  <si>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</si>
  <si>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</si>
  <si>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</si>
  <si>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</si>
  <si>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</si>
  <si>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</si>
  <si>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</si>
  <si>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</si>
  <si>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</si>
  <si>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</si>
  <si>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</si>
  <si>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</si>
  <si>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</si>
  <si>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</si>
  <si>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</si>
  <si>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</si>
  <si>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</si>
  <si>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</si>
  <si>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</si>
  <si>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</si>
  <si>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</si>
  <si>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</si>
  <si>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</si>
  <si>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</si>
  <si>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</si>
  <si>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</si>
  <si>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</si>
  <si>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</si>
  <si>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</si>
  <si>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</si>
  <si>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</si>
  <si>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</si>
  <si>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</si>
  <si>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</si>
  <si>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</si>
  <si>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</si>
  <si>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</si>
  <si>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</si>
  <si>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</si>
  <si>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</si>
  <si>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</si>
  <si>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</si>
  <si>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</si>
  <si>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</si>
  <si>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</si>
  <si>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</si>
  <si>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</si>
  <si>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</si>
  <si>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</si>
  <si>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</si>
  <si>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</si>
  <si>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</si>
  <si>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</si>
  <si>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</si>
  <si>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</si>
  <si>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</si>
  <si>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</si>
  <si>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</si>
  <si>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</si>
  <si>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</si>
  <si>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</si>
  <si>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</si>
  <si>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</si>
  <si>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</si>
  <si>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</si>
  <si>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</si>
  <si>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</si>
  <si>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</si>
  <si>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</si>
  <si>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</si>
  <si>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</si>
  <si>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</si>
  <si>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</si>
  <si>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</si>
  <si>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</si>
  <si>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</si>
  <si>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</si>
  <si>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</si>
  <si>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</si>
  <si>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</si>
  <si>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</si>
  <si>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</si>
  <si>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</si>
  <si>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</si>
  <si>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</si>
  <si>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</si>
  <si>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</si>
  <si>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</si>
  <si>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</si>
  <si>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</si>
  <si>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</si>
  <si>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</si>
  <si>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</si>
  <si>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</si>
  <si>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</si>
  <si>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</si>
  <si>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</si>
  <si>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</si>
  <si>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</si>
  <si>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</si>
  <si>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</si>
  <si>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</si>
  <si>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</si>
  <si>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</si>
  <si>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</si>
  <si>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</si>
  <si>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</si>
  <si>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</si>
  <si>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</si>
  <si>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</si>
  <si>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</si>
  <si>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</si>
  <si>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</si>
  <si>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</si>
  <si>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</si>
  <si>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</si>
  <si>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</si>
  <si>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</si>
  <si>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</si>
  <si>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</si>
  <si>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</si>
  <si>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</si>
  <si>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</si>
  <si>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</si>
  <si>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</si>
  <si>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</si>
  <si>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</si>
  <si>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</si>
  <si>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</si>
  <si>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</si>
  <si>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</si>
  <si>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</si>
  <si>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</si>
  <si>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</si>
  <si>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</si>
  <si>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</si>
  <si>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</si>
  <si>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</si>
  <si>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</si>
  <si>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</si>
  <si>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</si>
  <si>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</si>
  <si>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</si>
  <si>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</si>
  <si>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</si>
  <si>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</si>
  <si>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</si>
  <si>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</si>
  <si>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</si>
  <si>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</si>
  <si>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</si>
  <si>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</si>
  <si>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</si>
  <si>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</si>
  <si>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</si>
  <si>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</si>
  <si>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</si>
  <si>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</si>
  <si>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</si>
  <si>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</si>
  <si>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</si>
  <si>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</si>
  <si>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</si>
  <si>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</si>
  <si>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</si>
  <si>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</si>
  <si>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</si>
  <si>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</si>
  <si>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</si>
  <si>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</si>
  <si>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</si>
  <si>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</si>
  <si>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</si>
  <si>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</si>
  <si>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</si>
  <si>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</si>
  <si>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</si>
  <si>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</si>
  <si>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</si>
  <si>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</si>
  <si>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</si>
  <si>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</si>
  <si>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</si>
  <si>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</si>
  <si>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</si>
  <si>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</si>
  <si>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</si>
  <si>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</si>
  <si>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</si>
  <si>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</si>
  <si>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</si>
  <si>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</si>
  <si>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</si>
  <si>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</si>
  <si>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</si>
  <si>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</si>
  <si>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</si>
  <si>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</si>
  <si>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</si>
  <si>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</si>
  <si>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</si>
  <si>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</si>
  <si>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</si>
  <si>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</si>
  <si>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</si>
  <si>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</si>
  <si>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</si>
  <si>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</si>
  <si>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</si>
  <si>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</si>
  <si>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</si>
  <si>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</si>
  <si>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</si>
  <si>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</si>
  <si>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</si>
  <si>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</si>
  <si>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</si>
  <si>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</si>
  <si>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</si>
  <si>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</si>
  <si>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</si>
  <si>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</si>
  <si>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</si>
  <si>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</si>
  <si>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</si>
  <si>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</si>
  <si>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</si>
  <si>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</si>
  <si>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</si>
  <si>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</si>
  <si>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</si>
  <si>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</si>
  <si>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</si>
  <si>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</si>
  <si>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</si>
  <si>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</si>
  <si>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</si>
  <si>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</si>
  <si>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</si>
  <si>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</si>
  <si>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</si>
  <si>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</si>
  <si>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</si>
  <si>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</si>
  <si>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</si>
  <si>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</si>
  <si>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</si>
  <si>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</si>
  <si>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</si>
  <si>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</si>
  <si>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</si>
  <si>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</si>
  <si>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</si>
  <si>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</si>
  <si>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</si>
  <si>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</si>
  <si>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</si>
  <si>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</si>
  <si>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</si>
  <si>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</si>
  <si>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</si>
  <si>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</si>
  <si>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</si>
  <si>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</si>
  <si>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</si>
  <si>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</si>
  <si>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</si>
  <si>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</si>
  <si>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</si>
  <si>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</si>
  <si>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</si>
  <si>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</si>
  <si>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</si>
  <si>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</si>
  <si>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</si>
  <si>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</si>
  <si>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</si>
  <si>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</si>
  <si>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</si>
  <si>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</si>
  <si>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</si>
  <si>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</si>
  <si>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</si>
  <si>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</si>
  <si>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</si>
  <si>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</si>
  <si>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</si>
  <si>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</si>
  <si>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</si>
  <si>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</si>
  <si>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</si>
  <si>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</si>
  <si>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</si>
  <si>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</si>
  <si>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</si>
  <si>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</si>
  <si>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</si>
  <si>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</si>
  <si>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</si>
  <si>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</si>
  <si>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</si>
  <si>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</si>
  <si>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</si>
  <si>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</si>
  <si>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</si>
  <si>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</si>
  <si>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</si>
  <si>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</si>
  <si>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</si>
  <si>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</si>
  <si>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</si>
  <si>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</si>
  <si>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</si>
  <si>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</si>
  <si>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</si>
  <si>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</si>
  <si>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</si>
  <si>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</si>
  <si>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</si>
  <si>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</si>
  <si>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</si>
  <si>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</si>
  <si>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</si>
  <si>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</si>
  <si>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</si>
  <si>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</si>
  <si>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</si>
  <si>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</si>
  <si>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</si>
  <si>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</si>
  <si>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</si>
  <si>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</si>
  <si>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</si>
  <si>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</si>
  <si>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</si>
  <si>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</si>
  <si>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</si>
  <si>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</si>
  <si>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</si>
  <si>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</si>
  <si>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</si>
  <si>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</si>
  <si>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</si>
  <si>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</si>
  <si>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</si>
  <si>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</si>
  <si>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</si>
  <si>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</si>
  <si>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</si>
  <si>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</si>
  <si>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</si>
  <si>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</si>
  <si>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</si>
  <si>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</si>
  <si>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</si>
  <si>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</si>
  <si>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</si>
  <si>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</si>
  <si>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</si>
  <si>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</si>
  <si>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</si>
  <si>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</si>
  <si>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</si>
  <si>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</si>
  <si>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</si>
  <si>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</si>
  <si>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</si>
  <si>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</si>
  <si>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</si>
  <si>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</si>
  <si>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</si>
  <si>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</si>
  <si>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</si>
  <si>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</si>
  <si>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</si>
  <si>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</si>
  <si>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</si>
  <si>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</si>
  <si>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</si>
  <si>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</si>
  <si>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</si>
  <si>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</si>
  <si>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</si>
  <si>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</si>
  <si>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</si>
  <si>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</si>
  <si>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</si>
  <si>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</si>
  <si>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</si>
  <si>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</si>
  <si>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</si>
  <si>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</si>
  <si>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</si>
  <si>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</si>
  <si>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</si>
  <si>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</si>
  <si>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</si>
  <si>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</si>
  <si>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</si>
  <si>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</si>
  <si>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</si>
  <si>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</si>
  <si>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</si>
  <si>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</si>
  <si>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</si>
  <si>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</si>
  <si>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</si>
  <si>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</si>
  <si>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</si>
  <si>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</si>
  <si>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</si>
  <si>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</si>
  <si>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</si>
  <si>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</si>
  <si>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</si>
  <si>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</si>
  <si>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</si>
  <si>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</si>
  <si>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</si>
  <si>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</si>
  <si>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</si>
  <si>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</si>
  <si>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</si>
  <si>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</si>
  <si>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</si>
  <si>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</si>
  <si>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</si>
  <si>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</si>
  <si>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</si>
  <si>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</si>
  <si>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</si>
  <si>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</si>
  <si>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</si>
  <si>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</si>
  <si>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</si>
  <si>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</si>
  <si>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</si>
  <si>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</si>
  <si>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</si>
  <si>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</si>
  <si>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</si>
  <si>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</si>
  <si>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</si>
  <si>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</si>
  <si>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</si>
  <si>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</si>
  <si>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</si>
  <si>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</si>
  <si>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</si>
  <si>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</si>
  <si>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</si>
  <si>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</si>
  <si>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</si>
  <si>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</si>
  <si>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</si>
  <si>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</si>
  <si>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</si>
  <si>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</si>
  <si>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</si>
  <si>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</si>
  <si>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</si>
  <si>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</si>
  <si>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</si>
  <si>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</si>
  <si>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</si>
  <si>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</si>
  <si>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</si>
  <si>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</si>
  <si>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</si>
  <si>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</si>
  <si>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</si>
  <si>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</si>
  <si>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</si>
  <si>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</si>
  <si>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</si>
  <si>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</si>
  <si>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</si>
  <si>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</si>
  <si>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</si>
  <si>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</si>
  <si>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</si>
  <si>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</si>
  <si>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</si>
  <si>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</si>
  <si>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</si>
  <si>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</si>
  <si>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</si>
  <si>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</si>
  <si>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</si>
  <si>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</si>
  <si>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</si>
  <si>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</si>
  <si>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</si>
  <si>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</si>
  <si>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</si>
  <si>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</si>
  <si>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</si>
  <si>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</si>
  <si>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</si>
  <si>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</si>
  <si>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</si>
  <si>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</si>
  <si>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</si>
  <si>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</si>
  <si>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</si>
  <si>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</si>
  <si>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</si>
  <si>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</si>
  <si>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</si>
  <si>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</si>
  <si>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</si>
  <si>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</si>
  <si>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</si>
  <si>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</si>
  <si>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</si>
  <si>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</si>
  <si>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</si>
  <si>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</si>
  <si>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</si>
  <si>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</si>
  <si>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</si>
  <si>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</si>
  <si>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</si>
  <si>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</si>
  <si>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</si>
  <si>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</si>
  <si>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</si>
  <si>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</si>
  <si>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</si>
  <si>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</si>
  <si>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</si>
  <si>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</si>
  <si>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</si>
  <si>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</si>
  <si>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</si>
  <si>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</si>
  <si>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</si>
  <si>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</si>
  <si>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</si>
  <si>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</si>
  <si>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</si>
  <si>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</si>
  <si>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</si>
  <si>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</si>
  <si>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</si>
  <si>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</si>
  <si>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</si>
  <si>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</si>
  <si>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</si>
  <si>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</si>
  <si>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</si>
  <si>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</si>
  <si>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</si>
  <si>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</si>
  <si>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</si>
  <si>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</si>
  <si>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</si>
  <si>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</si>
  <si>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</si>
  <si>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</si>
  <si>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</si>
  <si>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</si>
  <si>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</si>
  <si>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</si>
  <si>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</si>
  <si>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</si>
  <si>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</si>
  <si>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</si>
  <si>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</si>
  <si>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</si>
  <si>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</si>
  <si>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</si>
  <si>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</si>
  <si>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</si>
  <si>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</si>
  <si>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</si>
  <si>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</si>
  <si>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</si>
  <si>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</si>
  <si>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</si>
  <si>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</si>
  <si>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</si>
  <si>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</si>
  <si>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</si>
  <si>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</si>
  <si>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</si>
  <si>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</si>
  <si>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</si>
  <si>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</si>
  <si>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</si>
  <si>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</si>
  <si>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</si>
  <si>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</si>
  <si>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</si>
  <si>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</si>
  <si>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</si>
  <si>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</si>
  <si>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</si>
  <si>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</si>
  <si>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</si>
  <si>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</si>
  <si>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</si>
  <si>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</si>
  <si>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</si>
  <si>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</si>
  <si>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</si>
  <si>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</si>
  <si>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</si>
  <si>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</si>
  <si>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</si>
  <si>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</si>
  <si>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</si>
  <si>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</si>
  <si>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</si>
  <si>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</si>
  <si>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</si>
  <si>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</si>
  <si>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</si>
  <si>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</si>
  <si>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</si>
  <si>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</si>
  <si>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</si>
  <si>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</si>
  <si>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</si>
  <si>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</si>
  <si>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</si>
  <si>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</si>
  <si>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</si>
  <si>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</si>
  <si>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</si>
  <si>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</si>
  <si>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</si>
  <si>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</si>
  <si>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</si>
  <si>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</si>
  <si>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</si>
  <si>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</si>
  <si>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</si>
  <si>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</si>
  <si>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</si>
  <si>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</si>
  <si>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</si>
  <si>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</si>
  <si>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</si>
  <si>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</si>
  <si>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</si>
  <si>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</si>
  <si>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</si>
  <si>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</si>
  <si>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</si>
  <si>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</si>
  <si>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</si>
  <si>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</si>
  <si>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</si>
  <si>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</si>
  <si>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</si>
  <si>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</si>
  <si>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</si>
  <si>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</si>
  <si>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</si>
  <si>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</si>
  <si>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</si>
  <si>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</si>
  <si>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</si>
  <si>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</si>
  <si>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</si>
  <si>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</si>
  <si>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</si>
  <si>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</si>
  <si>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</si>
  <si>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</si>
  <si>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</si>
  <si>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</si>
  <si>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</si>
  <si>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</si>
  <si>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</si>
  <si>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</si>
  <si>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</si>
  <si>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</si>
  <si>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</si>
  <si>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</si>
  <si>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</si>
  <si>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</si>
  <si>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</si>
  <si>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</si>
  <si>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</si>
  <si>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</si>
  <si>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</si>
  <si>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</si>
  <si>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</si>
  <si>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</si>
  <si>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</si>
  <si>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</si>
  <si>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</si>
  <si>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</si>
  <si>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</si>
  <si>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</si>
  <si>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</si>
  <si>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</si>
  <si>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</si>
  <si>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</si>
  <si>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</si>
  <si>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</si>
  <si>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</si>
  <si>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</si>
  <si>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</si>
  <si>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</si>
  <si>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</si>
  <si>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</si>
  <si>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</si>
  <si>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</si>
  <si>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</si>
  <si>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</si>
  <si>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</si>
  <si>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</si>
  <si>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</si>
  <si>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</si>
  <si>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</si>
  <si>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</si>
  <si>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</si>
  <si>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</si>
  <si>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</si>
  <si>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</si>
  <si>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</si>
  <si>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</si>
  <si>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</si>
  <si>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</si>
  <si>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</si>
  <si>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</si>
  <si>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</si>
  <si>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</si>
  <si>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</si>
  <si>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</si>
  <si>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</si>
  <si>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</si>
  <si>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</si>
  <si>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</si>
  <si>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</si>
  <si>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</si>
  <si>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</si>
  <si>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</si>
  <si>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</si>
  <si>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</si>
  <si>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</si>
  <si>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</si>
  <si>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</si>
  <si>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</si>
  <si>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</si>
  <si>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</si>
  <si>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</si>
  <si>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</si>
  <si>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</si>
  <si>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</si>
  <si>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</si>
  <si>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</si>
  <si>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</si>
  <si>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</si>
  <si>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</si>
  <si>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</si>
  <si>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</si>
  <si>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</si>
  <si>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</si>
  <si>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</si>
  <si>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</si>
  <si>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</si>
  <si>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</si>
  <si>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</si>
  <si>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</si>
  <si>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</si>
  <si>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</si>
  <si>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</si>
  <si>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</si>
  <si>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</si>
  <si>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</si>
  <si>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</si>
  <si>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</si>
  <si>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</si>
  <si>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</si>
  <si>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</si>
  <si>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</si>
  <si>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</si>
  <si>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</si>
  <si>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</si>
  <si>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</si>
  <si>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</si>
  <si>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</si>
  <si>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</si>
  <si>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</si>
  <si>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</si>
  <si>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</si>
  <si>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</si>
  <si>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</si>
  <si>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</si>
  <si>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</si>
  <si>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</si>
  <si>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</si>
  <si>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</si>
  <si>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</si>
  <si>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</si>
  <si>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</si>
  <si>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</si>
  <si>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</si>
  <si>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</si>
  <si>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</si>
  <si>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</si>
  <si>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</si>
  <si>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</si>
  <si>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</si>
  <si>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</si>
  <si>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</si>
  <si>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</si>
  <si>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</si>
  <si>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</si>
  <si>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</si>
  <si>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</si>
  <si>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</si>
  <si>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</si>
  <si>
    <t>Lunch Buddies Aldis brand snack packs fruit snacks, serving is 1 pouch:</t>
  </si>
  <si>
    <t>Clancys Apple chips Aldi brand dehydrated red apple snack, sering is 1 oz, 12 chips</t>
  </si>
  <si>
    <t>inner thighs, 3 sets 12, 40 lbs
quads leg extension/knee extension, 3 sets 12, 40 lbs
quads/glutes/hips squats barbell 3 sets 12, 55 lbs
hamstrings leg curls sitting machine, 3 sets 12, 40 lbs
stretches shoulders/neck/triceps/pecs</t>
  </si>
  <si>
    <t>Celeste cheese pizza for one, Smart&amp;Final</t>
  </si>
  <si>
    <t xml:space="preserve">1 everything bagel
(240.00	2.00	0.50	8.00	46.00	2.00	630.00)
1/4 cup mozzarella
(80	5	3.5	6	2	0	190)
3 of the Vlasic pickles high sodium per 2.5 pickles is 400 mg
(5.75	0	0	0	1.15	0	460)
1 tbs mustard
(0.00	0.00	0.00	0.00	0.00	0.00	55.00)
1 everything bagel
(240.00	2.00	0.50	8.00	46.00	2.00	630.00)
8 fruit snacks little snack packs Aldis
(640.00	0.00	0.00	8.00	152.00	0.00	160.00)
16 pcs/slices dehydrated Aldis brand apple slices
(186.67	9.33	1.33	0.00	26.67	2.67	20.00)
Celest pizza for one Smart &amp; Final serving is 1 pizza
(380.00	17.00	9.00	9.00	48.00	3.00	880.00)
Andes chocolates 3 pcs
(75	4.875	4.5	0.75	8.25	0.75	7.5)
avocado small in airfryer on top of celeste cheese pizza
(241.5	21.75	3	3	12.75	13.5	10.5)
=240+80+5.75+0+240+640+187+380+75+242
=2+5+0+02+0+9+17+5+22
=1+3.5+0+0+1+0+1+9+5+3
=8+6+0+0+8+8+0+9+1+3
=46+2+1.15+0+46+152+27+48+8+13
=2+0+0+0+2+0+3+3+1+14
=630+190+460+55+630+160+20+880+8+11
</t>
  </si>
  <si>
    <t>Woke up at 530 am and got out of bed 10 minutes later. Made my 1st cup of coffee and gave Growly his meds by oral syringe then fed babies and did the dishes from yesterday of the roommate's and after babies done eating. I woke up and went to bed with that pain in upper right trapezius levator scapula area. The coffee helps make the pain go away. But still there, not sure what it is from. I have work from 8 am to 5 pm today. Took measurements after 1st cup of coffee and before a reg sm BM and after the BM only went down by 1/8" around abdominal area to 30 3/8" at BB and 32 1/8" at 2" below BB. Made a bagel with pickles mustard and mozzarella in airfryer with cheese only and had multivitamins after 630 alarm and then got ready for work. At work on my break for an hour had an everything bagel, called Mom's hospital. Couldn't speak to her but the charge nurse said, she has blood in her stool last 2 days and they are checking on it, and needs a colonoscopy but it could be hemorhoids or diverticulitis. Also, her white blood cells dropped which is good because they are at a healthy level not fighting infection and red blood cells and hemoglobin is at a 13 instead of a 6 or 7 range and that is good. She is tired though and can't talk too much. That's good, hopefully the blood is just something that can be fixed easily with meds or treatment. Hopefully she gets better soon. Love that lady. I need to check on my pops too, he's a cool dude I love too. Was going to do that after work but got home and wanted to do some cardio on the bags for a workout, no movtivation other than to sweat. Did that for 5 rounds 3 minutes with 1 minute rests and then did the machines for legs on inner/outer/quads with leg extensions/hamstrings with leg curls and the side lifts for obliques with 20 kg. 3 sets of 10-15 depending on weight. Ankles were slightly swollen with compression socks and new shorts that are spandex like volleyball player shorts. The roommate came in right when I was finishing up with stretches at the gym and looked upset I was there and I heard him say something and bro! and sigh. Its not his gym and he should have gotten there earlier bc they close at 8 pm on Saturdays and he checked in at 720 pm. Didn't eat any more after work, but on break did get some fruit snacks and apple chips and had about 16 apple chips bw lunch and drive home from work, and 5 fruit snacks at lunch and 3 after work and 5th cup kpod coffee after work, with 4th cup at lunch. Some dude, that was doing Thai Kwon Do wanted to offer me some tips into my 3rd round while resting the minute before it. And I said no thank you to him and its funny that he didn't see me working out with a timer that I had to tell him I have my own workout and may or may not have thanked him. But he's not my hero and I'm not his fan. Everyone has a style and I was doing boxing not legs today. Had another drink for 2 total then made a celeste cheese pizza in airfryer with last unripe avocado on top in airfryer. That was around 920 pm.Listened to country music once started drinking. I also had 2-3 pieces of Andes chocolates as I grabbed 5 pcs but shared with the babies. Went to bed after watching an episode of Only Murderers in the Building on Hulu. That was 1030 pm ish.</t>
  </si>
  <si>
    <t>Woke up at 530 am by alarm, got up a couple times in night to pee and when the roommate got home I thought it was 530 am but it was after 1145 pm but before 12 am. It woke me up but I laid in bed until I went to sleep a few minutes later. Got out of bed around 540 am and did normal routine, coffee, clean pet mess, Growly meds by syringe in mouth, need more of his meds real soon a few days like 4 more of the 24 hour pill left, all meds, fed babies their normal food, restarted dryer then had a 2nd cup of coffee. My roommate put a book on my desk in the morning that I didn't to check to see if it arrived. It was the last expected book as one book was refunded by vendor for not having it. I have it on kindle but would like the physical book. After 2nd cup of coffee put away clothes and made 3rd cup of coffee, had a BM, slightly diarhea a med amt. Then updated this database and took measurements before breakfast and vitamins. Then showered to get ready for work. Work 9am-5pm. Then a couples at 7 pm. Regular clients didn't see last month, they usually get massages on Friday at 5 pm. My availability changed bc of school and thats cool they could work with my schedule. Ankles were slightly swollen in the morning. Had about 11-13 cheese pizza rolls of course sharing with Princess. But microwaved to take multivitamins with. Washed the covers on bed too. But enough hot water to shower. Then at work for lunch had a double salmon poki bowl with brown rice, ginger, wasabi, masago, cucumbers, and ponzu sauce and cream cheese. Didn't taste the best, had that fish taste. But just ate more meninge burning wasabe in each bite. Had my 4th cup of kpod coffee at lunch and no 5th cup by the time I left work to go to my 6 pm couples massage in South Corona. I had 5 fruit snacks on the way there, and 1 more on the way back home from the couples massage and Target to get big headbands that could keep more of my stray hairs out my face and ears and eyes. After work had 2 Jameson whiskey on ice and 20 cheese pizza rolls microwaved. Had laundry in wash by 1030 pm, and finished pizza rolls by 1140 pm. Did the receipts for clients, and had 2 clients I massaged before want to book a massage, but I am busy with homework and keeping on top my studies. I can't take on more appointments. Like I said, busy when I need time to study, and slow AF when not in school or doing anything other than work. Went to bed at 1230 am and the roommate got home and made a little noise later around 1 am.</t>
  </si>
  <si>
    <t>Plain bagels, First Street Smart&amp;Final brand</t>
  </si>
  <si>
    <t>31 pizza rolls cheese totino
(420	16	4	10	62	2	640)
6 fruit snacks
(480	0	0	6	114	0	120)
2 servings apple chips
(280	14	2	0	40	4	30)
double salmon poke bowl with cucumbers, ginger, brown rice, ponzu sauce, masago
(578.5	11.075	2.15	17.7	101.75	8.25	1731)
cream cheese 1/8th a pkg in poke bowl
(51	5.1	3.2	1.1	0.4	0	43)
=420+480+280+579+51
=16+0+14+11+5
=4+0+2+2+3
=10+6+0+18+1
=62+114+40+102+0.4
=2+0+4+8+0
=640+120+30+1731+43</t>
  </si>
  <si>
    <t>battered zucchini sticks, Anchor Smart &amp; Final brand frozen foods, serving 5 pcs/sticks</t>
  </si>
  <si>
    <t>quads squats barbl +20, pec maj/ant delt milt prs +10, triceps chair dip body weight 147, triceps over head dumbell 20 lbs, deltoids shoulder flys lateral lifts dumbells +3 lbs, hamstrings deadlift +10 lbs dumbells</t>
  </si>
  <si>
    <t xml:space="preserve">quads squats barbell 1 set 12 reps 65 lbs, 2 sets 12 reps 85 lbs, +20 lbs
bicep curls 3 sets 12 reps 15 lbs each arm
tricep kick backs, 3 sets 12 reps 15 lbs each arm
deltoids side lifts, 3 sets 12 reps 8 lbs each arm, +3 lbs each deltoid
upper deltoids pectoralis major military press, 3 sets 12 reps 20 lbs each arm,+10 lbs total
deltoids upper trapz shoulder shrugs, 3 sets 12 reps 20 lbs each arm, +10 lbs total
hamstrings deadlifts dumbells, 3 sets/12 reps 40 lbs, +10 lbs 
rhomboids/lwr trapezius back row machine 40 lbs
lattisimus dorsi back pull down machine 1 set/12 reps 50 lbs, 2 sets/12 reps 60 lbs,+10 lbs
</t>
  </si>
  <si>
    <t xml:space="preserve">Woke up at 530 am by alarm but stayed in bed until 6 am tired. Got 5 hours sleep, did normal routine, need to get more wet cat food had 2 cans left after feeding babies will do on my break. First class at 10 am, texted Dad to ask how he was doing and tell him about Mom around 720 am. Gave Growly his meds first thing in the morning, and fed babies, folded laundry, sent out receipt and SOAP notes before that. Last night took my M-Th schedule for biz off availability. Because more clients are booking. I don't have the time to keep up, it takes time to get there, do the massage, time to pack up and get back home that takes from studying and doing well in my DC coursework. I am thankful to have them, but they can book on the weekend and the MLD pkg clients can get a refund. This is exactly why I plan to not take any more pkg clients bc of not having time right now. Last night I got back from clients and Target at around 1030 to 1045 pm. I got to the Target only 2 miles from them at 945 pm. It could have been earlier but my Square app wasn't working and this happened after logging off the client's wifi network. I was able to read a phone update about apps and check to use mobile data then go into range of a mobile data out front for Tmobile, but it took about 10-15 minutes extra time. Today after 2 cups of coffee and while doing the desk notes to clients and reviewing some emails and the school announcements, I had a reg BM, then made 3rd cup of coffee folded the linens and laundry, put the pillow and other blanket in dryer and started the roommate's laundry. I put the pillow and other blanket on the bed in the wash after the linens from client's before bed to wash last night. For breakfast had an airfryed plain bagel with 1/4 cup mozz over it in airfryer. Worked on the 3rd cup of coffee with the bagel and took my multivitamins with the bagel. Might work out today, since it would be a great habit/routine to start doing again. Would be back and arms or close to it and squats missed last workout. It will likely be after 3 pm if I do workout as my courses end but study time begins after 230 pm. I also have a break bw 12 pm and 130 pm bw FABS and CTAP courses for the day's LEs. Took measurements after a BM and after the breakfast and multivitamins about 20 minutes afterwards. Did the dishes then showered and got ready for the day. Was tired during 2nd LE of CTAP course and almost fell asleep but stayed in with camera off till last half hour. Worked out at gym bw 315-420 pm and added a few exercises I forgot about. Mostly arms, back, and quads/hams minimal. Added a few lbs to workout routines. Not busy but started getting busy near the end of my workout. Also, I forgot that I developed some sort of fungal foot infection of dermis between big toe and two little toes. Not sure when I got it and not sure if the shower sharing with the roommate or the sketchers shoes with open ankles that I wore without disinfecting with out socks that I bought about a month ago. I didn't find any athletes spray but went to my van and put some teatree oil with coconut oil on it 24 drops per 1 oz or so oil on it and it stopped itching but made a mess on my linens where I put my foot to put the teatree oil on it. I did that this morning after the shower. It feels better. I need to start doing that every morning and see if it helps it go away or makes it go away or at least the symptoms. I have it on my desk next to my vitamins, lotion, and books and clock. It didn't, it itched badly once I took my socks off, bc the tea tree oil was under light whole time and deactivated in oil, so I went to van and got the one that is essential oil not mixed in carrier oil and put on toes scratching them and kept it in drawer of desk, waited a while to stop itching, put on compression socks, ankles super swollen and itching low legs. Watched the pre-recorded video to take class quiz tomorrow on PNS in 2nd half of part 1 video of human birth defects carried over from week 1. This is now week 2 or module 2. Took notes, waited for itching in legs to go away but the toes stopped itching. I then made a grilled cheese in airfryer with serving of 3 Vlasic pickle chips and mustard with mozz cheese on a brioche bun from Smart&amp;Final. Then I watched the video for our assignment due in intro to phys assessment due tomorrow by 12 pm. Answered questions 4 while watching but didn't see/hear the answers from the Physician on Ted Talk. Got 2/4 right, but tbh one question was multiple check boxes and I picked one extra one but got 2 right, and didn't know that or hear that the guy that discovered percussion or invented it or used it was in Paris. I honestly listened 2x and didn't hear it come up, but that was a question. The assignment said only 1 attempt allowed, but the video asked to retake quiz so I did, and it picked my highest score after giving me the answers on the 1st quiz. So not sure if the highest score will be kept. Mine was a 4/4 on 2nd attempt and a 2/4 on 1st attempt. I had a Jameson and water when looking at the video a 2nd time and it made it more interesting to pay attention to. Was done by 9:45 pm. </t>
  </si>
  <si>
    <t>brioche Artesano brand Smart&amp;Final hamburger buns</t>
  </si>
  <si>
    <t xml:space="preserve">about 24 pizza rolls cheese totino
(315	12	3	7.5	46.5	1.5	480)
1 plain bagel
(230	1	0.5	8	46	2	400)
1/4 cup mozz
(60	3.75	2.625	4.5	1.5	0	142.5)
3 fruit snacks
(240	0	0	3	57	0	60)
2 servings fried zucchini sticks
(300	12	2	4	40	2	720)
1/4 cup mozzarella
(80	5	3.5	6	2	0	190)
3 of the Vlasic pickles high sodium per 2.5 pickles is 400 mg
(5.75	0	0	0	1.15	0	460)
1 tbs mustard
(0.00	0.00	0.00	0.00	0.00	0.00	55.00)
brioche bun
(220	4.5	2.5	7	39	1	280)
=315+230+60+240+300+80+6+0+220
=12+1+4+0+12+5+0+0+4.5
=3+1+3+0+2+3.5+0+0+2.5
=8+8+5+3+4+6+0+0+7
=47+46+2+57+40+2+1+0+39
=1.5+2+0+0+2+0+0+0+1
=480+400+143+60+720+190+460+55+280
</t>
  </si>
  <si>
    <t>inner thighs, 3 sets 12-15reps, 40-50 lbs
quads leg extension/knee extension, 3 sets 12, 40 lbs
outer thighs, 3 sets 12-15 reps, 40-50 lbs
hamstrings leg curls sitting machine, 3 sets 12-15 reps, 40 lbs
stretches shoulders/neck/triceps/pecs/hams/quads/chest/shoulders</t>
  </si>
  <si>
    <t>2 beyond patties
(520	36	10	40	10	4	700)
1/2 cup mozz
(120	7.5	5.25	9	3	0	285)
2 tbs mustard
(0	0	0	0	0	0	110)
6 vlasic pickles
(10	0	0	0	2	0	800)
1/2 pc Andes chocolate
(12.50	0.81	0.75	0.13	1.38	0.13	1.25)
1/8 lg hershey symphony chocolate about 1/3 a reg size candy bar
(400.00	24.00	13.33	8.00	45.33	2.67	133.33)
3 fruit snacks
(240	0	0	3	57	0	60)
1 plain bagel
(230	1	0.5	8	46	2	400)
1 brioche bun artesano 
(220	4.5	2.5	7	39	1	280)
1 plain bagel
(230	1	0.5	8	46	2	400)
=520+120+0+10+13+400+240+230+220+230
=36+8+0+0+1+24+0+1+5+1
=10+5+0+0+1+13+0+1+3+1
=40+9+0+0+0+8+3+8+7+8
=10+3+0+2+1+45+57+46+39+46
=4+0+0+0+0+3+0+2+1+2
=700+285+110+800+1+133+60+400+280+400</t>
  </si>
  <si>
    <t>Woke up at 530 am by alarm but went to bed until 630 alarm and got up and out of bed. Got about 6.5 hours sleep bc I went to bed at around 11 pm last night. Did normal routine in am, my coffee, pets pee outside, clean pet messes, Growly's meds, feed babies, had a reg BM after 1st cup of coffee and while starting the 2nd cup of coffee. Bw that time was looking at emails and making payments and checking orders and sent my older sister a birthday gift with gift receipt through Amazon that arrives tonight by 10 pm but her birthday is Monday. Also, noted in emails that I have 2 FABS quizzes next week. Time to start studying up and I already cleared my weekday availability but have an appointment today at 7 that is local thankfully but will drag my machine into it in an apartment complex by my gym. And one tomorrow at 7 pm. Actually, I keep her on rotation weekly. Bc I can park right in front of her house and she lives right off the fwy and I do too, and it takes just as long to get to her house as the apt nearby taking side streets and she tips me good every time. As of the moment I haven't decided to let anyone interfere with that schedule. Another great client wanted to add a family massage today, but not able to, it takes too long, practically all day. That is valuable study, relaxing, organizing, working out time. Took my measurements around 8 am after a reg BM and halfway through 2nd coffee. Want to shower before my 10 am class. I was able to prep for the LE material last night thankfully. Ankles weren't too swollen when I got up but by time I took measurements and looked at weight scale they started getting swollen right below the malleolas both legs. Finished 2nd cup coffee and had the 3rd cup and my 3 multivitatmin gummies while making and eating a plain bagel with mozz, mustard, pickles, and a beyond meat patty I made in airfryer for 20 minutes while doing the dishes and with its pair. 2 per pkg. Then fed the cats outside but was lazy and didn't bring gate key with me, when I was sliding the can uder the fence, the bigger cat crowded out the kitten or smaller one and tried to pull the cat food can towards her or him and accidentally caught my index finger on the side or lateral edge and gave me a little cut that bled. I cleaned it up with rubbing alcohol immediately then gave another can of wet cat food to the smaller cat under fence. I shared some of my burger with the babies. I am not eating while in GA1 again, bc last time I didn't eat my burger bc the LE included images of birth defects and genitalia when hormones in system of female like testosterone or androgens when pregnant from a adrenal gland tumor and labia shaped like testes were shown in an image I turned away not to see bc he said thats what it was. Ruined my appetite. That's why I didn't eat all of the burger and threw away 1/4 of it left when it was the 3/4 burger left over from night before as I shared 1/4 with babies the night before and only ate 1/2 of it that day during LE on Wed or Thur. Got my ear pods last night and charging them. They will be useful while working out as long as they don't fall out of my ear, and also at work to prevent my stray hairs from curling into my ear canal and making it itch/tickle uncomfortably while massaging someone. Raising my shoulder to deflect the hairs NEVER works. Always have to wipe my hands or use bottom sheet to pull hair aside. Its so annoying while massaging a client. Looked at my notes on prerecorded LE for today's class at 10 am then showered and got ready for the day. Worked out after the voluntary zoom health integrative rounds on reading radiology and case studies and getting into that 3 yr program with the DACBR-diplomat of American Chiropractic Board of Radiology, &lt;350 members are post DC radiologists. I got to gym before 130 pm, did the legs normal weights and the side twists obliques, all machines, inner/outer/quads extensions/hamstrings curls. Did squats yesterday, then did 7 3-minute rounds for a total workout time of 35-45 minutes cardio, but actually only 21 minutes movement of cardio. Broke a sweat, total body kickboxing. Only one there after a few minutes, worked out with my new air pods, was great, looked quiet in gym, and great for moderating. But the My Chemical Romance Station had some crappy songs to kickbox to, and some fast paced ones. Cooled down with stretches to country then exited. I went to the animal hospital in person after calling before my workout and getting an unfriendly and not helpful, more smart ass receptionist, Corrine, wanted me to list the names of the meds when I told her Growly needed all 3 and that she should expect a bad review. I gave the rvew in gym lot beofre workout 3 stars and why. Then after gym saw them only got 2 meds and had to call their 3rd party vendor to speak to a guy very friendly about the vetmedin. Dr Kermit Smith the same guy we saw at the ER for Growly a few months ago was there. But didn't say hi. Corrine I expected to be the red head obese receptionist, but was probably the obese dark haired 50's/70s grease the movie bad girl chick with all the tattoos like an XXL Betty Page that was at the desk. Didn't talk to her about my call and she didn't ask. Just signed in and was out in less than 25 minutes.  Went home and got a call from Dad when exiting Hidden Valley to take side streets because I told him about Mom's condition in hospital and having blood in stool yesterday morning when calling to check on him. He hasn't heard anything about it and was trying to talk to Mo but hasn't been able to get a hold of her. He still cares for my Mom and has always cared for her. He is lonely and many older white ladies probably remind him of his last wife who complained about her body all the time and how sick she is. I went home from vet after calling in their lot to secure the vetmedin and he said he would rush it but called me later at home and I ddin't get it but checked email and saw the missed call he sent about it. Called and he told me that he has to wait on their doctors to approve the change to 1.25 mg of the 5 in 4 parts on prescription. He said by tomorrow is good chance. They are in Riverside and close at 6 pm open at 9 am M-F. I watched part 2 and half of part 3 and need part 4 to study before tomorrows quiz. I forgot the prequiz means before class and missed out on 5 pts when I studied for it. I also refunded the two MLD clients I rarely massage their 180 and 225 balance through Square. I had to cancel one of their appts on Monday. Sent them an email and proof of cancelling and receipts of refund and explained why and when they could expect their cards to be refunded. Have a client at 7 pm up the street 10 minutes from me by my gym. She confirmed the appointment. Had 5th kpod kaui brand coffee at around 5 pm after it cooled off and while watching part3 of prerecorded lectures. Gave Growly his meds mixed with the stuff they gave me today, same pills, should be, at around 615 pm when I stopped the prerecorded LEs to get ready for 7 pm client. Before 10 am LE had a beyond patty on bagel with mozz/mustard/pickls, then a 4th kpod coffee, after the LEs and voluntary zoom intg health club, did the gym and errand, then got home and fed the cat and dogs 2nd time and had the 2nd beyond patty on brioche bun warmed in toaster and microwave with mozz/pickles/mustard. And about half a row or 1/6th the Hersheys lg toffee almond symphony candy bar I bought last week at Aldis I think. It has been in my drawer with the Andes chocolates. Had a 1/2 pc this morning of that and yesterday evening. They're all gone. Left for client's around 645 pm.</t>
  </si>
  <si>
    <t xml:space="preserve">Woke up at 530 am by alarm laid in bed until it went off again at 540 am, got out of bed, took babies outside, made my 1st cup of coffee, gave Growly his meds by mouth syringe, fed babies, folded laundry and put away from last night, and cleaned a pet mess I noticed by the table. Then had a 2nd cup of coffee and went to my laptop to update it and it was updating some Windows updates for 5 minutes of my time. I had a bagel with mozz last night and needed to add that into the nutrition for the day. Ankles weren't too swollen when I got up this moring or when updating this database before starting day. I called Mom around 630 am my time and spoke to her at 830 her time in the morning and she is doing better, is talking, can't sleep bc of steroids, Becky is in her trailer with her dog Cody. I told her Dad still cares about her and she said thats nice. She had a hemorhoid and that was why blood was in her poop. She hasn't been eating much either. But its not Filipino food could be another reason. She does eat American staples but always has at least some rice or fish or spam. I called Dad to let him know her condition and he asked about my older sister bc he hasn't spoken to her everytime he calls or texts no reply. He is worried about her. But I let him know she is very busy and probably can't talk and he probably knows they have odd hours, so when she calls him he is sleeping and when he calls her she is sleeping. I had a reg sm BM after talking to them and before checking out the Draw it To Know it, after 2nd cup of coffee. I tested out the pen and my HP laptop with the mouse pad attached for the finger is lousy, the edges make the movement go off the page or not stop and the pen doesn't work finely for turns, stopping, or emphasizing anything. It looks much worse than using pen and paper. Maybe I should buy an expensive device to help me out. Or a side drawing pad might work, not sure. Have to look into it. My older sister just called me right when I brought her up around 7 am and I had a pizza in airfryer, the personal size celeste cheese pizza. It was done by the time we ended the call. They are doing a celebration of life for my mom's deceased husband, he was actually 55, going to be 56 tomorrow, but due to side effects of obesity and not working out and stress at work and sitting long hours and flying, it caught up to him and he had a pace maker in his heart and kidney disease when he caught the Covid-Sars virus and died from organ failure. I can't make the date on a Saturday even if they do zoom bc I work until 5 pm and thats 7 pm their time and can't miss work, the only days I work. It is sad he died eary, and he was already living in a poor quality of health. Had my multivitamins with my pizza and 3rd cup coffee, and showered and got ready for zoom meeting. I have campus courses after the am courses to go to that start at 1 pm. I told Mo that Dad has been trying to reach her and she said she just talked to him before me and they both have odd hours and she doesn't accept private calls and she has texted him but he didn't reply. Measurements taken before eating the pizza and vitamins. did the courses in morning then travelled to the on campus courses, had an aura headache around 10 am that I had the 4th cup of coffee ready for while in that 2nd course of day virtually a couple hours before driving to campus, but let it cool while snacking on a plain bagel in air fryer with mozz cheese. Before that was a cheese celeste pizza. Drank the coffee and had to wait for the blinding aura migraine part to subside, but was able to participate, it started after the group extra credit project on ANS material of the pre and  postganglionic PNS. A different group member sent it in this time. We didn't see the solutions and I watched the lectures, at first, we had to combine all the other side knowledge to determine the lengths of the nerve fibers as long or short and if parasympathetic and sympathetic where are they located. Have a quiz on week 1 of the week1-8 human development tomorrow am, and got the examsoft software going late in evening after returning from client's house many hours later with laundry in wash. Took a serving of Jameson over ice while doing stressful things like cleaning a pee mess, setting aside the covers on bed the dogs peed on that were just washed to be washed after my linens from massage client earlier, my regular, super nice lady. Only one I am keeping on M-Th. Did the dishes of roommates and fed the kitten outside. I keep feeding her and she is still so skinny. She meows and its cute. The older or bigger cat likes her and they both eat the food I give them, not sure if they are related or how the kitten showed up but it did about 2-3 weeks ago. They get along oddly enough. The larger one is adopted by me and some other neighbors. Very friendly kitties. I have to study the material but wanted to alleviate stress. WE palpated in the on campus courses today and it was more difficult than I imagined finding the PSIS and other bony landmarks on other people and even myself and pubic bones. But we managed. When I got home around 608 pm Growly had another pass out seizure, shit and pee ran out him easily and he was out a few minutes and been coughing a lot with normal meds. He has been coughing more. Poor little guy, he woke up, and I couldn't keep him from passing out before feeding the small cat when returning from campus. I did normal massage from his chest to head to pull oxygenated blood up and out lung cavity but it didn't work today. He got up and was wobbly and out of it and tried to get off couch but fell and tried walking that helped him wake up but couldn't keep his balance and fell a few times. Then went under the bed, the roommate got him out and fed him some lunch meat, helped him out. Then I gave him his meds and went to client's. I had a bloated sick feeling in gut when there, probably from the 9-10 fruit snacks I ate in van on way to campus and back from campus total, the 5th cup kpod coffee vanilla last one left in van,  and the everything bagel not toasted and straight from the bag that was in the van 2-3 days since last I worked on Sunday. It is WEd. I did laundry and had a drink, downloaded the examplify software figured out while digesting the drink I had and it worked and was able to download the exam and wait for the passcode the instructor will give tomorrow. My first time having this sort of software for proctoring exams. We have to have a 2nd device on to view us and assure not cheating via zoom logged into Th LE with exam at 8 am, so no sleeping in past 530 am tomorrow and need to shower, dry hair, make up, brush teeth, etc before class and quiz on wk 1 starts. I think it is 20 minutes. and multiple choice. Also, while digesting the drink after the days activities other than studying for quiz 1. Made another celeste cheese pizza in airfryer but burned it at 9 minutes at 400 degrees. Just like the edges this morning. Went to bed around 11 pm, then woke up at 230 am and studied the ppt slides on the quiz material of wk 1, and went back to bed at 330 after studying while eating about 12 zucchini fingers. </t>
  </si>
  <si>
    <t xml:space="preserve">2 plain bagels
(460.00	2.00	1.00	16.00	92.00	4.00	800.00)
1/2 cup mozz
(120.00	7.50	5.25	9.00	3.00	0.00	285.00)
2 celeste cheese pizzas
(760.00	34.00	18.00	18.00	96.00	6.00	1760.00)
1 Everything Bagel
(240.00	2.00	0.50	8.00	46.00	2.00	630.00)
9 fruit snacks
(720.00	0.00	0.00	9.00	171.00	0.00	180.00)
1 bag Apple chips
(630.00	31.50	4.50	0.00	90.00	9.00	67.50)
12 pcs fried zucchini
(360.00	14.40	2.40	4.80	48.00	2.40	864.00)
=460+120+760+240+720+630+360
=2+7.5+34+2+0+31.5+14.4
=1+5.25+18+0.5+0+4.5+2.4
=16+9+18+8+9+0+4.8
=92+3+96+46+171+90+48
=4+0+6+2+0+9+2.4
=800+285+1760+630+180+67.5+864
</t>
  </si>
  <si>
    <t xml:space="preserve">2 plain bagel
(460.00	2.00	1.00	16.00	92.00	4.00	800.00)
1/2 cup mozz
(120.00	7.50	5.25	9.00	3.00	0.00	285.00)
16 fried zucchini
(480.00	19.20	3.20	6.40	64.00	3.20	1152.00)
8 fruit snacks
(640.00	0.00	0.00	8.00	152.00	0.00	160.00)
Brioche bun
(220	4.5	2.5	7	39	1	280)
1/8 hersheys or 1/3 normal sz hershey bar
(150	9	5	2	17	1	50)
brioche bun
(220	4.5	2.5	7	39	1	280)
1/3 mozz
(80	5	3.5	6	2	0	190)
9 pcs zucchini fingers
(270.00	10.80	1.80	3.60	36.00	1.80	648.00)
=460+120+480+640+220+150+220+80+270
=2+7.5+19.2+0+4.5+9+4.5+5+10.8
=1+5.25+3.2+0+2.5+5+2.5+3.5+1.8
=16+9+6.4+8+7+2+7+6+3.6
=92+3+64+152+39+17+39+2+36
=4+0+3.2+0+1+1+1+0+1.8
=800+285+1152+160+280+50+280+190+684
</t>
  </si>
  <si>
    <t xml:space="preserve">Woke up at 530 am, did normal routine, not much sleep last night, gave Growly his meds, fed babies, had 1st cup of coffee, restarted dryer, had 1st BM after 1st cup coffee then another after 2nd cup in am while studying before the quiz. I also had breakfast before taking measurements, a bagel with mozz cheese and about 9 pcs fried zucchine fingers in airfryer from freezer. Was tired and stressed. Had to set up the 2nd device for zoom to show me not cheating and fiddled with the laptop that was slow and missed a shower until break time at the 2nd LE of FABS1 around 954 am. I did good on quiz, 12/15, about what I expected to do, for the questions. And was tired. No nap, after the lectures, made zucchini during the 2nd LE of day FABS1 and ate on the way to campus LE on CP1. We did some more SI jt manipulations and palpated the bony landmarks but did the gapping and dynamic gapping ?? forget last name and didn't look at lab manual, just followed demo best. Our group all took turns on table with each other separately. On the way home had to go to Riverside to get Growly's meds, the guy is really nice, he made a liquid cold meds that has to be refrigerated, and I was going to workout my arms and back on way home but his meds might have spoiled in the van, so I dropped it home and had a serving of Jameson and another plain bagel with mozz and 3 pickles Vlasic brand in airfryer except pickles. I also had 4 fruit snacks on way to campus and 4 on the way to the pet pharmacy in Riverside. Paid cash with the cash a client gave me, $60 + my own. I stopped off to get fuel with my cash tips from work on the way to campus. I also had a brioche bun with mozz in airfryer in 2nd lecture when making zucchini to eat later. Took measurements around 945 before my quick shower because the break was at 954 am. Measurements taken after eating the 3am zucchini, the plain bagel and brioche bun with mozz, 2 sm BMs after the 3 am zucchini and before the real breakfast of day, and a serving of zucchini for breakfast before any of my courses started. At home had a serving of Jameson, watched the episode this week on hulu of Murderers in the Bldg, and another while watching it and then afterwards updated this listening to the usual spotify country station. I have a couple quizzes in FABS next week and no real time to study, but tomorrow and have a couple of LEs tomorrow then work from 5-10 pm and all day Sat and Sun from open to 5 pm and a client on Sunday at 7 pm. Watched that tv show of 1/2 hour, listened to country music and sang along then watched a romcom I bought for $4 or $5 a month ago that I didn't get around to watching on Vudu and finished the bottle with about 3 drinks in total or 3.5 drinks Jameson. Had some more zucchini fried fingers and a brioche bun and the bagel and mozz to unwind and prepare for my long weekend. No workout today. But will squeeze one in tomorrow if time allows before work. Just arms and maybe back. Nothing cardio. Don't want to sweat. </t>
  </si>
  <si>
    <t>Cheetos flavored popcorn, 2 cups is one serving</t>
  </si>
  <si>
    <t xml:space="preserve">Woke up at 530 am by alarm and snoozed for 10 minutes getting up at 540 am. Washed my clothes hanging up by bed bc Goody or Growly peed on edge of bed and got the long night gowns and dresses hanging up. That bastard! I also washed the linens and covers and mattress pad and replaced with fresh ones being careful to watch Goody. He is usually the one that prefers peeing on all the couches and bedding. Before doing that I did normal routine, no pet messes to clean surprisingly, since we all went to bed around 910 pm and I didn't take them outside since 8 pm. Gave Growly his meds and fed the babies, had my 1st cup of coffee and made a 2nd cup of coffee while roommate was coming in and I had the clothes in wash washing before that time and after feeding babies. Made a brioche bun with mozz for breakfast then had my vitamins 3 of them and the roommate kept announcing the shit he had to take, and realized I had to take one and had a sm BM before drinking my 2nd cup of coffee. Finished it and did the bedding on the bed replacing it and putting the old ones by wash to wash. I have a class LE in CP1 at 8 am for an hour, then CTAP for an hour and a half at 230 pm. I am going to use that bw time to workout at the gym. I should use it to study for quiz in FTABS on Monday, but I can't force myself to study all the time bc I get ADD and have to do that thing whatever it is until it goes away. Ankles weren't swollen when I woke up at all, maybe the sleep helped. Got plenty of it. Even though I ate a ton of sodium yesterday almost twice the daily limit. My ankles are wrinkled like a deflated balloon. They could swell up later. Had the 8-9 am LE then went to gym, chilly outside, and had to put on the heater in the van. Started my workout around 945 am and worked out until about 11 am. Back, arms, and some abs. 3 sets of 8-12 reps same weights overall. Then went to Stater Bros and got some groceries. Came home disinfected the groceries and then put away the dresses and lifted the bottoms onto the tops of hangers so the dogs won't pee on them next time. Put linens in dryer and covers and mattress pad and the roommate's laundry in the washer then had myself a 4th cup of coffee, was getting a blinding aura that reached around to my right eye while driving. It went away as soon as I drank it cold. Had a brioche bun with mozz in airfryer, 3 large bella mushrooms in airfryer before that, and 1 tbs mustard and 4 vlasic pickles on the brioche bun with 3 cups cheetos flavored popcorn. Have class at 1 pm, then when that's over will get ready for work, maybe take a nap since I work late tonight and get up early tomorrow for a long day from 8 am to 5 pm. </t>
  </si>
  <si>
    <t>bella mushroom 3 oz, calorieking.com</t>
  </si>
  <si>
    <t>back rows +10 to 50 lbs instead of 40 lbs, back latts pull down different machine 50 lbs, -10 lbs from 60 lbs last time muscle group worked</t>
  </si>
  <si>
    <t xml:space="preserve">bicep curls 3 sets 12 reps 15 lbs each arm
tricep kick backs, 3 sets 12 reps 15 lbs each arm
deltoids side lifts, 3 sets 12 reps 8 lbs each arm
upper deltoids pectoralis major military press, 3 sets 12 reps 20 lbs each arm
deltoids upper trapz shoulder shrugs, 3 sets 12 reps 20 lbs each arm
hamstrings deadlifts dumbells, 3 sets/12 reps 40 lbs 
rhomboids/lwr trapezius back row machine 50 lbs, +10 lbs
lattisimus dorsi back pull down machine 1 set/12 reps 50 lbs, 2 sets/12 reps 50 lbs,-10 lbs
abs sit ups 3 set 10 reps
abs lower leg lifts 3 sets 10 reps
tricep pull down 3 sets 10-12 reps 30-40 lbs can't read it but struggle, not easy
upr trpz shoulder shrugs 3 sets 12 reps 40 lbs
bench press 3 sets 12 reps 55 lbs
oblique side raises/lifts curls for obliques 3 sets 12 lbs 20 kg=44 lbs
</t>
  </si>
  <si>
    <t xml:space="preserve">chobani almond coco flip yogurt greek, serving 1 </t>
  </si>
  <si>
    <t>chobani vanilla greek yogurt serving 1</t>
  </si>
  <si>
    <t xml:space="preserve">2 brioche buns
(440.00	9.00	5.00	14.00	78.00	2.00	560.00)
3/4 mozz
(180.00	11.25	7.88	13.50	4.50	0.00	427.50)
4 pickles
(6.67	0.00	0.00	0.00	1.33	0.00	533.33)
1 tbs mustard
(0.00	0.00	0.00	0.00	0.00	0.00	55.00)
3 cups cheetos flavored popcorn
(240	16.5	3	4.5	19.5	3	390)
3 lg bella mushrooms
(19.00	0.30	0.10	1.80	3.30	1.10	8.00)
5 fruit snacks
(400	0	0	5	95	0	100)
vanilla chobani yogurt
(110	0	0	12	15	0	60)
3 cups cheetos popcorn
(240	16.5	3	4.5	19.5	3	390)
celeste cheese pizza personal sz
(380.00	17.00	9.00	9.00	48.00	3.00	880.00)
chobani flip almond coco yogurt
(200	9	4	9	20	2	80)
=440+180+7+0+240+19+400+110+240+380+200
=9+11+0+0+17+0+0+0+17+17+9
=5+8+0+0+3+0+0+0+3+9+4
=14+14+0+0+4.5+2+5+12+5+9+9
=78+5+1+0+20+3+95+15+20+48+20
=2+0+0+0+3+1+0+0+3+3+2
=560+428+533+55+390+8+100+60+390+880+80
</t>
  </si>
  <si>
    <t>boomin blueberry bagel Daves Killer brand</t>
  </si>
  <si>
    <t xml:space="preserve">all 3 sets 10-12 reps normal weights machines unless otherwise
quads extensions 40
hamstrings curls 40
inner thighs 50
outer thighs 60
squats dummbells while doind cardio bw sets and after 1 set 20 reps 3 sets 12 reps with 40 lbs of weight in the 20 lb dumbells
cardio 5 3-minute rounds with 1 minute break bw total of 15 minutes cardio kickboxing
</t>
  </si>
  <si>
    <t xml:space="preserve">Woke up at 4 am to give Growly his meds early bc he wouldn't stop coughing. Gave him the sweet syrup vetmedin syrring and the other 2 pills enamaril and lasix crushed in vanilla yogurt he ate willingly and then went to bed until alarm went off and snoozed 10 min to get up and out of bed at 540 am. Made babies their food, not pet messes to clean, and made my coffee. Looked at the news, and had a 2nd cup of coffee, took measurements 1/2 through 2nd cup of coffee and roommate got home. Finished 2nd cup of coffee and had a reg BM. Then made breakfast, yogurt the almond coco flip greek yogurt of chobani with my multivitamins and got ready for work. No drinks last night when I got home bc didn't feel like it and drank all the Jameson. Went to bed with compression socks on but could see by my shoes that my ankles were protruding some so they're swollen. I went to work, the front desk Nicky said something about my 3rd client who is impatient and the only one I have had that wants me to be there to get her right on the dot or ask, so Nicky told me to give her her fully time. And I always do. I asked the client when massaging her and she told me that alls she told Nicky was that if I come to get her that if she could tell me she went to the bathroom and that she only waited 4 minutes. I told her the clients getting out on time isn't something we control and the back to back her being the 3rd is expected to start a few minutes after the hour after disinfecting and getting room ready. I thought it was a shitty thing for Nicky to say, bc she didn't even say she went to the bathroom but asked if I was ready bc she was waiting. Like intentionally trying to stress me out and not help. Just pile on shit to my day. She is unhelpful most the time. Nicky is. For lunch had a yogurt, a bagel and the last of the popcorn and some fruit snacks and 4th cup coffee. Then after work I had a 5th cup coffee and another bagel and went home, gave Growly his meds and went to gym for legs and 15 minutes cardio kickboxing after the leg workout and doing dumbell squats during and after. Then went home started my laundry, did some studying of FABS1 first LE, made a sandwhich with the Good Earth brand burger patties from Aldis that remind me of BBQing someone's shit and couldn't eat it, gave to pups. Even after airfrying it is the consistency of soft mush. Gross! I just ate the brioche bun with pickles and mustard and mozz cheese. Then got tired studying 2nd ppt on vertebral column and went to bed at 930 pm, woke up and laid in bed around 10 pm and went back to bed until a little after 5 am. </t>
  </si>
  <si>
    <t xml:space="preserve">vanilla chobani greek yogurt
(110	0	0	12	15	0	60)
2 Dave's Killer brand blueberry bagle boomin blueberry
(520	5	0	22	96	6	760)
4 cups cheetos popcorn
(320	22	4	6	26	4	520) 
almond coco chobani greek yogurt
(200	9	4	9	20	2	80)
4 fruit snacks
(320	0	0	4	76	0	80)
8 pcs fried zucchini
(240	9.6	1.6	3.2	32	1.6	576)
brioche bun
(220	4.5	2.5	7	39	1	280)
4 vlasik pickles
(8	0	0	0	1.6	0	640)
1 tbs mustard
(0.00	0.00	0.00	0.00	0.00	0.00	55.00)
1/3 cup mozz
(80	5	3.5	6	2	0	190)
=110+520+320+200+320+240+220+8+0+80
=0+5+22+9+0+10+5+0+0+5
=0+0+4+4+0+2+3+0+0+3.5
=12+22+6+9+4+3+7+0+0+6
=15+96+26+20+76+32+39+2+0+2
=0+6+4+2+0+1.6+1+0+0+0
=60+760+520+80+80+576+280+640+55+190
</t>
  </si>
  <si>
    <t>Woke up at 515 am and got out of bed when the alarm went off at 530 am, gave Growly his meds while roommate cleaning pet messes as he got home around 510 am. I accidentally knocked over the refrigerated meds I just got for $65 from the pet pharmacy in Riverside and only have a little bit left. I probably knocked over at least half of it while holding Growly so he wouldn't hide under the bed and trying to put him in the other arm while giving him his meds and him refusing it as always. That sucks! Great day to start a morning, not! And thats not used since the 90s. The phrase. Made my coffee and fed the babies. Updated this data base after looking at some of the study material in FABS1, didn't realize that I was supposed to write into the ppt lectures where the arrows were. I know I took separate notes in my notebook and drew what I could while he talked but I might have to go back and review the recorded zoom LEs to fill in. Had a 2nd cup of coffee and didn't start it while it cooled. My ankles I noticed when checking the swollen ankles aren't that swollen to start the day. Won't be working out today bc they close early and I would have if they stayed open bc I have a client at 7 pm and will be done at 8 pm. But do need to study a bunch of memorization of body skeletal and vertebral bodies for quiz tomorrow at 10 am. Also, set aside time to get examplify to take exam if that is what we are doing. Had a reg BM then washed hands and felt cramps in my abdomen and had a 2nd sm BM after washing hands then washed hands again. I started getting the cramping yesterday after my cardio workout at the gym. Measurements taken after a couple BMs and before breakfast and after finishing 2nd cup of coffee. Had the last almond coco greek yogurt Chobani brand with my multivitamins for breakfast.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</si>
</sst>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xf numFmtId="1" fontId="0" fillId="0" borderId="0" xfId="0" applyNumberFormat="1" applyFill="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89"/>
  <sheetViews>
    <sheetView workbookViewId="0">
      <pane ySplit="1" topLeftCell="A571" activePane="bottomLeft" state="frozen"/>
      <selection pane="bottomLeft" activeCell="B572" sqref="B572:H572"/>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A552" s="16" t="s">
        <v>1208</v>
      </c>
      <c r="B552">
        <v>150</v>
      </c>
      <c r="C552">
        <v>11</v>
      </c>
      <c r="D552">
        <v>4.5</v>
      </c>
      <c r="E552">
        <v>2</v>
      </c>
      <c r="F552">
        <v>14</v>
      </c>
      <c r="G552">
        <v>1</v>
      </c>
      <c r="H552">
        <v>220</v>
      </c>
    </row>
    <row r="553" spans="1:8" x14ac:dyDescent="0.3">
      <c r="A553" s="16" t="s">
        <v>1209</v>
      </c>
      <c r="B553">
        <v>100</v>
      </c>
      <c r="C553">
        <v>1</v>
      </c>
      <c r="D553">
        <v>0</v>
      </c>
      <c r="E553">
        <v>16</v>
      </c>
      <c r="F553">
        <v>6</v>
      </c>
      <c r="G553">
        <v>4</v>
      </c>
      <c r="H553">
        <v>320</v>
      </c>
    </row>
    <row r="554" spans="1:8" x14ac:dyDescent="0.3">
      <c r="A554" s="16" t="s">
        <v>1210</v>
      </c>
      <c r="B554">
        <v>160</v>
      </c>
      <c r="C554">
        <v>9</v>
      </c>
      <c r="D554">
        <v>2</v>
      </c>
      <c r="E554">
        <v>2</v>
      </c>
      <c r="F554">
        <v>15</v>
      </c>
      <c r="G554">
        <v>1</v>
      </c>
      <c r="H554">
        <v>180</v>
      </c>
    </row>
    <row r="555" spans="1:8" x14ac:dyDescent="0.3">
      <c r="A555" s="16" t="s">
        <v>1217</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1218</v>
      </c>
      <c r="B556">
        <v>130</v>
      </c>
      <c r="C556">
        <v>7</v>
      </c>
      <c r="D556">
        <v>1</v>
      </c>
      <c r="E556">
        <v>2</v>
      </c>
      <c r="F556">
        <v>17</v>
      </c>
      <c r="G556">
        <v>1</v>
      </c>
      <c r="H556">
        <v>450</v>
      </c>
    </row>
    <row r="557" spans="1:8" x14ac:dyDescent="0.3">
      <c r="A557" s="16" t="s">
        <v>1219</v>
      </c>
      <c r="B557">
        <v>80</v>
      </c>
      <c r="C557">
        <v>0</v>
      </c>
      <c r="D557">
        <v>0</v>
      </c>
      <c r="E557">
        <v>0</v>
      </c>
      <c r="F557">
        <v>19</v>
      </c>
      <c r="G557">
        <v>0</v>
      </c>
      <c r="H557">
        <v>30</v>
      </c>
    </row>
    <row r="558" spans="1:8" x14ac:dyDescent="0.3">
      <c r="A558" s="16" t="s">
        <v>1220</v>
      </c>
      <c r="B558">
        <v>120</v>
      </c>
      <c r="C558">
        <v>4</v>
      </c>
      <c r="D558">
        <v>0.5</v>
      </c>
      <c r="E558">
        <v>2</v>
      </c>
      <c r="F558">
        <v>18</v>
      </c>
      <c r="G558">
        <v>1</v>
      </c>
      <c r="H558">
        <v>210</v>
      </c>
    </row>
    <row r="559" spans="1:8" x14ac:dyDescent="0.3">
      <c r="A559" s="16" t="s">
        <v>1221</v>
      </c>
      <c r="B559">
        <v>80</v>
      </c>
      <c r="C559">
        <v>5</v>
      </c>
      <c r="D559">
        <v>1</v>
      </c>
      <c r="E559">
        <v>2</v>
      </c>
      <c r="F559">
        <v>7</v>
      </c>
      <c r="G559">
        <v>1</v>
      </c>
      <c r="H559">
        <v>120</v>
      </c>
    </row>
    <row r="560" spans="1:8" x14ac:dyDescent="0.3">
      <c r="A560" s="16" t="s">
        <v>1223</v>
      </c>
      <c r="B560" s="17">
        <v>140</v>
      </c>
      <c r="C560" s="17">
        <v>9</v>
      </c>
      <c r="D560" s="17">
        <v>1.5</v>
      </c>
      <c r="E560" s="17">
        <v>2</v>
      </c>
      <c r="F560" s="17">
        <v>14</v>
      </c>
      <c r="G560" s="17">
        <v>1</v>
      </c>
      <c r="H560" s="17">
        <v>230</v>
      </c>
    </row>
    <row r="561" spans="1:8" x14ac:dyDescent="0.3">
      <c r="A561" s="16" t="s">
        <v>1224</v>
      </c>
      <c r="B561">
        <v>150</v>
      </c>
      <c r="C561">
        <v>8</v>
      </c>
      <c r="D561">
        <v>1</v>
      </c>
      <c r="E561">
        <v>2</v>
      </c>
      <c r="F561">
        <v>18</v>
      </c>
      <c r="G561">
        <v>1</v>
      </c>
      <c r="H561">
        <v>190</v>
      </c>
    </row>
    <row r="562" spans="1:8" x14ac:dyDescent="0.3">
      <c r="A562" s="16" t="s">
        <v>1225</v>
      </c>
      <c r="B562">
        <v>150</v>
      </c>
      <c r="C562">
        <v>8</v>
      </c>
      <c r="D562">
        <v>1</v>
      </c>
      <c r="E562">
        <v>2</v>
      </c>
      <c r="F562">
        <v>18</v>
      </c>
      <c r="G562">
        <v>1</v>
      </c>
      <c r="H562">
        <v>210</v>
      </c>
    </row>
    <row r="563" spans="1:8" x14ac:dyDescent="0.3">
      <c r="A563" s="16" t="s">
        <v>1230</v>
      </c>
      <c r="B563">
        <v>110</v>
      </c>
      <c r="C563">
        <v>3</v>
      </c>
      <c r="D563">
        <v>0</v>
      </c>
      <c r="E563">
        <v>2</v>
      </c>
      <c r="F563">
        <v>19</v>
      </c>
      <c r="G563">
        <v>1</v>
      </c>
      <c r="H563">
        <v>125</v>
      </c>
    </row>
    <row r="564" spans="1:8" x14ac:dyDescent="0.3">
      <c r="A564" s="16" t="s">
        <v>1231</v>
      </c>
      <c r="B564">
        <v>110</v>
      </c>
      <c r="C564">
        <v>3</v>
      </c>
      <c r="D564">
        <v>0</v>
      </c>
      <c r="E564">
        <v>2</v>
      </c>
      <c r="F564">
        <v>19</v>
      </c>
      <c r="G564">
        <v>1</v>
      </c>
      <c r="H564">
        <v>220</v>
      </c>
    </row>
    <row r="565" spans="1:8" x14ac:dyDescent="0.3">
      <c r="A565" s="16" t="s">
        <v>1232</v>
      </c>
      <c r="B565">
        <v>160</v>
      </c>
      <c r="C565">
        <v>10</v>
      </c>
      <c r="D565">
        <v>1.5</v>
      </c>
      <c r="E565">
        <v>2</v>
      </c>
      <c r="F565">
        <v>15</v>
      </c>
      <c r="G565">
        <v>1</v>
      </c>
      <c r="H565">
        <v>250</v>
      </c>
    </row>
    <row r="566" spans="1:8" x14ac:dyDescent="0.3">
      <c r="A566" s="16" t="s">
        <v>1236</v>
      </c>
      <c r="B566">
        <v>150</v>
      </c>
      <c r="C566">
        <v>1.5</v>
      </c>
      <c r="D566">
        <v>0.5</v>
      </c>
      <c r="E566">
        <v>5</v>
      </c>
      <c r="F566">
        <v>30</v>
      </c>
      <c r="G566">
        <v>1</v>
      </c>
      <c r="H566">
        <v>200</v>
      </c>
    </row>
    <row r="567" spans="1:8" x14ac:dyDescent="0.3">
      <c r="A567" s="16" t="s">
        <v>1247</v>
      </c>
      <c r="B567" s="17">
        <v>150</v>
      </c>
      <c r="C567" s="17">
        <v>8</v>
      </c>
      <c r="D567" s="17">
        <v>4</v>
      </c>
      <c r="E567" s="17">
        <v>3</v>
      </c>
      <c r="F567" s="17">
        <v>16</v>
      </c>
      <c r="G567" s="17">
        <v>1</v>
      </c>
      <c r="H567" s="17">
        <v>25</v>
      </c>
    </row>
    <row r="568" spans="1:8" x14ac:dyDescent="0.3">
      <c r="A568" s="16" t="s">
        <v>1248</v>
      </c>
      <c r="B568">
        <v>370</v>
      </c>
      <c r="C568">
        <v>16</v>
      </c>
      <c r="D568">
        <v>16</v>
      </c>
      <c r="E568">
        <v>0</v>
      </c>
      <c r="F568">
        <v>64</v>
      </c>
      <c r="G568">
        <v>0</v>
      </c>
      <c r="H568">
        <v>5</v>
      </c>
    </row>
    <row r="569" spans="1:8" x14ac:dyDescent="0.3">
      <c r="A569" s="16" t="s">
        <v>1250</v>
      </c>
      <c r="B569" s="17">
        <v>180</v>
      </c>
      <c r="C569" s="17">
        <v>5</v>
      </c>
      <c r="D569" s="17">
        <v>3</v>
      </c>
      <c r="E569" s="17">
        <v>6</v>
      </c>
      <c r="F569" s="17">
        <v>28</v>
      </c>
      <c r="G569" s="17">
        <v>1</v>
      </c>
      <c r="H569" s="17">
        <v>360</v>
      </c>
    </row>
    <row r="570" spans="1:8" x14ac:dyDescent="0.3">
      <c r="A570" s="16" t="s">
        <v>1253</v>
      </c>
      <c r="B570">
        <v>330</v>
      </c>
      <c r="C570">
        <v>18</v>
      </c>
      <c r="D570">
        <v>9</v>
      </c>
      <c r="E570">
        <v>26</v>
      </c>
      <c r="F570">
        <v>16</v>
      </c>
      <c r="G570">
        <v>2</v>
      </c>
      <c r="H570">
        <v>420</v>
      </c>
    </row>
    <row r="571" spans="1:8" x14ac:dyDescent="0.3">
      <c r="A571" s="16" t="s">
        <v>1254</v>
      </c>
      <c r="B571" s="17">
        <v>240</v>
      </c>
      <c r="C571" s="17">
        <v>2</v>
      </c>
      <c r="D571" s="17">
        <v>0.5</v>
      </c>
      <c r="E571" s="17">
        <v>8</v>
      </c>
      <c r="F571" s="17">
        <v>46</v>
      </c>
      <c r="G571" s="17">
        <v>2</v>
      </c>
      <c r="H571" s="17">
        <v>630</v>
      </c>
    </row>
    <row r="572" spans="1:8" x14ac:dyDescent="0.3">
      <c r="A572" s="16" t="s">
        <v>1255</v>
      </c>
      <c r="B572">
        <v>80</v>
      </c>
      <c r="C572">
        <v>5</v>
      </c>
      <c r="D572">
        <v>3.5</v>
      </c>
      <c r="E572">
        <v>6</v>
      </c>
      <c r="F572">
        <v>2</v>
      </c>
      <c r="G572">
        <v>0</v>
      </c>
      <c r="H572">
        <v>190</v>
      </c>
    </row>
    <row r="573" spans="1:8" x14ac:dyDescent="0.3">
      <c r="A573" s="16" t="s">
        <v>1256</v>
      </c>
      <c r="B573" s="17">
        <v>0</v>
      </c>
      <c r="C573" s="17">
        <v>0</v>
      </c>
      <c r="D573" s="17">
        <v>0</v>
      </c>
      <c r="E573" s="17">
        <v>0</v>
      </c>
      <c r="F573" s="17">
        <v>0</v>
      </c>
      <c r="G573" s="17">
        <v>0</v>
      </c>
      <c r="H573" s="17">
        <v>55</v>
      </c>
    </row>
    <row r="574" spans="1:8" x14ac:dyDescent="0.3">
      <c r="A574" s="16" t="s">
        <v>1257</v>
      </c>
      <c r="B574">
        <v>0</v>
      </c>
      <c r="C574">
        <v>0</v>
      </c>
      <c r="D574">
        <v>0</v>
      </c>
      <c r="E574">
        <v>0</v>
      </c>
      <c r="F574">
        <v>1</v>
      </c>
      <c r="G574">
        <v>0</v>
      </c>
      <c r="H574">
        <v>260</v>
      </c>
    </row>
    <row r="575" spans="1:8" x14ac:dyDescent="0.3">
      <c r="A575" s="16" t="s">
        <v>1264</v>
      </c>
      <c r="B575">
        <v>210</v>
      </c>
      <c r="C575">
        <v>12</v>
      </c>
      <c r="D575">
        <v>4.5</v>
      </c>
      <c r="E575">
        <v>6</v>
      </c>
      <c r="F575">
        <v>17</v>
      </c>
      <c r="G575">
        <v>0</v>
      </c>
      <c r="H575">
        <v>350</v>
      </c>
    </row>
    <row r="576" spans="1:8" x14ac:dyDescent="0.3">
      <c r="A576" s="16" t="s">
        <v>1266</v>
      </c>
      <c r="B576">
        <v>5</v>
      </c>
      <c r="C576">
        <v>0</v>
      </c>
      <c r="D576">
        <v>0</v>
      </c>
      <c r="E576">
        <v>0</v>
      </c>
      <c r="F576">
        <v>1</v>
      </c>
      <c r="G576">
        <v>0</v>
      </c>
      <c r="H576">
        <v>400</v>
      </c>
    </row>
    <row r="577" spans="1:8" x14ac:dyDescent="0.3">
      <c r="A577" s="16" t="s">
        <v>1269</v>
      </c>
      <c r="B577">
        <v>80</v>
      </c>
      <c r="C577">
        <v>0</v>
      </c>
      <c r="D577">
        <v>0</v>
      </c>
      <c r="E577">
        <v>1</v>
      </c>
      <c r="F577">
        <v>19</v>
      </c>
      <c r="G577">
        <v>0</v>
      </c>
      <c r="H577">
        <v>20</v>
      </c>
    </row>
    <row r="578" spans="1:8" x14ac:dyDescent="0.3">
      <c r="A578" s="16" t="s">
        <v>1270</v>
      </c>
      <c r="B578">
        <v>140</v>
      </c>
      <c r="C578">
        <v>7</v>
      </c>
      <c r="D578">
        <v>1</v>
      </c>
      <c r="E578">
        <v>0</v>
      </c>
      <c r="F578">
        <v>20</v>
      </c>
      <c r="G578">
        <v>2</v>
      </c>
      <c r="H578">
        <v>15</v>
      </c>
    </row>
    <row r="579" spans="1:8" x14ac:dyDescent="0.3">
      <c r="A579" s="16" t="s">
        <v>1272</v>
      </c>
      <c r="B579" s="17">
        <v>380</v>
      </c>
      <c r="C579" s="17">
        <v>17</v>
      </c>
      <c r="D579" s="17">
        <v>9</v>
      </c>
      <c r="E579" s="17">
        <v>9</v>
      </c>
      <c r="F579" s="17">
        <v>48</v>
      </c>
      <c r="G579" s="17">
        <v>3</v>
      </c>
      <c r="H579" s="17">
        <v>880</v>
      </c>
    </row>
    <row r="580" spans="1:8" x14ac:dyDescent="0.3">
      <c r="A580" s="16" t="s">
        <v>1276</v>
      </c>
      <c r="B580">
        <v>230</v>
      </c>
      <c r="C580">
        <v>1</v>
      </c>
      <c r="D580">
        <v>0.5</v>
      </c>
      <c r="E580">
        <v>8</v>
      </c>
      <c r="F580">
        <v>46</v>
      </c>
      <c r="G580">
        <v>2</v>
      </c>
      <c r="H580">
        <v>400</v>
      </c>
    </row>
    <row r="581" spans="1:8" x14ac:dyDescent="0.3">
      <c r="A581" s="16" t="s">
        <v>1278</v>
      </c>
      <c r="B581">
        <v>150</v>
      </c>
      <c r="C581">
        <v>6</v>
      </c>
      <c r="D581">
        <v>1</v>
      </c>
      <c r="E581">
        <v>2</v>
      </c>
      <c r="F581">
        <v>20</v>
      </c>
      <c r="G581">
        <v>1</v>
      </c>
      <c r="H581">
        <v>360</v>
      </c>
    </row>
    <row r="582" spans="1:8" x14ac:dyDescent="0.3">
      <c r="A582" s="16" t="s">
        <v>1282</v>
      </c>
      <c r="B582">
        <v>220</v>
      </c>
      <c r="C582">
        <v>4.5</v>
      </c>
      <c r="D582">
        <v>2.5</v>
      </c>
      <c r="E582">
        <v>7</v>
      </c>
      <c r="F582">
        <v>39</v>
      </c>
      <c r="G582">
        <v>1</v>
      </c>
      <c r="H582">
        <v>280</v>
      </c>
    </row>
    <row r="583" spans="1:8" x14ac:dyDescent="0.3">
      <c r="A583" s="16" t="s">
        <v>1291</v>
      </c>
      <c r="B583" s="17">
        <v>160</v>
      </c>
      <c r="C583" s="17">
        <v>11</v>
      </c>
      <c r="D583" s="17">
        <v>2</v>
      </c>
      <c r="E583" s="17">
        <v>3</v>
      </c>
      <c r="F583" s="17">
        <v>13</v>
      </c>
      <c r="G583" s="17">
        <v>2</v>
      </c>
      <c r="H583" s="17">
        <v>260</v>
      </c>
    </row>
    <row r="584" spans="1:8" x14ac:dyDescent="0.3">
      <c r="A584" s="16" t="s">
        <v>1293</v>
      </c>
      <c r="B584" s="17">
        <v>19</v>
      </c>
      <c r="C584" s="17">
        <v>0.3</v>
      </c>
      <c r="D584" s="17">
        <v>0.1</v>
      </c>
      <c r="E584" s="17">
        <v>1.8</v>
      </c>
      <c r="F584" s="17">
        <v>3.3</v>
      </c>
      <c r="G584" s="17">
        <v>1.1000000000000001</v>
      </c>
      <c r="H584" s="17">
        <v>8</v>
      </c>
    </row>
    <row r="585" spans="1:8" x14ac:dyDescent="0.3">
      <c r="A585" s="16" t="s">
        <v>1296</v>
      </c>
      <c r="B585">
        <v>200</v>
      </c>
      <c r="C585">
        <v>9</v>
      </c>
      <c r="D585">
        <v>4</v>
      </c>
      <c r="E585">
        <v>9</v>
      </c>
      <c r="F585">
        <v>20</v>
      </c>
      <c r="G585">
        <v>2</v>
      </c>
      <c r="H585">
        <v>80</v>
      </c>
    </row>
    <row r="586" spans="1:8" x14ac:dyDescent="0.3">
      <c r="A586" s="16" t="s">
        <v>1297</v>
      </c>
      <c r="B586">
        <v>110</v>
      </c>
      <c r="C586">
        <v>0</v>
      </c>
      <c r="D586">
        <v>0</v>
      </c>
      <c r="E586">
        <v>12</v>
      </c>
      <c r="F586">
        <v>15</v>
      </c>
      <c r="G586">
        <v>0</v>
      </c>
      <c r="H586">
        <v>60</v>
      </c>
    </row>
    <row r="587" spans="1:8" x14ac:dyDescent="0.3">
      <c r="A587" s="16" t="s">
        <v>1299</v>
      </c>
      <c r="B587">
        <v>260</v>
      </c>
      <c r="C587">
        <v>2.5</v>
      </c>
      <c r="D587">
        <v>0</v>
      </c>
      <c r="E587">
        <v>11</v>
      </c>
      <c r="F587">
        <v>48</v>
      </c>
      <c r="G587">
        <v>3</v>
      </c>
      <c r="H587">
        <v>380</v>
      </c>
    </row>
    <row r="588" spans="1:8" x14ac:dyDescent="0.3">
      <c r="B588">
        <f>B587*2</f>
        <v>520</v>
      </c>
      <c r="C588">
        <f t="shared" ref="C588:H588" si="126">C587*2</f>
        <v>5</v>
      </c>
      <c r="D588">
        <f t="shared" si="126"/>
        <v>0</v>
      </c>
      <c r="E588">
        <f t="shared" si="126"/>
        <v>22</v>
      </c>
      <c r="F588">
        <f t="shared" si="126"/>
        <v>96</v>
      </c>
      <c r="G588">
        <f t="shared" si="126"/>
        <v>6</v>
      </c>
      <c r="H588">
        <f t="shared" si="126"/>
        <v>760</v>
      </c>
    </row>
    <row r="589" spans="1:8" x14ac:dyDescent="0.3">
      <c r="B589">
        <f>B576*(2/5)*4</f>
        <v>8</v>
      </c>
      <c r="C589">
        <f t="shared" ref="C589:H589" si="127">C576*(2/5)*4</f>
        <v>0</v>
      </c>
      <c r="D589">
        <f t="shared" si="127"/>
        <v>0</v>
      </c>
      <c r="E589">
        <f t="shared" si="127"/>
        <v>0</v>
      </c>
      <c r="F589">
        <f t="shared" si="127"/>
        <v>1.6</v>
      </c>
      <c r="G589">
        <f t="shared" si="127"/>
        <v>0</v>
      </c>
      <c r="H589">
        <f t="shared" si="127"/>
        <v>640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49"/>
  <sheetViews>
    <sheetView tabSelected="1" topLeftCell="P1" zoomScale="74" zoomScaleNormal="85" workbookViewId="0">
      <pane ySplit="1" topLeftCell="A241" activePane="bottomLeft" state="frozen"/>
      <selection activeCell="O1" sqref="O1"/>
      <selection pane="bottomLeft" activeCell="Z250" sqref="Z250"/>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49" si="400">$AC215/$AB215</f>
        <v>4.5635805911879532E-2</v>
      </c>
      <c r="AJ215" s="6">
        <f t="shared" ref="AJ215:AJ249" si="401">$AD215/$AB215</f>
        <v>1.1503067484662576E-2</v>
      </c>
      <c r="AK215" s="6">
        <f t="shared" ref="AK215:AK249" si="402">$AE215/$AB215</f>
        <v>3.1999442275515898E-2</v>
      </c>
      <c r="AL215" s="6">
        <f t="shared" ref="AL215:AL249" si="403">$AF215/$AB215</f>
        <v>0.12529280535415505</v>
      </c>
      <c r="AM215" s="6">
        <f t="shared" ref="AM215:AM249" si="404">$AG215/$AB215</f>
        <v>1.5184049079754602E-2</v>
      </c>
      <c r="AN215" s="6">
        <f t="shared" ref="AN215:AN249"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1204</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c r="AA226" s="10" t="s">
        <v>1211</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1202</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1213</v>
      </c>
      <c r="AA227" s="10" t="s">
        <v>1212</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1202</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1214</v>
      </c>
      <c r="AA228" s="10" t="s">
        <v>1215</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1216</v>
      </c>
      <c r="BM228" s="7">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1222</v>
      </c>
      <c r="AA229" s="10" t="s">
        <v>1226</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1216</v>
      </c>
      <c r="BM229" s="7">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1228</v>
      </c>
      <c r="AA230" s="10" t="s">
        <v>1227</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1216</v>
      </c>
      <c r="BM230" s="7">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1234</v>
      </c>
      <c r="AA231" s="10" t="s">
        <v>1233</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1229</v>
      </c>
      <c r="BM231" s="7">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1235</v>
      </c>
      <c r="AA232" s="10" t="s">
        <v>1237</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1229</v>
      </c>
      <c r="BM232" s="7">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1238</v>
      </c>
      <c r="AA233" s="10" t="s">
        <v>1240</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10">
        <v>0</v>
      </c>
      <c r="AS233" s="7">
        <v>0</v>
      </c>
      <c r="AT233" s="7">
        <v>0</v>
      </c>
      <c r="AU233" s="7">
        <v>0</v>
      </c>
      <c r="AV233" s="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1229</v>
      </c>
      <c r="BM233" s="7">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1242</v>
      </c>
      <c r="AA234" s="10" t="s">
        <v>1241</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10" t="s">
        <v>1239</v>
      </c>
      <c r="AS234" s="7">
        <v>0</v>
      </c>
      <c r="AT234" s="7">
        <v>0</v>
      </c>
      <c r="AU234" s="7">
        <v>0</v>
      </c>
      <c r="AV234" s="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1229</v>
      </c>
      <c r="BM234" s="7">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1245</v>
      </c>
      <c r="AA235" s="10" t="s">
        <v>1244</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10" t="s">
        <v>1243</v>
      </c>
      <c r="AS235" s="7">
        <v>0</v>
      </c>
      <c r="AT235" s="7">
        <v>0</v>
      </c>
      <c r="AU235" s="7">
        <v>0</v>
      </c>
      <c r="AV235" s="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1261</v>
      </c>
      <c r="BM235" s="7">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1246</v>
      </c>
      <c r="AA236" s="10" t="s">
        <v>1249</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10">
        <v>0</v>
      </c>
      <c r="AS236" s="7">
        <v>0</v>
      </c>
      <c r="AT236" s="7">
        <v>0</v>
      </c>
      <c r="AU236" s="7">
        <v>0</v>
      </c>
      <c r="AV236" s="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1261</v>
      </c>
      <c r="BM236" s="7">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1252</v>
      </c>
      <c r="AA237" s="10" t="s">
        <v>1251</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10">
        <v>0</v>
      </c>
      <c r="AS237" s="7">
        <v>0</v>
      </c>
      <c r="AT237" s="7">
        <v>0</v>
      </c>
      <c r="AU237" s="7">
        <v>0</v>
      </c>
      <c r="AV237" s="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7">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1259</v>
      </c>
      <c r="AA238" s="10" t="s">
        <v>1258</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10">
        <v>0</v>
      </c>
      <c r="AS238" s="7">
        <v>0</v>
      </c>
      <c r="AT238" s="7">
        <v>0</v>
      </c>
      <c r="AU238" s="7">
        <v>0</v>
      </c>
      <c r="AV238" s="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7">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1263</v>
      </c>
      <c r="AA239" s="10" t="s">
        <v>1262</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10" t="s">
        <v>1260</v>
      </c>
      <c r="AS239" s="7">
        <v>0</v>
      </c>
      <c r="AT239" s="7">
        <v>0</v>
      </c>
      <c r="AU239" s="7">
        <v>0</v>
      </c>
      <c r="AV239" s="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7">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1268</v>
      </c>
      <c r="AA240" s="10" t="s">
        <v>1267</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7">
        <v>5</v>
      </c>
      <c r="AP240" s="7">
        <v>1</v>
      </c>
      <c r="AQ240" s="7">
        <v>0</v>
      </c>
      <c r="AR240" s="10" t="s">
        <v>1265</v>
      </c>
      <c r="AS240" s="7">
        <v>0</v>
      </c>
      <c r="AT240" s="7">
        <v>0</v>
      </c>
      <c r="AU240" s="7">
        <v>0</v>
      </c>
      <c r="AV240" s="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7">
        <v>1</v>
      </c>
    </row>
    <row r="241" spans="1:65" ht="30" customHeight="1" x14ac:dyDescent="0.3">
      <c r="A241" s="3" t="s">
        <v>19</v>
      </c>
      <c r="B241" s="3">
        <v>12</v>
      </c>
      <c r="C241" s="8">
        <v>44450</v>
      </c>
      <c r="D241" s="9">
        <v>0.76041666666666663</v>
      </c>
      <c r="E241" s="4">
        <v>92</v>
      </c>
      <c r="F241" s="3">
        <v>5</v>
      </c>
      <c r="G241" s="3">
        <v>3</v>
      </c>
      <c r="H241" s="3">
        <v>15</v>
      </c>
      <c r="I241" s="3">
        <v>0.25</v>
      </c>
      <c r="J241" s="9">
        <v>0.26597222222222222</v>
      </c>
      <c r="K241" s="3">
        <v>145.6</v>
      </c>
      <c r="L241" s="11">
        <f t="shared" ref="L241" si="455">K241-K240</f>
        <v>0.19999999999998863</v>
      </c>
      <c r="M241" s="5">
        <f t="shared" ref="M241" si="456">AB240</f>
        <v>1581.5</v>
      </c>
      <c r="N241" s="11">
        <v>30.5</v>
      </c>
      <c r="O241" s="11">
        <v>32.25</v>
      </c>
      <c r="P241" s="11">
        <v>10.875</v>
      </c>
      <c r="Q241" s="11">
        <v>11.125</v>
      </c>
      <c r="R241" s="11">
        <v>20.125</v>
      </c>
      <c r="S241" s="11">
        <v>20.375</v>
      </c>
      <c r="T241" s="11">
        <v>15</v>
      </c>
      <c r="U241" s="11">
        <v>16</v>
      </c>
      <c r="V241" s="11">
        <v>15</v>
      </c>
      <c r="W241" s="11">
        <v>15</v>
      </c>
      <c r="X241" s="11">
        <v>7</v>
      </c>
      <c r="Y241" s="11">
        <v>7</v>
      </c>
      <c r="Z241" s="3" t="s">
        <v>1274</v>
      </c>
      <c r="AA241" s="10" t="s">
        <v>1273</v>
      </c>
      <c r="AB241" s="5">
        <f>240+80+5.75+0+240+640+187+380+75+242</f>
        <v>2089.75</v>
      </c>
      <c r="AC241" s="6">
        <f>2+5+0+2+0+9+17+5+22</f>
        <v>62</v>
      </c>
      <c r="AD241" s="6">
        <f>1+3.5+0+0+1+0+1+9+5+3</f>
        <v>23.5</v>
      </c>
      <c r="AE241" s="6">
        <f>8+6+0+0+8+8+0+9+1+3</f>
        <v>43</v>
      </c>
      <c r="AF241" s="6">
        <f>46+2+1.15+0+46+152+27+48+8+13</f>
        <v>343.15</v>
      </c>
      <c r="AG241" s="6">
        <f>2+0+0+0+2+0+3+3+1+14</f>
        <v>25</v>
      </c>
      <c r="AH241" s="6">
        <f>630+190+460+55+630+160+20+880+8+11</f>
        <v>3044</v>
      </c>
      <c r="AI241" s="6">
        <f t="shared" si="400"/>
        <v>2.9668620648402918E-2</v>
      </c>
      <c r="AJ241" s="6">
        <f t="shared" si="401"/>
        <v>1.1245364278023686E-2</v>
      </c>
      <c r="AK241" s="6">
        <f t="shared" si="402"/>
        <v>2.0576623998085894E-2</v>
      </c>
      <c r="AL241" s="6">
        <f t="shared" si="403"/>
        <v>0.16420624476612034</v>
      </c>
      <c r="AM241" s="6">
        <f t="shared" si="404"/>
        <v>1.1963153487259242E-2</v>
      </c>
      <c r="AN241" s="6">
        <f t="shared" si="405"/>
        <v>1.4566335686086853</v>
      </c>
      <c r="AO241" s="7">
        <v>5</v>
      </c>
      <c r="AP241" s="7">
        <v>1</v>
      </c>
      <c r="AQ241" s="7">
        <v>0</v>
      </c>
      <c r="AR241" s="10" t="s">
        <v>1271</v>
      </c>
      <c r="AS241" s="7">
        <v>0</v>
      </c>
      <c r="AT241" s="7">
        <v>0</v>
      </c>
      <c r="AU241" s="7">
        <v>0</v>
      </c>
      <c r="AV241" s="7">
        <v>0</v>
      </c>
      <c r="AW241" s="7">
        <v>31</v>
      </c>
      <c r="AX241" s="7">
        <v>1</v>
      </c>
      <c r="AY241" s="5">
        <v>5.75</v>
      </c>
      <c r="AZ241" s="7">
        <v>0</v>
      </c>
      <c r="BA241" s="7">
        <v>0</v>
      </c>
      <c r="BB241" s="7">
        <v>0</v>
      </c>
      <c r="BC241" s="7">
        <v>1</v>
      </c>
      <c r="BD241" s="7">
        <v>1</v>
      </c>
      <c r="BE241" s="7">
        <v>0</v>
      </c>
      <c r="BF241" s="7">
        <v>0</v>
      </c>
      <c r="BG241" s="7">
        <v>0</v>
      </c>
      <c r="BH241" s="7">
        <v>0</v>
      </c>
      <c r="BI241" s="7">
        <v>0</v>
      </c>
      <c r="BJ241" s="7">
        <v>1</v>
      </c>
      <c r="BK241" s="11">
        <v>2</v>
      </c>
      <c r="BL241" s="7" t="s">
        <v>1129</v>
      </c>
      <c r="BM241" s="7">
        <v>1</v>
      </c>
    </row>
    <row r="242" spans="1:65" ht="30" customHeight="1" x14ac:dyDescent="0.3">
      <c r="A242" s="3" t="s">
        <v>23</v>
      </c>
      <c r="B242" s="3">
        <v>13</v>
      </c>
      <c r="C242" s="8">
        <v>44451</v>
      </c>
      <c r="D242" s="9">
        <v>0.2986111111111111</v>
      </c>
      <c r="E242" s="4">
        <v>72</v>
      </c>
      <c r="F242" s="3">
        <v>0</v>
      </c>
      <c r="G242" s="3">
        <v>0</v>
      </c>
      <c r="H242" s="3">
        <v>0</v>
      </c>
      <c r="I242" s="3">
        <v>0</v>
      </c>
      <c r="J242" s="9">
        <v>0.30902777777777779</v>
      </c>
      <c r="K242" s="3">
        <v>145.4</v>
      </c>
      <c r="L242" s="11">
        <f t="shared" ref="L242" si="457">K242-K241</f>
        <v>-0.19999999999998863</v>
      </c>
      <c r="M242" s="5">
        <f t="shared" ref="M242" si="458">AB241</f>
        <v>2089.75</v>
      </c>
      <c r="N242" s="11">
        <v>30.625</v>
      </c>
      <c r="O242" s="11">
        <v>32.625</v>
      </c>
      <c r="P242" s="11">
        <v>11</v>
      </c>
      <c r="Q242" s="11">
        <v>11</v>
      </c>
      <c r="R242" s="11">
        <v>20.25</v>
      </c>
      <c r="S242" s="11">
        <v>20.125</v>
      </c>
      <c r="T242" s="11">
        <v>15</v>
      </c>
      <c r="U242" s="11">
        <v>16</v>
      </c>
      <c r="V242" s="11">
        <v>17</v>
      </c>
      <c r="W242" s="11">
        <v>17</v>
      </c>
      <c r="X242" s="11">
        <v>7</v>
      </c>
      <c r="Y242" s="11">
        <v>7</v>
      </c>
      <c r="Z242" s="3" t="s">
        <v>1275</v>
      </c>
      <c r="AA242" s="10" t="s">
        <v>1277</v>
      </c>
      <c r="AB242" s="5">
        <f>420+480+280+579+51</f>
        <v>1810</v>
      </c>
      <c r="AC242" s="6">
        <f>16+0+14+11+5</f>
        <v>46</v>
      </c>
      <c r="AD242" s="6">
        <f>4+0+2+2+3</f>
        <v>11</v>
      </c>
      <c r="AE242" s="6">
        <f>10+6+0+18+1</f>
        <v>35</v>
      </c>
      <c r="AF242" s="6">
        <f>62+114+40+102+0.4</f>
        <v>318.39999999999998</v>
      </c>
      <c r="AG242" s="6">
        <f>2+0+4+8+0</f>
        <v>14</v>
      </c>
      <c r="AH242" s="6">
        <f>640+120+30+1731+43</f>
        <v>2564</v>
      </c>
      <c r="AI242" s="6">
        <f t="shared" si="400"/>
        <v>2.541436464088398E-2</v>
      </c>
      <c r="AJ242" s="6">
        <f t="shared" si="401"/>
        <v>6.0773480662983425E-3</v>
      </c>
      <c r="AK242" s="6">
        <f t="shared" si="402"/>
        <v>1.9337016574585635E-2</v>
      </c>
      <c r="AL242" s="6">
        <f t="shared" si="403"/>
        <v>0.17591160220994473</v>
      </c>
      <c r="AM242" s="6">
        <f t="shared" si="404"/>
        <v>7.7348066298342545E-3</v>
      </c>
      <c r="AN242" s="6">
        <f t="shared" si="405"/>
        <v>1.4165745856353591</v>
      </c>
      <c r="AO242" s="7">
        <v>4</v>
      </c>
      <c r="AP242" s="7">
        <v>1</v>
      </c>
      <c r="AQ242" s="7">
        <v>0</v>
      </c>
      <c r="AR242" s="7">
        <v>0</v>
      </c>
      <c r="AS242" s="7">
        <v>0</v>
      </c>
      <c r="AT242" s="7">
        <v>0</v>
      </c>
      <c r="AU242" s="7">
        <v>0</v>
      </c>
      <c r="AV242" s="7">
        <v>0</v>
      </c>
      <c r="AW242" s="7">
        <v>31</v>
      </c>
      <c r="AX242" s="7">
        <v>1</v>
      </c>
      <c r="AY242" s="5">
        <v>6.5</v>
      </c>
      <c r="AZ242" s="7">
        <v>0</v>
      </c>
      <c r="BA242" s="7">
        <v>0</v>
      </c>
      <c r="BB242" s="7">
        <v>0</v>
      </c>
      <c r="BC242" s="7">
        <v>1</v>
      </c>
      <c r="BD242" s="7">
        <v>1</v>
      </c>
      <c r="BE242" s="7">
        <v>0</v>
      </c>
      <c r="BF242" s="7">
        <v>0</v>
      </c>
      <c r="BG242" s="7">
        <v>0</v>
      </c>
      <c r="BH242" s="7">
        <v>0</v>
      </c>
      <c r="BI242" s="7">
        <v>0</v>
      </c>
      <c r="BJ242" s="7">
        <v>1</v>
      </c>
      <c r="BK242" s="11">
        <v>2</v>
      </c>
      <c r="BL242" s="7" t="s">
        <v>1129</v>
      </c>
      <c r="BM242" s="7">
        <v>1</v>
      </c>
    </row>
    <row r="243" spans="1:65" ht="30" customHeight="1" x14ac:dyDescent="0.3">
      <c r="A243" s="3" t="s">
        <v>15</v>
      </c>
      <c r="B243" s="3">
        <v>14</v>
      </c>
      <c r="C243" s="8">
        <v>44452</v>
      </c>
      <c r="D243" s="9">
        <v>0.63541666666666663</v>
      </c>
      <c r="E243" s="4">
        <v>100</v>
      </c>
      <c r="F243" s="3">
        <v>0</v>
      </c>
      <c r="G243" s="3">
        <v>0</v>
      </c>
      <c r="H243" s="3">
        <v>0</v>
      </c>
      <c r="I243" s="3">
        <v>0.5</v>
      </c>
      <c r="J243" s="9">
        <v>0.34236111111111112</v>
      </c>
      <c r="K243" s="3">
        <v>147.19999999999999</v>
      </c>
      <c r="L243" s="11">
        <f t="shared" ref="L243" si="459">K243-K242</f>
        <v>1.7999999999999829</v>
      </c>
      <c r="M243" s="5">
        <f t="shared" ref="M243" si="460">AB242</f>
        <v>1810</v>
      </c>
      <c r="N243" s="11">
        <v>31</v>
      </c>
      <c r="O243" s="11">
        <v>32.5</v>
      </c>
      <c r="P243" s="11">
        <v>10.75</v>
      </c>
      <c r="Q243" s="11">
        <v>11</v>
      </c>
      <c r="R243" s="11">
        <v>20.375</v>
      </c>
      <c r="S243" s="11">
        <v>20.375</v>
      </c>
      <c r="T243" s="11">
        <v>17</v>
      </c>
      <c r="U243" s="11">
        <v>16</v>
      </c>
      <c r="V243" s="11">
        <v>17</v>
      </c>
      <c r="W243" s="11">
        <v>15</v>
      </c>
      <c r="X243" s="11">
        <v>7</v>
      </c>
      <c r="Y243" s="11">
        <v>7</v>
      </c>
      <c r="Z243" s="3" t="s">
        <v>1281</v>
      </c>
      <c r="AA243" s="10" t="s">
        <v>1283</v>
      </c>
      <c r="AB243" s="5">
        <f>315+230+60+240+300+80+6+0+220</f>
        <v>1451</v>
      </c>
      <c r="AC243" s="6">
        <f>12+1+4+0+12+5+0+0+4.5</f>
        <v>38.5</v>
      </c>
      <c r="AD243" s="6">
        <f>3+1+3+0+2+3.5+0+0+2.5</f>
        <v>15</v>
      </c>
      <c r="AE243" s="6">
        <f>8+8+5+3+4+6+0+0+7</f>
        <v>41</v>
      </c>
      <c r="AF243" s="6">
        <f>47+46+2+57+40+2+1+0+39</f>
        <v>234</v>
      </c>
      <c r="AG243" s="6">
        <f>1.5+2+0+0+2+0+0+0+1</f>
        <v>6.5</v>
      </c>
      <c r="AH243" s="6">
        <f>480+400+143+60+720+190+460+55+280</f>
        <v>2788</v>
      </c>
      <c r="AI243" s="6">
        <f t="shared" si="400"/>
        <v>2.653342522398346E-2</v>
      </c>
      <c r="AJ243" s="6">
        <f t="shared" si="401"/>
        <v>1.0337698139214336E-2</v>
      </c>
      <c r="AK243" s="6">
        <f t="shared" si="402"/>
        <v>2.8256374913852515E-2</v>
      </c>
      <c r="AL243" s="6">
        <f t="shared" si="403"/>
        <v>0.16126809097174363</v>
      </c>
      <c r="AM243" s="6">
        <f t="shared" si="404"/>
        <v>4.4796691936595454E-3</v>
      </c>
      <c r="AN243" s="6">
        <f t="shared" si="405"/>
        <v>1.9214334941419711</v>
      </c>
      <c r="AO243" s="7">
        <v>5</v>
      </c>
      <c r="AP243" s="7">
        <v>1</v>
      </c>
      <c r="AQ243" s="7">
        <v>0</v>
      </c>
      <c r="AR243" s="10" t="s">
        <v>1280</v>
      </c>
      <c r="AS243" s="7" t="s">
        <v>1279</v>
      </c>
      <c r="AT243" s="7">
        <v>0</v>
      </c>
      <c r="AU243" s="7">
        <f>20+10+3+5+10</f>
        <v>48</v>
      </c>
      <c r="AV243" s="7">
        <v>0</v>
      </c>
      <c r="AW243" s="7">
        <v>31</v>
      </c>
      <c r="AX243" s="7">
        <v>1</v>
      </c>
      <c r="AY243" s="5">
        <v>5</v>
      </c>
      <c r="AZ243" s="7">
        <v>0</v>
      </c>
      <c r="BA243" s="7">
        <v>0</v>
      </c>
      <c r="BB243" s="7">
        <v>0</v>
      </c>
      <c r="BC243" s="7">
        <v>1</v>
      </c>
      <c r="BD243" s="7">
        <v>1</v>
      </c>
      <c r="BE243" s="7">
        <v>0</v>
      </c>
      <c r="BF243" s="7">
        <v>0</v>
      </c>
      <c r="BG243" s="7">
        <v>0</v>
      </c>
      <c r="BH243" s="7">
        <v>0</v>
      </c>
      <c r="BI243" s="7">
        <v>0</v>
      </c>
      <c r="BJ243" s="7">
        <v>1</v>
      </c>
      <c r="BK243" s="11">
        <v>1</v>
      </c>
      <c r="BL243" s="7" t="s">
        <v>1129</v>
      </c>
      <c r="BM243" s="7">
        <v>1</v>
      </c>
    </row>
    <row r="244" spans="1:65" ht="30" customHeight="1" x14ac:dyDescent="0.3">
      <c r="A244" s="3" t="s">
        <v>16</v>
      </c>
      <c r="B244" s="3">
        <v>15</v>
      </c>
      <c r="C244" s="8">
        <v>44453</v>
      </c>
      <c r="D244" s="9">
        <v>0.5625</v>
      </c>
      <c r="E244" s="4">
        <v>90</v>
      </c>
      <c r="F244" s="3">
        <v>7</v>
      </c>
      <c r="G244" s="3">
        <v>3</v>
      </c>
      <c r="H244" s="3">
        <v>21</v>
      </c>
      <c r="I244" s="3">
        <v>0.5</v>
      </c>
      <c r="J244" s="9">
        <v>0.3347222222222222</v>
      </c>
      <c r="K244" s="3">
        <v>145.80000000000001</v>
      </c>
      <c r="L244" s="11">
        <f t="shared" ref="L244" si="461">K244-K243</f>
        <v>-1.3999999999999773</v>
      </c>
      <c r="M244" s="5">
        <f t="shared" ref="M244" si="462">AB243</f>
        <v>1451</v>
      </c>
      <c r="N244" s="11">
        <v>30.5</v>
      </c>
      <c r="O244" s="11">
        <v>32.75</v>
      </c>
      <c r="P244" s="11">
        <v>10.875</v>
      </c>
      <c r="Q244" s="11">
        <v>10.875</v>
      </c>
      <c r="R244" s="11">
        <v>19.625</v>
      </c>
      <c r="S244" s="11">
        <v>20.125</v>
      </c>
      <c r="T244" s="11">
        <v>17</v>
      </c>
      <c r="U244" s="11">
        <v>17</v>
      </c>
      <c r="V244" s="11">
        <v>17</v>
      </c>
      <c r="W244" s="11">
        <v>17</v>
      </c>
      <c r="X244" s="11">
        <v>7</v>
      </c>
      <c r="Y244" s="11">
        <v>7</v>
      </c>
      <c r="Z244" s="3" t="s">
        <v>1286</v>
      </c>
      <c r="AA244" s="10" t="s">
        <v>1285</v>
      </c>
      <c r="AB244" s="5">
        <f>520+120+0+10+13+400+240+230+220+230</f>
        <v>1983</v>
      </c>
      <c r="AC244" s="6">
        <f>36+8+0+0+1+24+0+1+5+1</f>
        <v>76</v>
      </c>
      <c r="AD244" s="6">
        <f>10+5+0+0+1+13+0+1+3+1</f>
        <v>34</v>
      </c>
      <c r="AE244" s="6">
        <f>40+9+0+0+0+8+3+8+7+8</f>
        <v>83</v>
      </c>
      <c r="AF244" s="6">
        <f>10+3+0+2+1+45+57+46+39+46</f>
        <v>249</v>
      </c>
      <c r="AG244" s="6">
        <f>4+0+0+0+0+3+0+2+1+2</f>
        <v>12</v>
      </c>
      <c r="AH244" s="6">
        <f>700+285+110+800+1+133+60+400+280+400</f>
        <v>3169</v>
      </c>
      <c r="AI244" s="6">
        <f t="shared" si="400"/>
        <v>3.8325769036812909E-2</v>
      </c>
      <c r="AJ244" s="6">
        <f t="shared" si="401"/>
        <v>1.7145738779626829E-2</v>
      </c>
      <c r="AK244" s="6">
        <f t="shared" si="402"/>
        <v>4.1855774079677256E-2</v>
      </c>
      <c r="AL244" s="6">
        <f t="shared" si="403"/>
        <v>0.12556732223903178</v>
      </c>
      <c r="AM244" s="6">
        <f t="shared" si="404"/>
        <v>6.0514372163388806E-3</v>
      </c>
      <c r="AN244" s="6">
        <f t="shared" si="405"/>
        <v>1.5980837115481594</v>
      </c>
      <c r="AO244" s="7">
        <v>5</v>
      </c>
      <c r="AP244" s="7">
        <v>1</v>
      </c>
      <c r="AQ244" s="7">
        <v>0</v>
      </c>
      <c r="AR244" s="10" t="s">
        <v>1284</v>
      </c>
      <c r="AS244" s="7">
        <v>0</v>
      </c>
      <c r="AT244" s="7">
        <v>0</v>
      </c>
      <c r="AU244" s="7">
        <v>0</v>
      </c>
      <c r="AV244" s="7">
        <v>0</v>
      </c>
      <c r="AW244" s="7">
        <v>31</v>
      </c>
      <c r="AX244" s="7">
        <v>1</v>
      </c>
      <c r="AY244" s="5">
        <v>6.5</v>
      </c>
      <c r="AZ244" s="7">
        <v>0</v>
      </c>
      <c r="BA244" s="7">
        <v>0</v>
      </c>
      <c r="BB244" s="7">
        <v>0</v>
      </c>
      <c r="BC244" s="7">
        <v>1</v>
      </c>
      <c r="BD244" s="7">
        <v>1</v>
      </c>
      <c r="BE244" s="7">
        <v>0</v>
      </c>
      <c r="BF244" s="7">
        <v>0</v>
      </c>
      <c r="BG244" s="7">
        <v>0</v>
      </c>
      <c r="BH244" s="7">
        <v>0</v>
      </c>
      <c r="BI244" s="7">
        <v>0</v>
      </c>
      <c r="BJ244" s="7">
        <v>1</v>
      </c>
      <c r="BK244" s="11">
        <v>1</v>
      </c>
      <c r="BL244" s="7" t="s">
        <v>1129</v>
      </c>
      <c r="BM244" s="7">
        <v>1</v>
      </c>
    </row>
    <row r="245" spans="1:65" ht="30" customHeight="1" x14ac:dyDescent="0.3">
      <c r="A245" s="3" t="s">
        <v>17</v>
      </c>
      <c r="B245" s="3">
        <v>16</v>
      </c>
      <c r="C245" s="8">
        <v>44454</v>
      </c>
      <c r="D245" s="9">
        <v>0.27083333333333331</v>
      </c>
      <c r="E245" s="4">
        <v>61</v>
      </c>
      <c r="F245" s="3">
        <v>0</v>
      </c>
      <c r="G245" s="3">
        <v>0</v>
      </c>
      <c r="H245" s="3">
        <v>0</v>
      </c>
      <c r="I245" s="3">
        <v>0</v>
      </c>
      <c r="J245" s="9">
        <v>0.30694444444444441</v>
      </c>
      <c r="K245" s="3">
        <v>142.80000000000001</v>
      </c>
      <c r="L245" s="11">
        <f t="shared" ref="L245" si="463">K245-K244</f>
        <v>-3</v>
      </c>
      <c r="M245" s="5">
        <f t="shared" ref="M245" si="464">AB244</f>
        <v>1983</v>
      </c>
      <c r="N245" s="11">
        <v>30.5</v>
      </c>
      <c r="O245" s="11">
        <v>32.75</v>
      </c>
      <c r="P245" s="11">
        <v>10.875</v>
      </c>
      <c r="Q245" s="11">
        <v>10.875</v>
      </c>
      <c r="R245" s="11">
        <v>19.75</v>
      </c>
      <c r="S245" s="11">
        <v>20.25</v>
      </c>
      <c r="T245" s="11">
        <v>15</v>
      </c>
      <c r="U245" s="11">
        <v>15</v>
      </c>
      <c r="V245" s="11">
        <v>16</v>
      </c>
      <c r="W245" s="11">
        <v>15</v>
      </c>
      <c r="X245" s="11">
        <v>7</v>
      </c>
      <c r="Y245" s="11">
        <v>7</v>
      </c>
      <c r="Z245" s="3" t="s">
        <v>1287</v>
      </c>
      <c r="AA245" s="10" t="s">
        <v>1288</v>
      </c>
      <c r="AB245" s="5">
        <f>460+120+760+240+720+630+360</f>
        <v>3290</v>
      </c>
      <c r="AC245" s="6">
        <f>2+7.5+34+2+0+31.5+14.4</f>
        <v>91.4</v>
      </c>
      <c r="AD245" s="6">
        <f>1+5.25+18+0.5+0+4.5+2.4</f>
        <v>31.65</v>
      </c>
      <c r="AE245" s="6">
        <f>1+5.25+18+0.5+0+4.5+2.4</f>
        <v>31.65</v>
      </c>
      <c r="AF245" s="6">
        <f>92+3+96+46+171+90+48</f>
        <v>546</v>
      </c>
      <c r="AG245" s="6">
        <f>4+0+6+2+0+9+2.4</f>
        <v>23.4</v>
      </c>
      <c r="AH245" s="6">
        <f>800+285+1760+630+180+67.5+864</f>
        <v>4586.5</v>
      </c>
      <c r="AI245" s="6">
        <f t="shared" si="400"/>
        <v>2.7781155015197571E-2</v>
      </c>
      <c r="AJ245" s="6">
        <f t="shared" si="401"/>
        <v>9.6200607902735564E-3</v>
      </c>
      <c r="AK245" s="6">
        <f t="shared" si="402"/>
        <v>9.6200607902735564E-3</v>
      </c>
      <c r="AL245" s="6">
        <f t="shared" si="403"/>
        <v>0.16595744680851063</v>
      </c>
      <c r="AM245" s="6">
        <f t="shared" si="404"/>
        <v>7.112462006079027E-3</v>
      </c>
      <c r="AN245" s="6">
        <f t="shared" si="405"/>
        <v>1.3940729483282674</v>
      </c>
      <c r="AO245" s="7">
        <v>5</v>
      </c>
      <c r="AP245" s="7">
        <v>1</v>
      </c>
      <c r="AQ245" s="7">
        <v>0</v>
      </c>
      <c r="AR245" s="7">
        <v>0</v>
      </c>
      <c r="AS245" s="7">
        <v>0</v>
      </c>
      <c r="AT245" s="7">
        <v>0</v>
      </c>
      <c r="AU245" s="7">
        <v>0</v>
      </c>
      <c r="AV245" s="7">
        <v>0</v>
      </c>
      <c r="AW245" s="7">
        <v>31</v>
      </c>
      <c r="AX245" s="7">
        <v>1</v>
      </c>
      <c r="AY245" s="5">
        <v>6</v>
      </c>
      <c r="AZ245" s="7">
        <v>0</v>
      </c>
      <c r="BA245" s="7">
        <v>0</v>
      </c>
      <c r="BB245" s="7">
        <v>0</v>
      </c>
      <c r="BC245" s="7">
        <v>1</v>
      </c>
      <c r="BD245" s="7">
        <v>1</v>
      </c>
      <c r="BE245" s="7">
        <v>0</v>
      </c>
      <c r="BF245" s="7">
        <v>0</v>
      </c>
      <c r="BG245" s="7">
        <v>0</v>
      </c>
      <c r="BH245" s="7">
        <v>0</v>
      </c>
      <c r="BI245" s="7">
        <v>0</v>
      </c>
      <c r="BJ245" s="7">
        <v>1</v>
      </c>
      <c r="BK245" s="11">
        <v>1</v>
      </c>
      <c r="BL245" s="7" t="s">
        <v>1129</v>
      </c>
      <c r="BM245" s="7">
        <v>1</v>
      </c>
    </row>
    <row r="246" spans="1:65" ht="30" customHeight="1" x14ac:dyDescent="0.3">
      <c r="A246" s="3" t="s">
        <v>18</v>
      </c>
      <c r="B246" s="3">
        <v>17</v>
      </c>
      <c r="C246" s="8">
        <v>44455</v>
      </c>
      <c r="D246" s="9">
        <v>0.25</v>
      </c>
      <c r="E246" s="4">
        <v>61</v>
      </c>
      <c r="F246" s="3">
        <v>0</v>
      </c>
      <c r="G246" s="3">
        <v>0</v>
      </c>
      <c r="H246" s="3">
        <v>0</v>
      </c>
      <c r="I246" s="3">
        <v>0</v>
      </c>
      <c r="J246" s="9">
        <v>0.40625</v>
      </c>
      <c r="K246" s="3">
        <v>149.80000000000001</v>
      </c>
      <c r="L246" s="11">
        <f t="shared" ref="L246" si="465">K246-K245</f>
        <v>7</v>
      </c>
      <c r="M246" s="5">
        <f t="shared" ref="M246" si="466">AB245</f>
        <v>3290</v>
      </c>
      <c r="N246" s="11">
        <v>30.625</v>
      </c>
      <c r="O246" s="11">
        <v>32.5</v>
      </c>
      <c r="P246" s="11">
        <v>11</v>
      </c>
      <c r="Q246" s="11">
        <v>10.875</v>
      </c>
      <c r="R246" s="11">
        <v>20.125</v>
      </c>
      <c r="S246" s="11">
        <v>20.375</v>
      </c>
      <c r="T246" s="11">
        <v>15</v>
      </c>
      <c r="U246" s="11">
        <v>14</v>
      </c>
      <c r="V246" s="11">
        <v>15</v>
      </c>
      <c r="W246" s="11">
        <v>15</v>
      </c>
      <c r="X246" s="11">
        <v>7</v>
      </c>
      <c r="Y246" s="11">
        <v>7</v>
      </c>
      <c r="Z246" s="3" t="s">
        <v>1290</v>
      </c>
      <c r="AA246" s="10" t="s">
        <v>1289</v>
      </c>
      <c r="AB246" s="5">
        <f>460+120+480+640+220+150+220+80+270</f>
        <v>2640</v>
      </c>
      <c r="AC246" s="6">
        <f>2+7.5+19.2+0+4.5+9+4.5+5+10.8</f>
        <v>62.5</v>
      </c>
      <c r="AD246" s="6">
        <f>1+5.25+3.2+0+2.5+5+2.5+3.5+1.8</f>
        <v>24.75</v>
      </c>
      <c r="AE246" s="6">
        <f>16+9+6.4+8+7+2+7+6+3.6</f>
        <v>65</v>
      </c>
      <c r="AF246" s="6">
        <f>92+3+64+152+39+17+39+2+36</f>
        <v>444</v>
      </c>
      <c r="AG246" s="6">
        <f>4+0+3.2+0+1+1+1+0+1.8</f>
        <v>12</v>
      </c>
      <c r="AH246" s="6">
        <f>800+285+1152+160+280+50+280+190+684</f>
        <v>3881</v>
      </c>
      <c r="AI246" s="6">
        <f t="shared" si="400"/>
        <v>2.3674242424242424E-2</v>
      </c>
      <c r="AJ246" s="6">
        <f t="shared" si="401"/>
        <v>9.3749999999999997E-3</v>
      </c>
      <c r="AK246" s="6">
        <f t="shared" si="402"/>
        <v>2.462121212121212E-2</v>
      </c>
      <c r="AL246" s="6">
        <f t="shared" si="403"/>
        <v>0.16818181818181818</v>
      </c>
      <c r="AM246" s="6">
        <f t="shared" si="404"/>
        <v>4.5454545454545452E-3</v>
      </c>
      <c r="AN246" s="6">
        <f t="shared" si="405"/>
        <v>1.4700757575757575</v>
      </c>
      <c r="AO246" s="7">
        <v>5</v>
      </c>
      <c r="AP246" s="7">
        <v>2</v>
      </c>
      <c r="AQ246" s="7">
        <v>0</v>
      </c>
      <c r="AR246" s="7">
        <v>0</v>
      </c>
      <c r="AS246" s="7">
        <v>0</v>
      </c>
      <c r="AT246" s="7">
        <v>0</v>
      </c>
      <c r="AU246" s="7">
        <v>0</v>
      </c>
      <c r="AV246" s="7">
        <v>0</v>
      </c>
      <c r="AW246" s="7">
        <v>31</v>
      </c>
      <c r="AX246" s="7">
        <v>1</v>
      </c>
      <c r="AY246" s="5">
        <v>5.5</v>
      </c>
      <c r="AZ246" s="7">
        <v>0</v>
      </c>
      <c r="BA246" s="7">
        <v>0</v>
      </c>
      <c r="BB246" s="7">
        <v>0</v>
      </c>
      <c r="BC246" s="7">
        <v>1</v>
      </c>
      <c r="BD246" s="7">
        <v>1</v>
      </c>
      <c r="BE246" s="7">
        <v>0</v>
      </c>
      <c r="BF246" s="7">
        <v>0</v>
      </c>
      <c r="BG246" s="7">
        <v>0</v>
      </c>
      <c r="BH246" s="7">
        <v>0</v>
      </c>
      <c r="BI246" s="7">
        <v>0</v>
      </c>
      <c r="BJ246" s="7">
        <v>1</v>
      </c>
      <c r="BK246" s="11">
        <v>3.5</v>
      </c>
      <c r="BL246" s="7" t="s">
        <v>1129</v>
      </c>
      <c r="BM246" s="7">
        <v>1</v>
      </c>
    </row>
    <row r="247" spans="1:65" ht="30" customHeight="1" x14ac:dyDescent="0.3">
      <c r="A247" s="3" t="s">
        <v>137</v>
      </c>
      <c r="B247" s="3">
        <v>18</v>
      </c>
      <c r="C247" s="8">
        <v>44456</v>
      </c>
      <c r="D247" s="9">
        <v>0.40625</v>
      </c>
      <c r="E247" s="4">
        <v>68</v>
      </c>
      <c r="F247" s="3">
        <v>0</v>
      </c>
      <c r="G247" s="3">
        <v>0</v>
      </c>
      <c r="H247" s="3">
        <v>0</v>
      </c>
      <c r="I247" s="3">
        <v>0.75</v>
      </c>
      <c r="J247" s="9">
        <v>0.3</v>
      </c>
      <c r="K247" s="3">
        <v>145.6</v>
      </c>
      <c r="L247" s="11">
        <f t="shared" ref="L247" si="467">K247-K246</f>
        <v>-4.2000000000000171</v>
      </c>
      <c r="M247" s="5">
        <f t="shared" ref="M247" si="468">AB246</f>
        <v>2640</v>
      </c>
      <c r="N247" s="11">
        <v>31.25</v>
      </c>
      <c r="O247" s="11">
        <v>33</v>
      </c>
      <c r="P247" s="11">
        <v>11</v>
      </c>
      <c r="Q247" s="11">
        <v>11.125</v>
      </c>
      <c r="R247" s="11">
        <v>19.5</v>
      </c>
      <c r="S247" s="11">
        <v>20</v>
      </c>
      <c r="T247" s="11">
        <v>14</v>
      </c>
      <c r="U247" s="11">
        <v>14</v>
      </c>
      <c r="V247" s="11">
        <v>17</v>
      </c>
      <c r="W247" s="11">
        <v>16</v>
      </c>
      <c r="X247" s="11">
        <v>7</v>
      </c>
      <c r="Y247" s="11">
        <v>7</v>
      </c>
      <c r="Z247" s="3" t="s">
        <v>1292</v>
      </c>
      <c r="AA247" s="10" t="s">
        <v>1298</v>
      </c>
      <c r="AB247" s="5">
        <f>440+180+7+0+240+19+400+110+240+380+200</f>
        <v>2216</v>
      </c>
      <c r="AC247" s="6">
        <f>9+11+0+0+17+0+0+0+17+17+9</f>
        <v>80</v>
      </c>
      <c r="AD247" s="6">
        <f>5+8+0+0+3+0+0+0+3+9+4</f>
        <v>32</v>
      </c>
      <c r="AE247" s="6">
        <f>14+14+0+0+4.5+2+5+12+5+9+9</f>
        <v>74.5</v>
      </c>
      <c r="AF247" s="6">
        <f>78+5+1+0+20+3+95+15+20+48+20</f>
        <v>305</v>
      </c>
      <c r="AG247" s="6">
        <f>2+0+0+0+3+1+0+0+3+3+2</f>
        <v>14</v>
      </c>
      <c r="AH247" s="6">
        <f>560+428+533+55+390+8+100+60+390+880+80</f>
        <v>3484</v>
      </c>
      <c r="AI247" s="6">
        <f t="shared" si="400"/>
        <v>3.6101083032490974E-2</v>
      </c>
      <c r="AJ247" s="6">
        <f t="shared" si="401"/>
        <v>1.444043321299639E-2</v>
      </c>
      <c r="AK247" s="6">
        <f t="shared" si="402"/>
        <v>3.3619133574007219E-2</v>
      </c>
      <c r="AL247" s="6">
        <f t="shared" si="403"/>
        <v>0.13763537906137185</v>
      </c>
      <c r="AM247" s="6">
        <f t="shared" si="404"/>
        <v>6.3176895306859202E-3</v>
      </c>
      <c r="AN247" s="6">
        <f t="shared" si="405"/>
        <v>1.5722021660649819</v>
      </c>
      <c r="AO247" s="7">
        <v>5</v>
      </c>
      <c r="AP247" s="7">
        <v>1</v>
      </c>
      <c r="AQ247" s="7">
        <v>0</v>
      </c>
      <c r="AR247" s="20" t="s">
        <v>1295</v>
      </c>
      <c r="AS247" s="7" t="s">
        <v>1294</v>
      </c>
      <c r="AT247" s="7">
        <v>0</v>
      </c>
      <c r="AU247" s="7">
        <f>10-10</f>
        <v>0</v>
      </c>
      <c r="AV247" s="7">
        <v>0</v>
      </c>
      <c r="AW247" s="7">
        <v>31</v>
      </c>
      <c r="AX247" s="7">
        <v>1</v>
      </c>
      <c r="AY247" s="5">
        <v>8.25</v>
      </c>
      <c r="AZ247" s="7">
        <v>0</v>
      </c>
      <c r="BA247" s="7">
        <v>1</v>
      </c>
      <c r="BB247" s="7">
        <v>0</v>
      </c>
      <c r="BC247" s="7">
        <v>1</v>
      </c>
      <c r="BD247" s="7">
        <v>1</v>
      </c>
      <c r="BE247" s="7">
        <v>0</v>
      </c>
      <c r="BF247" s="7">
        <v>0</v>
      </c>
      <c r="BG247" s="7">
        <v>0</v>
      </c>
      <c r="BH247" s="7">
        <v>0</v>
      </c>
      <c r="BI247" s="7">
        <v>0</v>
      </c>
      <c r="BJ247" s="7">
        <v>1</v>
      </c>
      <c r="BK247" s="11">
        <v>0</v>
      </c>
      <c r="BL247" s="3">
        <v>0</v>
      </c>
      <c r="BM247" s="7">
        <v>1</v>
      </c>
    </row>
    <row r="248" spans="1:65" ht="30" customHeight="1" x14ac:dyDescent="0.3">
      <c r="A248" s="3" t="s">
        <v>19</v>
      </c>
      <c r="B248" s="3">
        <v>19</v>
      </c>
      <c r="C248" s="8">
        <v>44457</v>
      </c>
      <c r="D248" s="9">
        <v>0.2638888888888889</v>
      </c>
      <c r="E248" s="4">
        <v>59</v>
      </c>
      <c r="F248" s="3">
        <v>0</v>
      </c>
      <c r="G248" s="3">
        <v>0</v>
      </c>
      <c r="H248" s="3">
        <v>0</v>
      </c>
      <c r="I248" s="3">
        <v>0</v>
      </c>
      <c r="J248" s="9">
        <v>0.2638888888888889</v>
      </c>
      <c r="K248" s="3">
        <v>144.6</v>
      </c>
      <c r="L248" s="11">
        <f t="shared" ref="L248" si="469">K248-K247</f>
        <v>-1</v>
      </c>
      <c r="M248" s="5">
        <f t="shared" ref="M248" si="470">AB247</f>
        <v>2216</v>
      </c>
      <c r="N248" s="11">
        <v>30.5</v>
      </c>
      <c r="O248" s="11">
        <v>32.25</v>
      </c>
      <c r="P248" s="11">
        <v>10.875</v>
      </c>
      <c r="Q248" s="11">
        <v>10.875</v>
      </c>
      <c r="R248" s="11">
        <v>20.125</v>
      </c>
      <c r="S248" s="11">
        <v>20.125</v>
      </c>
      <c r="T248" s="11">
        <v>15</v>
      </c>
      <c r="U248" s="11">
        <v>15</v>
      </c>
      <c r="V248" s="11">
        <v>16</v>
      </c>
      <c r="W248" s="11">
        <v>15</v>
      </c>
      <c r="X248" s="11">
        <v>7</v>
      </c>
      <c r="Y248" s="11">
        <v>7</v>
      </c>
      <c r="Z248" s="3" t="s">
        <v>1301</v>
      </c>
      <c r="AA248" s="10" t="s">
        <v>1302</v>
      </c>
      <c r="AB248" s="5">
        <f>110+520+320+200+320+240+220+8+0+80</f>
        <v>2018</v>
      </c>
      <c r="AC248" s="6">
        <f>0+5+22+9+0+10+5+0+0+5</f>
        <v>56</v>
      </c>
      <c r="AD248" s="6">
        <f>0+0+4+4+0+2+3+0+0+3.5</f>
        <v>16.5</v>
      </c>
      <c r="AE248" s="6">
        <f>12+22+6+9+4+3+7+0+0+6</f>
        <v>69</v>
      </c>
      <c r="AF248" s="6">
        <f>15+96+26+20+76+32+39+2+0+2</f>
        <v>308</v>
      </c>
      <c r="AG248" s="6">
        <f>0+6+4+2+0+1.6+1+0+0+0</f>
        <v>14.6</v>
      </c>
      <c r="AH248" s="6">
        <f>60+760+520+80+80+576+280+640+55+190</f>
        <v>3241</v>
      </c>
      <c r="AI248" s="6">
        <f t="shared" si="400"/>
        <v>2.7750247770069375E-2</v>
      </c>
      <c r="AJ248" s="6">
        <f t="shared" si="401"/>
        <v>8.1764122893954409E-3</v>
      </c>
      <c r="AK248" s="6">
        <f t="shared" si="402"/>
        <v>3.4192269573835483E-2</v>
      </c>
      <c r="AL248" s="6">
        <f t="shared" si="403"/>
        <v>0.15262636273538158</v>
      </c>
      <c r="AM248" s="6">
        <f t="shared" si="404"/>
        <v>7.2348860257680867E-3</v>
      </c>
      <c r="AN248" s="6">
        <f t="shared" si="405"/>
        <v>1.606045589692765</v>
      </c>
      <c r="AO248" s="7">
        <v>5</v>
      </c>
      <c r="AP248" s="7">
        <v>1</v>
      </c>
      <c r="AQ248" s="7">
        <v>0</v>
      </c>
      <c r="AR248" s="10" t="s">
        <v>1300</v>
      </c>
      <c r="AS248" s="7">
        <v>0</v>
      </c>
      <c r="AT248" s="7">
        <v>0</v>
      </c>
      <c r="AU248" s="7">
        <v>0</v>
      </c>
      <c r="AV248" s="7">
        <v>0</v>
      </c>
      <c r="AW248" s="7">
        <v>31</v>
      </c>
      <c r="AX248" s="7">
        <v>1</v>
      </c>
      <c r="AY248" s="5">
        <v>6</v>
      </c>
      <c r="AZ248" s="7">
        <v>0</v>
      </c>
      <c r="BA248" s="7">
        <v>1</v>
      </c>
      <c r="BB248" s="7">
        <v>0</v>
      </c>
      <c r="BC248" s="7">
        <v>1</v>
      </c>
      <c r="BD248" s="7">
        <v>1</v>
      </c>
      <c r="BE248" s="7">
        <v>0</v>
      </c>
      <c r="BF248" s="7">
        <v>0</v>
      </c>
      <c r="BG248" s="7">
        <v>0</v>
      </c>
      <c r="BH248" s="7">
        <v>0</v>
      </c>
      <c r="BI248" s="7">
        <v>0</v>
      </c>
      <c r="BJ248" s="7">
        <v>1</v>
      </c>
      <c r="BK248" s="11">
        <v>0</v>
      </c>
      <c r="BL248" s="7">
        <v>0</v>
      </c>
      <c r="BM248" s="7">
        <v>1</v>
      </c>
    </row>
    <row r="249" spans="1:65" x14ac:dyDescent="0.3">
      <c r="A249" s="3" t="s">
        <v>23</v>
      </c>
      <c r="B249" s="3">
        <v>20</v>
      </c>
      <c r="C249" s="8">
        <v>44458</v>
      </c>
      <c r="D249" s="9">
        <v>0.75</v>
      </c>
      <c r="E249" s="4">
        <v>79</v>
      </c>
      <c r="F249" s="3">
        <v>5</v>
      </c>
      <c r="G249" s="3">
        <v>3</v>
      </c>
      <c r="H249" s="3">
        <v>15</v>
      </c>
      <c r="I249" s="3">
        <v>0.4</v>
      </c>
      <c r="J249" s="9">
        <v>0.27916666666666667</v>
      </c>
      <c r="K249" s="3">
        <v>144.19999999999999</v>
      </c>
      <c r="L249" s="11">
        <f t="shared" ref="L249" si="471">K249-K248</f>
        <v>-0.40000000000000568</v>
      </c>
      <c r="M249" s="5">
        <f t="shared" ref="M249" si="472">AB248</f>
        <v>2018</v>
      </c>
      <c r="N249" s="11">
        <v>30.875</v>
      </c>
      <c r="O249" s="11">
        <v>32.625</v>
      </c>
      <c r="P249" s="11">
        <v>10.75</v>
      </c>
      <c r="Q249" s="11">
        <v>10.875</v>
      </c>
      <c r="R249" s="11">
        <v>20.125</v>
      </c>
      <c r="S249" s="11">
        <v>20.375</v>
      </c>
      <c r="T249" s="11">
        <v>15</v>
      </c>
      <c r="U249" s="11">
        <v>15</v>
      </c>
      <c r="V249" s="11">
        <v>17</v>
      </c>
      <c r="W249" s="11">
        <v>15</v>
      </c>
      <c r="X249" s="11">
        <v>7</v>
      </c>
      <c r="Y249" s="11">
        <v>7</v>
      </c>
      <c r="Z249" s="3" t="s">
        <v>1303</v>
      </c>
      <c r="AI249" s="6" t="e">
        <f t="shared" si="400"/>
        <v>#DIV/0!</v>
      </c>
      <c r="AJ249" s="6" t="e">
        <f t="shared" si="401"/>
        <v>#DIV/0!</v>
      </c>
      <c r="AK249" s="6" t="e">
        <f t="shared" si="402"/>
        <v>#DIV/0!</v>
      </c>
      <c r="AL249" s="6" t="e">
        <f t="shared" si="403"/>
        <v>#DIV/0!</v>
      </c>
      <c r="AM249" s="6" t="e">
        <f t="shared" si="404"/>
        <v>#DIV/0!</v>
      </c>
      <c r="AN249" s="6" t="e">
        <f t="shared" si="405"/>
        <v>#DIV/0!</v>
      </c>
      <c r="AO249" s="7">
        <v>5</v>
      </c>
      <c r="AP249" s="7">
        <v>2</v>
      </c>
      <c r="AQ249" s="7">
        <v>0</v>
      </c>
      <c r="AR249" s="3">
        <v>0</v>
      </c>
      <c r="AS249" s="7">
        <v>0</v>
      </c>
      <c r="AT249" s="7">
        <v>0</v>
      </c>
      <c r="AU249" s="7">
        <v>0</v>
      </c>
      <c r="AV249" s="7">
        <v>0</v>
      </c>
      <c r="AW249" s="7">
        <v>31</v>
      </c>
      <c r="AX249" s="7">
        <v>1</v>
      </c>
      <c r="AY249" s="5">
        <v>7.75</v>
      </c>
      <c r="AZ249" s="7">
        <v>0</v>
      </c>
      <c r="BA249" s="7">
        <v>1</v>
      </c>
      <c r="BB249" s="7">
        <v>0</v>
      </c>
      <c r="BC249" s="7">
        <v>1</v>
      </c>
      <c r="BD249" s="7">
        <v>1</v>
      </c>
      <c r="BE249" s="7">
        <v>0</v>
      </c>
      <c r="BF249" s="7">
        <v>0</v>
      </c>
      <c r="BG249" s="7">
        <v>0</v>
      </c>
      <c r="BH249" s="7">
        <v>0</v>
      </c>
      <c r="BI249" s="7">
        <v>0</v>
      </c>
      <c r="BJ249" s="7">
        <v>0</v>
      </c>
      <c r="BK249" s="11">
        <v>0</v>
      </c>
      <c r="BL249" s="7">
        <v>0</v>
      </c>
      <c r="BM249" s="7">
        <v>1</v>
      </c>
    </row>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2021-09-19T13:52:36Z</dcterms:modified>
</cp:coreProperties>
</file>