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4C017DEC-9C6D-4AEB-933A-F2FD87909DC0}"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36" i="1" l="1"/>
  <c r="AJ36" i="1"/>
  <c r="AK36" i="1"/>
  <c r="AL36" i="1"/>
  <c r="AM36" i="1"/>
  <c r="AN36" i="1"/>
  <c r="AH36" i="1"/>
  <c r="AG36" i="1"/>
  <c r="AF36" i="1"/>
  <c r="AE36" i="1"/>
  <c r="AD36" i="1"/>
  <c r="AC36" i="1"/>
  <c r="AB36" i="1"/>
  <c r="AH35" i="1"/>
  <c r="AG35" i="1"/>
  <c r="AF35" i="1"/>
  <c r="AE35" i="1"/>
  <c r="AD35" i="1"/>
  <c r="AC35" i="1"/>
  <c r="AB35" i="1"/>
  <c r="AJ35" i="1" s="1"/>
  <c r="H104" i="4"/>
  <c r="C104" i="4"/>
  <c r="D104" i="4"/>
  <c r="E104" i="4"/>
  <c r="F104" i="4"/>
  <c r="G104" i="4"/>
  <c r="B104" i="4"/>
  <c r="H102" i="4"/>
  <c r="G102" i="4"/>
  <c r="F102" i="4"/>
  <c r="E102" i="4"/>
  <c r="D102" i="4"/>
  <c r="C102" i="4"/>
  <c r="B102" i="4"/>
  <c r="H103" i="4"/>
  <c r="G103" i="4"/>
  <c r="F103" i="4"/>
  <c r="E103" i="4"/>
  <c r="D103" i="4"/>
  <c r="C103" i="4"/>
  <c r="B103" i="4"/>
  <c r="AI35" i="1"/>
  <c r="AK35" i="1"/>
  <c r="AM35" i="1"/>
  <c r="L35" i="1"/>
  <c r="M35" i="1"/>
  <c r="AH34" i="1"/>
  <c r="AG34" i="1"/>
  <c r="AF34" i="1"/>
  <c r="AE34" i="1"/>
  <c r="AD34" i="1"/>
  <c r="AC34" i="1"/>
  <c r="AB34" i="1"/>
  <c r="AI34" i="1" s="1"/>
  <c r="H101" i="4"/>
  <c r="G101" i="4"/>
  <c r="F101" i="4"/>
  <c r="E101" i="4"/>
  <c r="C101" i="4"/>
  <c r="B101" i="4"/>
  <c r="F99" i="4"/>
  <c r="B99" i="4"/>
  <c r="F98" i="4"/>
  <c r="B98" i="4"/>
  <c r="AJ34" i="1"/>
  <c r="AN34" i="1"/>
  <c r="AH33" i="1"/>
  <c r="AG33" i="1"/>
  <c r="AF33" i="1"/>
  <c r="AE33" i="1"/>
  <c r="AD33" i="1"/>
  <c r="AC33" i="1"/>
  <c r="AB33" i="1"/>
  <c r="L34" i="1"/>
  <c r="M34" i="1"/>
  <c r="C97" i="4"/>
  <c r="D97" i="4"/>
  <c r="E97" i="4"/>
  <c r="F97" i="4"/>
  <c r="G97" i="4"/>
  <c r="H97" i="4"/>
  <c r="B97" i="4"/>
  <c r="AN35" i="1" l="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7" i="4"/>
  <c r="D87" i="4"/>
  <c r="E87" i="4"/>
  <c r="F87" i="4"/>
  <c r="G87" i="4"/>
  <c r="H87" i="4"/>
  <c r="B87"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79" i="4"/>
  <c r="D79" i="4"/>
  <c r="E79" i="4"/>
  <c r="F79" i="4"/>
  <c r="G79" i="4"/>
  <c r="H79" i="4"/>
  <c r="B79" i="4"/>
  <c r="C78" i="4"/>
  <c r="D78" i="4"/>
  <c r="E78" i="4"/>
  <c r="F78" i="4"/>
  <c r="G78" i="4"/>
  <c r="H78" i="4"/>
  <c r="B78"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4" i="4"/>
  <c r="G14" i="4"/>
  <c r="F14" i="4"/>
  <c r="E14" i="4"/>
  <c r="D14" i="4"/>
  <c r="C14" i="4"/>
  <c r="B14"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1" i="4"/>
  <c r="F71" i="4"/>
  <c r="B71"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1" i="4"/>
  <c r="F61" i="4"/>
  <c r="B61" i="4"/>
  <c r="AH5" i="1"/>
  <c r="AG5" i="1"/>
  <c r="AF5" i="1"/>
  <c r="AE5" i="1"/>
  <c r="AD5" i="1"/>
  <c r="AC5" i="1"/>
  <c r="AB5" i="1"/>
  <c r="M6" i="1" s="1"/>
  <c r="AH4" i="1"/>
  <c r="AG4" i="1"/>
  <c r="AF4" i="1"/>
  <c r="AB4" i="1"/>
  <c r="M5" i="1" s="1"/>
  <c r="AE4" i="1"/>
  <c r="AD4" i="1"/>
  <c r="AJ4" i="1" s="1"/>
  <c r="AC4" i="1"/>
  <c r="G57" i="4"/>
  <c r="F57" i="4"/>
  <c r="E57" i="4"/>
  <c r="D57" i="4"/>
  <c r="C57" i="4"/>
  <c r="B57" i="4"/>
  <c r="L4" i="1"/>
  <c r="AV2" i="1"/>
  <c r="L3" i="1"/>
  <c r="M2" i="1"/>
  <c r="F40" i="4"/>
  <c r="E40" i="4"/>
  <c r="F32" i="4"/>
  <c r="AF3" i="1"/>
  <c r="AF2" i="1"/>
  <c r="AH3" i="1"/>
  <c r="AG3" i="1"/>
  <c r="AE3" i="1"/>
  <c r="AD3" i="1"/>
  <c r="AC3" i="1"/>
  <c r="AB3" i="1"/>
  <c r="M4" i="1" s="1"/>
  <c r="AH2" i="1"/>
  <c r="AG2" i="1"/>
  <c r="AE2" i="1"/>
  <c r="AD2" i="1"/>
  <c r="AC2" i="1"/>
  <c r="AB2" i="1"/>
  <c r="M3" i="1" s="1"/>
  <c r="C40" i="4"/>
  <c r="D40" i="4"/>
  <c r="G40" i="4"/>
  <c r="H40" i="4"/>
  <c r="B40" i="4"/>
  <c r="H32" i="4"/>
  <c r="D32" i="4"/>
  <c r="E32" i="4"/>
  <c r="G32" i="4"/>
  <c r="C32" i="4"/>
  <c r="B32"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<sst xmlns="http://schemas.openxmlformats.org/spreadsheetml/2006/main" count="3905" uniqueCount="303">
  <si>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</si>
  <si>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</si>
  <si>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</si>
  <si>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</si>
  <si>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</si>
  <si>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</si>
  <si>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</si>
  <si>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</si>
  <si>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</si>
  <si>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</si>
  <si>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</si>
  <si>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</si>
  <si>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</si>
  <si>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</si>
  <si>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</si>
  <si>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</si>
  <si>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</si>
  <si>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</si>
  <si>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</si>
  <si>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</si>
  <si>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</si>
  <si>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</si>
  <si>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</si>
  <si>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</si>
  <si>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</si>
  <si>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</si>
  <si>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</si>
  <si>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</si>
  <si>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</si>
  <si>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</si>
  <si>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</si>
  <si>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</si>
  <si>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</si>
  <si>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</si>
  <si>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</si>
  <si>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</si>
  <si>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</si>
  <si>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</si>
  <si>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</si>
  <si>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</si>
  <si>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</si>
  <si>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</si>
  <si>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</si>
  <si>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</si>
  <si>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</si>
  <si>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</si>
  <si>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</si>
  <si>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</si>
  <si>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</si>
  <si>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</si>
  <si>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</si>
  <si>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</si>
  <si>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</si>
  <si>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</si>
  <si>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</si>
  <si>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</si>
  <si>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</si>
  <si>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</si>
  <si>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</si>
  <si>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</si>
  <si>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</si>
  <si>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</si>
  <si>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</si>
  <si>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</si>
  <si>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</si>
  <si>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</si>
  <si>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</si>
  <si>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</si>
  <si>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</si>
  <si>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</si>
  <si>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</si>
  <si>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</si>
  <si>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</si>
  <si>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</si>
  <si>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</si>
  <si>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</si>
  <si>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</si>
  <si>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</si>
  <si>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</si>
  <si>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</si>
  <si>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</si>
  <si>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</si>
  <si>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</si>
  <si>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</si>
  <si>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</si>
  <si>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</si>
  <si>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</si>
  <si>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</si>
  <si>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</si>
  <si>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</si>
  <si>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</si>
  <si>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</si>
  <si>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</si>
  <si>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</si>
  <si>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</si>
  <si>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</si>
  <si>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</si>
  <si>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</si>
  <si>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</si>
  <si>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</si>
  <si>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</si>
  <si>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</si>
  <si>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</si>
  <si>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</si>
  <si>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</si>
  <si>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</si>
  <si>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</si>
  <si>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</si>
  <si>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</si>
  <si>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</si>
  <si>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</si>
  <si>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</si>
  <si>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</si>
  <si>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</si>
  <si>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</si>
  <si>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</si>
  <si>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</si>
  <si>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</si>
  <si>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</si>
  <si>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</si>
  <si>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</si>
  <si>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</si>
  <si>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</si>
  <si>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</si>
  <si>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</si>
  <si>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</si>
  <si>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</si>
  <si>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</si>
  <si>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</si>
  <si>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</si>
  <si>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</si>
  <si>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</si>
  <si>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</si>
  <si>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</si>
  <si>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</si>
  <si>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</si>
  <si>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</si>
  <si>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</si>
  <si>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</si>
  <si>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</si>
  <si>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</si>
  <si>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</si>
  <si>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</si>
  <si>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</si>
  <si>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</si>
  <si>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</si>
  <si>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</si>
  <si>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</si>
  <si>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</si>
  <si>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</si>
  <si>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</si>
  <si>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</si>
  <si>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</si>
  <si>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</si>
  <si>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</si>
  <si>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</si>
  <si>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</si>
  <si>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</si>
  <si>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</si>
  <si>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</si>
  <si>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</si>
  <si>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</si>
  <si>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</si>
  <si>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</si>
  <si>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</si>
  <si>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</si>
  <si>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</si>
  <si>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</si>
  <si>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</si>
  <si>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</si>
  <si>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</si>
  <si>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</si>
  <si>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</si>
  <si>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</si>
  <si>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</si>
  <si>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</si>
  <si>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</si>
  <si>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</si>
  <si>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</si>
  <si>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</si>
  <si>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</si>
  <si>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</si>
  <si>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</si>
  <si>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</si>
  <si>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</si>
  <si>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</si>
  <si>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</si>
  <si>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</si>
  <si>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</si>
  <si>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</si>
  <si>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</si>
  <si>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</si>
  <si>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</si>
  <si>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</si>
  <si>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</si>
  <si>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</si>
  <si>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</si>
  <si>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</si>
  <si>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</si>
  <si>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</si>
  <si>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</si>
  <si>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</si>
  <si>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</si>
  <si>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</si>
  <si>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</si>
  <si>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</si>
  <si>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</si>
  <si>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</si>
  <si>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</si>
  <si>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</si>
  <si>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Were you menstruating or shedding the uterine lining?</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</si>
  <si>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</si>
  <si>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</si>
  <si>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</si>
  <si>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</si>
  <si>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</si>
  <si>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</si>
  <si>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</si>
  <si>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</si>
  <si>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</si>
  <si>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</si>
  <si>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</si>
  <si>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</si>
  <si>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</si>
  <si>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</si>
  <si>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</si>
  <si>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</si>
  <si>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</si>
  <si>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</si>
  <si>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</si>
  <si>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</si>
  <si>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</si>
  <si>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</si>
  <si>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</si>
  <si>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</si>
  <si>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</si>
  <si>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</si>
  <si>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</si>
  <si>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</si>
  <si>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</si>
  <si>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</si>
  <si>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</si>
  <si>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</si>
  <si>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</si>
  <si>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</si>
  <si>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</si>
  <si>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 A 0 is no mensa or menstruation that day and a 1 is still shedding the lining or mensa experienced.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</si>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</sst>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zoomScale="85" zoomScaleNormal="85" workbookViewId="0">
      <pane ySplit="1" topLeftCell="A25" activePane="bottomLeft" state="frozen"/>
      <selection activeCell="O1" sqref="O1"/>
      <selection pane="bottomLeft" activeCell="C36" sqref="C36"/>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3" customWidth="1"/>
    <col min="52" max="16384" width="9.140625" style="3"/>
  </cols>
  <sheetData>
    <row r="1" spans="1:56" x14ac:dyDescent="0.25">
      <c r="A1" s="3" t="s">
        <v>0</v>
      </c>
      <c r="B1" s="3" t="s">
        <v>125</v>
      </c>
      <c r="C1" s="3" t="s">
        <v>1</v>
      </c>
      <c r="D1" s="3" t="s">
        <v>2</v>
      </c>
      <c r="E1" s="4" t="s">
        <v>25</v>
      </c>
      <c r="F1" s="3" t="s">
        <v>126</v>
      </c>
      <c r="G1" s="3" t="s">
        <v>127</v>
      </c>
      <c r="H1" s="3" t="s">
        <v>88</v>
      </c>
      <c r="I1" s="3" t="s">
        <v>253</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275</v>
      </c>
      <c r="AO1" s="7" t="s">
        <v>47</v>
      </c>
      <c r="AP1" s="7" t="s">
        <v>119</v>
      </c>
      <c r="AQ1" s="7" t="s">
        <v>86</v>
      </c>
      <c r="AR1" s="3" t="s">
        <v>21</v>
      </c>
      <c r="AS1" s="7" t="s">
        <v>92</v>
      </c>
      <c r="AT1" s="7" t="s">
        <v>93</v>
      </c>
      <c r="AU1" s="7" t="s">
        <v>99</v>
      </c>
      <c r="AV1" s="7" t="s">
        <v>100</v>
      </c>
      <c r="AW1" s="3" t="s">
        <v>24</v>
      </c>
      <c r="AX1" s="3" t="s">
        <v>83</v>
      </c>
      <c r="AY1" s="3" t="s">
        <v>106</v>
      </c>
      <c r="AZ1" s="3" t="s">
        <v>101</v>
      </c>
      <c r="BA1" s="3" t="s">
        <v>102</v>
      </c>
      <c r="BB1" s="3" t="s">
        <v>103</v>
      </c>
      <c r="BC1" s="3" t="s">
        <v>104</v>
      </c>
      <c r="BD1" s="3" t="s">
        <v>105</v>
      </c>
    </row>
    <row r="2" spans="1:56" ht="24.95" customHeight="1" x14ac:dyDescent="0.25">
      <c r="A2" s="3" t="s">
        <v>19</v>
      </c>
      <c r="B2" s="3">
        <v>1</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3">
        <v>7</v>
      </c>
      <c r="AZ2" s="3">
        <v>1</v>
      </c>
      <c r="BA2" s="3">
        <v>1</v>
      </c>
      <c r="BB2" s="3">
        <v>1</v>
      </c>
      <c r="BC2" s="3">
        <v>1</v>
      </c>
      <c r="BD2" s="3">
        <v>1</v>
      </c>
    </row>
    <row r="3" spans="1:56" ht="24.95" customHeight="1" x14ac:dyDescent="0.25">
      <c r="A3" s="3" t="s">
        <v>23</v>
      </c>
      <c r="B3" s="3">
        <v>2</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36" si="1">$AC3/$AB3</f>
        <v>1.8795539033457251E-2</v>
      </c>
      <c r="AJ3" s="6">
        <f t="shared" ref="AJ3:AJ36" si="2">$AD3/$AB3</f>
        <v>1.3085501858736059E-2</v>
      </c>
      <c r="AK3" s="6">
        <f t="shared" ref="AK3:AK36" si="3">$AE3/$AB3</f>
        <v>3.0810408921933083E-2</v>
      </c>
      <c r="AL3" s="6">
        <f t="shared" ref="AL3:AL36" si="4">$AF3/$AB3</f>
        <v>0.16981412639405205</v>
      </c>
      <c r="AM3" s="6">
        <f t="shared" ref="AM3:AM36" si="5">$AG3/$AB3</f>
        <v>1.6773234200743493E-2</v>
      </c>
      <c r="AN3" s="6">
        <f t="shared" ref="AN3:AN36" si="6">$AH3/$AB3</f>
        <v>1.3460223048327138</v>
      </c>
      <c r="AO3" s="7">
        <v>3</v>
      </c>
      <c r="AP3" s="7">
        <v>1</v>
      </c>
      <c r="AQ3" s="7">
        <v>1</v>
      </c>
      <c r="AR3" s="10">
        <v>0</v>
      </c>
      <c r="AS3" s="10">
        <v>0</v>
      </c>
      <c r="AT3" s="10">
        <v>0</v>
      </c>
      <c r="AU3" s="7">
        <v>0</v>
      </c>
      <c r="AV3" s="10">
        <v>0</v>
      </c>
      <c r="AW3" s="3">
        <v>31</v>
      </c>
      <c r="AX3" s="3">
        <v>1</v>
      </c>
      <c r="AY3" s="3">
        <v>7</v>
      </c>
      <c r="AZ3" s="3">
        <v>1</v>
      </c>
      <c r="BA3" s="3">
        <v>1</v>
      </c>
      <c r="BB3" s="3">
        <v>1</v>
      </c>
      <c r="BC3" s="3">
        <v>1</v>
      </c>
      <c r="BD3" s="3">
        <v>1</v>
      </c>
    </row>
    <row r="4" spans="1:56" ht="24.95" customHeight="1" x14ac:dyDescent="0.25">
      <c r="A4" s="3" t="s">
        <v>15</v>
      </c>
      <c r="B4" s="3">
        <v>3</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3">
        <v>7</v>
      </c>
      <c r="AZ4" s="3">
        <v>0</v>
      </c>
      <c r="BA4" s="3">
        <v>1</v>
      </c>
      <c r="BB4" s="3">
        <v>0</v>
      </c>
      <c r="BC4" s="3">
        <v>1</v>
      </c>
      <c r="BD4" s="3">
        <v>1</v>
      </c>
    </row>
    <row r="5" spans="1:56" ht="24.95" customHeight="1" x14ac:dyDescent="0.25">
      <c r="A5" s="3" t="s">
        <v>16</v>
      </c>
      <c r="B5" s="3">
        <v>4</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3">
        <v>8.5</v>
      </c>
      <c r="AZ5" s="3">
        <v>1</v>
      </c>
      <c r="BA5" s="3">
        <v>1</v>
      </c>
      <c r="BB5" s="3">
        <v>1</v>
      </c>
      <c r="BC5" s="3">
        <v>1</v>
      </c>
      <c r="BD5" s="3">
        <v>1</v>
      </c>
    </row>
    <row r="6" spans="1:56" ht="20.100000000000001" customHeight="1" x14ac:dyDescent="0.25">
      <c r="A6" s="3" t="s">
        <v>17</v>
      </c>
      <c r="B6" s="3">
        <v>5</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3">
        <v>7</v>
      </c>
      <c r="AZ6" s="3">
        <v>1</v>
      </c>
      <c r="BA6" s="3">
        <v>0</v>
      </c>
      <c r="BB6" s="3">
        <v>1</v>
      </c>
      <c r="BC6" s="3">
        <v>1</v>
      </c>
      <c r="BD6" s="3">
        <v>1</v>
      </c>
    </row>
    <row r="7" spans="1:56" ht="20.100000000000001" customHeight="1" x14ac:dyDescent="0.25">
      <c r="A7" s="3" t="s">
        <v>18</v>
      </c>
      <c r="B7" s="3">
        <v>6</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3">
        <v>6</v>
      </c>
      <c r="AZ7" s="3">
        <v>1</v>
      </c>
      <c r="BA7" s="3">
        <v>1</v>
      </c>
      <c r="BB7" s="3">
        <v>1</v>
      </c>
      <c r="BC7" s="3">
        <v>1</v>
      </c>
      <c r="BD7" s="3">
        <v>1</v>
      </c>
    </row>
    <row r="8" spans="1:56" ht="20.100000000000001" customHeight="1" x14ac:dyDescent="0.25">
      <c r="A8" s="3" t="s">
        <v>138</v>
      </c>
      <c r="B8" s="3">
        <v>7</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3">
        <v>6.5</v>
      </c>
      <c r="AZ8" s="3">
        <v>1</v>
      </c>
      <c r="BA8" s="3">
        <v>1</v>
      </c>
      <c r="BB8" s="3">
        <v>1</v>
      </c>
      <c r="BC8" s="3">
        <v>1</v>
      </c>
      <c r="BD8" s="3">
        <v>1</v>
      </c>
    </row>
    <row r="9" spans="1:56" ht="20.100000000000001" customHeight="1" x14ac:dyDescent="0.25">
      <c r="A9" s="3" t="s">
        <v>19</v>
      </c>
      <c r="B9" s="3">
        <v>8</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3">
        <v>7.5</v>
      </c>
      <c r="AZ9" s="3">
        <v>1</v>
      </c>
      <c r="BA9" s="3">
        <v>1</v>
      </c>
      <c r="BB9" s="3">
        <v>1</v>
      </c>
      <c r="BC9" s="3">
        <v>1</v>
      </c>
      <c r="BD9" s="3">
        <v>1</v>
      </c>
    </row>
    <row r="10" spans="1:56" ht="20.100000000000001" customHeight="1" x14ac:dyDescent="0.25">
      <c r="A10" s="3" t="s">
        <v>19</v>
      </c>
      <c r="B10" s="3">
        <v>8</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3">
        <v>7.5</v>
      </c>
      <c r="AZ10" s="3">
        <v>1</v>
      </c>
      <c r="BA10" s="3">
        <v>1</v>
      </c>
      <c r="BB10" s="3">
        <v>1</v>
      </c>
      <c r="BC10" s="3">
        <v>1</v>
      </c>
      <c r="BD10" s="3">
        <v>1</v>
      </c>
    </row>
    <row r="11" spans="1:56" ht="20.100000000000001" customHeight="1" x14ac:dyDescent="0.25">
      <c r="A11" s="3" t="s">
        <v>23</v>
      </c>
      <c r="B11" s="3">
        <v>9</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3">
        <v>7</v>
      </c>
      <c r="AZ11" s="3">
        <v>1</v>
      </c>
      <c r="BA11" s="3">
        <v>1</v>
      </c>
      <c r="BB11" s="3">
        <v>1</v>
      </c>
      <c r="BC11" s="3">
        <v>1</v>
      </c>
      <c r="BD11" s="3">
        <v>1</v>
      </c>
    </row>
    <row r="12" spans="1:56" ht="20.100000000000001" customHeight="1" x14ac:dyDescent="0.25">
      <c r="A12" s="3" t="s">
        <v>15</v>
      </c>
      <c r="B12" s="3">
        <v>10</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3">
        <v>8</v>
      </c>
      <c r="AZ12" s="3">
        <v>1</v>
      </c>
      <c r="BA12" s="3">
        <v>1</v>
      </c>
      <c r="BB12" s="3">
        <v>1</v>
      </c>
      <c r="BC12" s="3">
        <v>1</v>
      </c>
      <c r="BD12" s="3">
        <v>1</v>
      </c>
    </row>
    <row r="13" spans="1:56" ht="20.100000000000001" customHeight="1" x14ac:dyDescent="0.25">
      <c r="A13" s="3" t="s">
        <v>15</v>
      </c>
      <c r="B13" s="3">
        <v>10</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3">
        <v>8</v>
      </c>
      <c r="AZ13" s="3">
        <v>1</v>
      </c>
      <c r="BA13" s="3">
        <v>1</v>
      </c>
      <c r="BB13" s="3">
        <v>1</v>
      </c>
      <c r="BC13" s="3">
        <v>1</v>
      </c>
      <c r="BD13" s="3">
        <v>1</v>
      </c>
    </row>
    <row r="14" spans="1:56" ht="20.100000000000001" customHeight="1" x14ac:dyDescent="0.25">
      <c r="A14" s="3" t="s">
        <v>16</v>
      </c>
      <c r="B14" s="3">
        <v>11</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3">
        <v>8</v>
      </c>
      <c r="AZ14" s="3">
        <v>1</v>
      </c>
      <c r="BA14" s="3">
        <v>1</v>
      </c>
      <c r="BB14" s="3">
        <v>0</v>
      </c>
      <c r="BC14" s="3">
        <v>1</v>
      </c>
      <c r="BD14" s="3">
        <v>1</v>
      </c>
    </row>
    <row r="15" spans="1:56" ht="20.100000000000001" customHeight="1" x14ac:dyDescent="0.25">
      <c r="A15" s="3" t="s">
        <v>17</v>
      </c>
      <c r="B15" s="3">
        <v>12</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3">
        <v>8.5</v>
      </c>
      <c r="AZ15" s="3">
        <v>1</v>
      </c>
      <c r="BA15" s="3">
        <v>1</v>
      </c>
      <c r="BB15" s="3">
        <v>1</v>
      </c>
      <c r="BC15" s="3">
        <v>1</v>
      </c>
      <c r="BD15" s="3">
        <v>1</v>
      </c>
    </row>
    <row r="16" spans="1:56" ht="20.100000000000001" customHeight="1" x14ac:dyDescent="0.25">
      <c r="A16" s="3" t="s">
        <v>17</v>
      </c>
      <c r="B16" s="3">
        <v>12</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3">
        <v>8.5</v>
      </c>
      <c r="AZ16" s="3">
        <v>1</v>
      </c>
      <c r="BA16" s="3">
        <v>1</v>
      </c>
      <c r="BB16" s="3">
        <v>1</v>
      </c>
      <c r="BC16" s="3">
        <v>1</v>
      </c>
      <c r="BD16" s="3">
        <v>1</v>
      </c>
    </row>
    <row r="17" spans="1:56" ht="20.100000000000001" customHeight="1" x14ac:dyDescent="0.25">
      <c r="A17" s="3" t="s">
        <v>18</v>
      </c>
      <c r="B17" s="3">
        <v>13</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3">
        <v>6.75</v>
      </c>
      <c r="AZ17" s="3">
        <v>1</v>
      </c>
      <c r="BA17" s="3">
        <v>1</v>
      </c>
      <c r="BB17" s="3">
        <v>1</v>
      </c>
      <c r="BC17" s="3">
        <v>1</v>
      </c>
      <c r="BD17" s="3">
        <v>1</v>
      </c>
    </row>
    <row r="18" spans="1:56" ht="20.100000000000001" customHeight="1" x14ac:dyDescent="0.25">
      <c r="A18" s="3" t="s">
        <v>138</v>
      </c>
      <c r="B18" s="3">
        <v>14</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3">
        <v>6</v>
      </c>
      <c r="AZ18" s="3">
        <v>1</v>
      </c>
      <c r="BA18" s="3">
        <v>1</v>
      </c>
      <c r="BB18" s="3">
        <v>1</v>
      </c>
      <c r="BC18" s="3">
        <v>1</v>
      </c>
      <c r="BD18" s="3">
        <v>1</v>
      </c>
    </row>
    <row r="19" spans="1:56" ht="20.100000000000001" customHeight="1" x14ac:dyDescent="0.25">
      <c r="A19" s="3" t="s">
        <v>19</v>
      </c>
      <c r="B19" s="3">
        <v>15</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3">
        <v>5.5</v>
      </c>
      <c r="AZ19" s="3">
        <v>1</v>
      </c>
      <c r="BA19" s="3">
        <v>1</v>
      </c>
      <c r="BB19" s="3">
        <v>1</v>
      </c>
      <c r="BC19" s="3">
        <v>1</v>
      </c>
      <c r="BD19" s="3">
        <v>1</v>
      </c>
    </row>
    <row r="20" spans="1:56" ht="20.100000000000001" customHeight="1" x14ac:dyDescent="0.25">
      <c r="A20" s="3" t="s">
        <v>19</v>
      </c>
      <c r="B20" s="3">
        <v>15</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3">
        <v>5.5</v>
      </c>
      <c r="AZ20" s="3">
        <v>1</v>
      </c>
      <c r="BA20" s="3">
        <v>1</v>
      </c>
      <c r="BB20" s="3">
        <v>1</v>
      </c>
      <c r="BC20" s="3">
        <v>1</v>
      </c>
      <c r="BD20" s="3">
        <v>1</v>
      </c>
    </row>
    <row r="21" spans="1:56" ht="20.100000000000001" customHeight="1" x14ac:dyDescent="0.25">
      <c r="A21" s="3" t="s">
        <v>23</v>
      </c>
      <c r="B21" s="3">
        <v>16</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3">
        <v>7.5</v>
      </c>
      <c r="AZ21" s="3">
        <v>1</v>
      </c>
      <c r="BA21" s="3">
        <v>1</v>
      </c>
      <c r="BB21" s="3">
        <v>1</v>
      </c>
      <c r="BC21" s="3">
        <v>1</v>
      </c>
      <c r="BD21" s="3">
        <v>1</v>
      </c>
    </row>
    <row r="22" spans="1:56" ht="20.100000000000001" customHeight="1" x14ac:dyDescent="0.25">
      <c r="A22" s="3" t="s">
        <v>15</v>
      </c>
      <c r="B22" s="3">
        <v>17</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3">
        <v>8</v>
      </c>
      <c r="AZ22" s="3">
        <v>1</v>
      </c>
      <c r="BA22" s="3">
        <v>1</v>
      </c>
      <c r="BB22" s="3">
        <v>0</v>
      </c>
      <c r="BC22" s="3">
        <v>1</v>
      </c>
      <c r="BD22" s="3">
        <v>1</v>
      </c>
    </row>
    <row r="23" spans="1:56" ht="20.100000000000001" customHeight="1" x14ac:dyDescent="0.25">
      <c r="A23" s="3" t="s">
        <v>16</v>
      </c>
      <c r="B23" s="3">
        <v>18</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257</v>
      </c>
      <c r="AT23" s="7" t="s">
        <v>258</v>
      </c>
      <c r="AU23" s="7">
        <v>10</v>
      </c>
      <c r="AV23" s="3">
        <v>-5</v>
      </c>
      <c r="AW23" s="3">
        <v>31</v>
      </c>
      <c r="AX23" s="3">
        <v>1</v>
      </c>
      <c r="AY23" s="3">
        <v>7</v>
      </c>
      <c r="AZ23" s="3">
        <v>1</v>
      </c>
      <c r="BA23" s="3">
        <v>1</v>
      </c>
      <c r="BB23" s="3">
        <v>1</v>
      </c>
      <c r="BC23" s="3">
        <v>1</v>
      </c>
      <c r="BD23" s="3">
        <v>1</v>
      </c>
    </row>
    <row r="24" spans="1:56" ht="20.100000000000001" customHeight="1" x14ac:dyDescent="0.25">
      <c r="A24" s="3" t="s">
        <v>16</v>
      </c>
      <c r="B24" s="3">
        <v>18</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257</v>
      </c>
      <c r="AT24" s="7" t="s">
        <v>258</v>
      </c>
      <c r="AU24" s="7">
        <v>10</v>
      </c>
      <c r="AV24" s="3">
        <v>-5</v>
      </c>
      <c r="AW24" s="3">
        <v>31</v>
      </c>
      <c r="AX24" s="3">
        <v>1</v>
      </c>
      <c r="AY24" s="3">
        <v>7</v>
      </c>
      <c r="AZ24" s="3">
        <v>1</v>
      </c>
      <c r="BA24" s="3">
        <v>1</v>
      </c>
      <c r="BB24" s="3">
        <v>1</v>
      </c>
      <c r="BC24" s="3">
        <v>1</v>
      </c>
      <c r="BD24" s="3">
        <v>1</v>
      </c>
    </row>
    <row r="25" spans="1:56" ht="20.100000000000001" customHeight="1" x14ac:dyDescent="0.25">
      <c r="A25" s="3" t="s">
        <v>17</v>
      </c>
      <c r="B25" s="3">
        <v>19</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255</v>
      </c>
      <c r="AA25" s="10" t="s">
        <v>252</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3">
        <v>8</v>
      </c>
      <c r="AZ25" s="3">
        <v>1</v>
      </c>
      <c r="BA25" s="3">
        <v>1</v>
      </c>
      <c r="BB25" s="3">
        <v>1</v>
      </c>
      <c r="BC25" s="3">
        <v>1</v>
      </c>
      <c r="BD25" s="3">
        <v>1</v>
      </c>
    </row>
    <row r="26" spans="1:56" ht="20.100000000000001" customHeight="1" x14ac:dyDescent="0.25">
      <c r="A26" s="3" t="s">
        <v>17</v>
      </c>
      <c r="B26" s="3">
        <v>19</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259</v>
      </c>
      <c r="AA26" s="10" t="s">
        <v>252</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3">
        <v>8</v>
      </c>
      <c r="AZ26" s="3">
        <v>1</v>
      </c>
      <c r="BA26" s="3">
        <v>1</v>
      </c>
      <c r="BB26" s="3">
        <v>1</v>
      </c>
      <c r="BC26" s="3">
        <v>1</v>
      </c>
      <c r="BD26" s="3">
        <v>1</v>
      </c>
    </row>
    <row r="27" spans="1:56" ht="20.100000000000001" customHeight="1" x14ac:dyDescent="0.25">
      <c r="A27" s="3" t="s">
        <v>18</v>
      </c>
      <c r="B27" s="3">
        <v>20</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265</v>
      </c>
      <c r="AA27" s="10" t="s">
        <v>266</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260</v>
      </c>
      <c r="AS27" s="7" t="s">
        <v>264</v>
      </c>
      <c r="AT27" s="7">
        <v>0</v>
      </c>
      <c r="AU27" s="7">
        <f>5+10+5+5+5+10+10+10</f>
        <v>60</v>
      </c>
      <c r="AV27" s="7">
        <v>0</v>
      </c>
      <c r="AW27" s="3">
        <v>31</v>
      </c>
      <c r="AX27" s="3">
        <v>1</v>
      </c>
      <c r="AY27" s="3">
        <v>7</v>
      </c>
      <c r="AZ27" s="3">
        <v>1</v>
      </c>
      <c r="BA27" s="3">
        <v>1</v>
      </c>
      <c r="BB27" s="3">
        <v>1</v>
      </c>
      <c r="BC27" s="3">
        <v>1</v>
      </c>
      <c r="BD27" s="3">
        <v>1</v>
      </c>
    </row>
    <row r="28" spans="1:56" ht="20.100000000000001" customHeight="1" x14ac:dyDescent="0.25">
      <c r="A28" s="3" t="s">
        <v>18</v>
      </c>
      <c r="B28" s="3">
        <v>20</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265</v>
      </c>
      <c r="AA28" s="10" t="s">
        <v>266</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260</v>
      </c>
      <c r="AS28" s="7" t="s">
        <v>264</v>
      </c>
      <c r="AT28" s="7">
        <v>0</v>
      </c>
      <c r="AU28" s="7">
        <f>5+10+5+5+5+10+10+10</f>
        <v>60</v>
      </c>
      <c r="AV28" s="7">
        <v>0</v>
      </c>
      <c r="AW28" s="3">
        <v>31</v>
      </c>
      <c r="AX28" s="3">
        <v>1</v>
      </c>
      <c r="AY28" s="3">
        <v>7</v>
      </c>
      <c r="AZ28" s="3">
        <v>1</v>
      </c>
      <c r="BA28" s="3">
        <v>1</v>
      </c>
      <c r="BB28" s="3">
        <v>1</v>
      </c>
      <c r="BC28" s="3">
        <v>1</v>
      </c>
      <c r="BD28" s="3">
        <v>1</v>
      </c>
    </row>
    <row r="29" spans="1:56" ht="20.100000000000001" customHeight="1" x14ac:dyDescent="0.25">
      <c r="A29" s="3" t="s">
        <v>18</v>
      </c>
      <c r="B29" s="3">
        <v>20</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267</v>
      </c>
      <c r="AA29" s="10" t="s">
        <v>272</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260</v>
      </c>
      <c r="AS29" s="7" t="s">
        <v>264</v>
      </c>
      <c r="AT29" s="7">
        <v>0</v>
      </c>
      <c r="AU29" s="7">
        <f>5+10+5+5+5+10+10+10</f>
        <v>60</v>
      </c>
      <c r="AV29" s="7">
        <v>0</v>
      </c>
      <c r="AW29" s="3">
        <v>31</v>
      </c>
      <c r="AX29" s="3">
        <v>1</v>
      </c>
      <c r="AY29" s="3">
        <v>7</v>
      </c>
      <c r="AZ29" s="3">
        <v>1</v>
      </c>
      <c r="BA29" s="3">
        <v>0</v>
      </c>
      <c r="BB29" s="3">
        <v>1</v>
      </c>
      <c r="BC29" s="3">
        <v>1</v>
      </c>
      <c r="BD29" s="3">
        <v>1</v>
      </c>
    </row>
    <row r="30" spans="1:56" ht="20.100000000000001" customHeight="1" x14ac:dyDescent="0.25">
      <c r="A30" s="3" t="s">
        <v>138</v>
      </c>
      <c r="B30" s="3">
        <v>21</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274</v>
      </c>
      <c r="AA30" s="10" t="s">
        <v>273</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7">
        <v>5</v>
      </c>
      <c r="AZ30" s="7">
        <v>1</v>
      </c>
      <c r="BA30" s="7">
        <v>1</v>
      </c>
      <c r="BB30" s="7">
        <v>1</v>
      </c>
      <c r="BC30" s="7">
        <v>1</v>
      </c>
      <c r="BD30" s="7">
        <v>1</v>
      </c>
    </row>
    <row r="31" spans="1:56" ht="20.100000000000001" customHeight="1" x14ac:dyDescent="0.25">
      <c r="A31" s="3" t="s">
        <v>19</v>
      </c>
      <c r="B31" s="3">
        <v>22</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277</v>
      </c>
      <c r="AA31" s="10" t="s">
        <v>276</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3">
        <v>7</v>
      </c>
      <c r="AZ31" s="3">
        <v>1</v>
      </c>
      <c r="BA31" s="3">
        <v>1</v>
      </c>
      <c r="BB31" s="3">
        <v>1</v>
      </c>
      <c r="BC31" s="3">
        <v>1</v>
      </c>
      <c r="BD31" s="3">
        <v>1</v>
      </c>
    </row>
    <row r="32" spans="1:56" ht="20.100000000000001" customHeight="1" x14ac:dyDescent="0.25">
      <c r="A32" s="3" t="s">
        <v>23</v>
      </c>
      <c r="B32" s="3">
        <v>23</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280</v>
      </c>
      <c r="AA32" s="10" t="s">
        <v>279</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3">
        <v>7.5</v>
      </c>
      <c r="AZ32" s="3">
        <v>1</v>
      </c>
      <c r="BA32" s="3">
        <v>1</v>
      </c>
      <c r="BB32" s="3">
        <v>1</v>
      </c>
      <c r="BC32" s="3">
        <v>1</v>
      </c>
      <c r="BD32" s="3">
        <v>1</v>
      </c>
    </row>
    <row r="33" spans="1:56" ht="20.100000000000001" customHeight="1" x14ac:dyDescent="0.25">
      <c r="A33" s="3" t="s">
        <v>15</v>
      </c>
      <c r="B33" s="3">
        <v>24</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285</v>
      </c>
      <c r="AA33" s="10" t="s">
        <v>287</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3">
        <v>6</v>
      </c>
      <c r="AZ33" s="3">
        <v>1</v>
      </c>
      <c r="BA33" s="3">
        <v>1</v>
      </c>
      <c r="BB33" s="3">
        <v>1</v>
      </c>
      <c r="BC33" s="3">
        <v>1</v>
      </c>
      <c r="BD33" s="3">
        <v>1</v>
      </c>
    </row>
    <row r="34" spans="1:56" ht="20.100000000000001" customHeight="1" x14ac:dyDescent="0.25">
      <c r="A34" s="3" t="s">
        <v>16</v>
      </c>
      <c r="B34" s="3">
        <v>25</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293</v>
      </c>
      <c r="AA34" s="10" t="s">
        <v>292</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7">
        <v>7</v>
      </c>
      <c r="AZ34" s="7">
        <v>1</v>
      </c>
      <c r="BA34" s="7">
        <v>0</v>
      </c>
      <c r="BB34" s="7">
        <v>0</v>
      </c>
      <c r="BC34" s="7">
        <v>1</v>
      </c>
      <c r="BD34" s="7">
        <v>1</v>
      </c>
    </row>
    <row r="35" spans="1:56" ht="20.100000000000001" customHeight="1" x14ac:dyDescent="0.25">
      <c r="A35" s="3" t="s">
        <v>17</v>
      </c>
      <c r="B35" s="3">
        <v>26</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300</v>
      </c>
      <c r="AA35" s="10" t="s">
        <v>299</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294</v>
      </c>
      <c r="AS35" s="3" t="s">
        <v>295</v>
      </c>
      <c r="AT35" s="7">
        <v>0</v>
      </c>
      <c r="AU35" s="7">
        <v>5</v>
      </c>
      <c r="AV35" s="7">
        <v>0</v>
      </c>
      <c r="AW35" s="3">
        <v>31</v>
      </c>
      <c r="AX35" s="3">
        <v>1</v>
      </c>
      <c r="AY35" s="3">
        <v>7</v>
      </c>
      <c r="AZ35" s="3">
        <v>1</v>
      </c>
      <c r="BA35" s="3">
        <v>1</v>
      </c>
      <c r="BB35" s="3">
        <v>0</v>
      </c>
      <c r="BC35" s="3">
        <v>1</v>
      </c>
      <c r="BD35" s="3">
        <v>1</v>
      </c>
    </row>
    <row r="36" spans="1:56" ht="20.100000000000001" customHeight="1" x14ac:dyDescent="0.25">
      <c r="A36" s="3" t="s">
        <v>18</v>
      </c>
      <c r="B36" s="3">
        <v>27</v>
      </c>
      <c r="C36" s="8">
        <v>44245</v>
      </c>
      <c r="D36" s="9">
        <v>0.72916666666666663</v>
      </c>
      <c r="E36" s="4">
        <v>65</v>
      </c>
      <c r="F36" s="3">
        <v>0</v>
      </c>
      <c r="G36" s="3">
        <v>0</v>
      </c>
      <c r="H36" s="3">
        <v>0</v>
      </c>
      <c r="I36" s="3">
        <v>0</v>
      </c>
      <c r="J36" s="9">
        <v>0.23958333333333334</v>
      </c>
      <c r="K36" s="3">
        <v>141</v>
      </c>
      <c r="N36" s="11">
        <v>31.75</v>
      </c>
      <c r="O36" s="11">
        <v>33.25</v>
      </c>
      <c r="P36" s="11">
        <v>10.875</v>
      </c>
      <c r="Q36" s="11">
        <v>11.125</v>
      </c>
      <c r="R36" s="11">
        <v>20.25</v>
      </c>
      <c r="S36" s="11">
        <v>20.25</v>
      </c>
      <c r="T36" s="11">
        <v>16</v>
      </c>
      <c r="U36" s="11">
        <v>16</v>
      </c>
      <c r="V36" s="11">
        <v>18</v>
      </c>
      <c r="W36" s="11">
        <v>18</v>
      </c>
      <c r="X36" s="11">
        <v>8</v>
      </c>
      <c r="Y36" s="11">
        <v>8</v>
      </c>
      <c r="Z36" s="3" t="s">
        <v>302</v>
      </c>
      <c r="AA36" s="10" t="s">
        <v>301</v>
      </c>
      <c r="AB36" s="5">
        <f>945+120+40+72+100+140+120+243+220+60</f>
        <v>2060</v>
      </c>
      <c r="AC36" s="6">
        <f>7.5+10+3+0+6.25+10+14+0+4+0</f>
        <v>54.75</v>
      </c>
      <c r="AD36" s="6">
        <f>0+7+2+0+4.375+3+2+0+0+0</f>
        <v>18.375</v>
      </c>
      <c r="AE36" s="6">
        <f>63+2+4+2+6+12+0+6+4+0</f>
        <v>99</v>
      </c>
      <c r="AF36" s="6">
        <f>159+0+0+14+1.25+0+0+63+50+17</f>
        <v>304.25</v>
      </c>
      <c r="AG36" s="6">
        <f>18+2+0+2+0+0+0+12+2+0</f>
        <v>36</v>
      </c>
      <c r="AH36" s="6">
        <f>907.5+30+200+36+237.5+140+0+6+620+0</f>
        <v>2177</v>
      </c>
      <c r="AI36" s="6">
        <f t="shared" si="1"/>
        <v>2.6577669902912621E-2</v>
      </c>
      <c r="AJ36" s="6">
        <f t="shared" si="2"/>
        <v>8.9199029126213591E-3</v>
      </c>
      <c r="AK36" s="6">
        <f t="shared" si="3"/>
        <v>4.8058252427184464E-2</v>
      </c>
      <c r="AL36" s="6">
        <f t="shared" si="4"/>
        <v>0.14769417475728155</v>
      </c>
      <c r="AM36" s="6">
        <f t="shared" si="5"/>
        <v>1.7475728155339806E-2</v>
      </c>
      <c r="AN36" s="6">
        <f t="shared" si="6"/>
        <v>1.0567961165048543</v>
      </c>
      <c r="AO36" s="7">
        <v>3</v>
      </c>
      <c r="AP36" s="7">
        <v>3</v>
      </c>
      <c r="AQ36" s="7">
        <v>0</v>
      </c>
      <c r="AR36" s="10">
        <v>0</v>
      </c>
      <c r="AS36" s="7">
        <v>0</v>
      </c>
      <c r="AT36" s="7">
        <v>0</v>
      </c>
      <c r="AU36" s="7">
        <v>0</v>
      </c>
      <c r="AV36" s="7">
        <v>0</v>
      </c>
      <c r="AW36" s="7">
        <v>31</v>
      </c>
      <c r="AX36" s="7">
        <v>0</v>
      </c>
      <c r="AY36" s="7">
        <v>6.5</v>
      </c>
      <c r="AZ36" s="7">
        <v>1</v>
      </c>
      <c r="BA36" s="7">
        <v>1</v>
      </c>
      <c r="BB36" s="7">
        <v>0</v>
      </c>
      <c r="BC36" s="7">
        <v>1</v>
      </c>
      <c r="BD36" s="7">
        <v>1</v>
      </c>
    </row>
    <row r="37" spans="1:56" ht="20.100000000000001" customHeight="1" x14ac:dyDescent="0.25"/>
    <row r="38" spans="1:56" ht="20.100000000000001" customHeight="1" x14ac:dyDescent="0.25"/>
    <row r="39" spans="1:56" ht="20.100000000000001" customHeight="1" x14ac:dyDescent="0.25"/>
    <row r="40" spans="1:56" ht="20.100000000000001" customHeight="1" x14ac:dyDescent="0.25"/>
    <row r="41" spans="1:56" ht="20.100000000000001" customHeight="1" x14ac:dyDescent="0.25"/>
    <row r="42" spans="1:56" ht="20.100000000000001" customHeight="1" x14ac:dyDescent="0.25"/>
    <row r="43" spans="1:56" ht="20.100000000000001" customHeight="1" x14ac:dyDescent="0.25"/>
    <row r="44" spans="1:56" ht="20.100000000000001" customHeight="1" x14ac:dyDescent="0.25"/>
    <row r="45" spans="1:56" ht="20.100000000000001" customHeight="1" x14ac:dyDescent="0.25"/>
    <row r="46" spans="1:56" ht="20.100000000000001" customHeight="1" x14ac:dyDescent="0.25"/>
    <row r="47" spans="1:56" ht="20.100000000000001" customHeight="1" x14ac:dyDescent="0.25"/>
    <row r="48" spans="1:56"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3" workbookViewId="0">
      <selection activeCell="A40" sqref="A40"/>
    </sheetView>
  </sheetViews>
  <sheetFormatPr defaultRowHeight="15" x14ac:dyDescent="0.25"/>
  <cols>
    <col min="1" max="1" width="29.28515625" style="13" customWidth="1"/>
    <col min="2" max="2" width="77.42578125" customWidth="1"/>
  </cols>
  <sheetData>
    <row r="1" spans="1:2" x14ac:dyDescent="0.25">
      <c r="A1" s="13" t="s">
        <v>0</v>
      </c>
      <c r="B1" t="s">
        <v>245</v>
      </c>
    </row>
    <row r="2" spans="1:2" x14ac:dyDescent="0.25">
      <c r="A2" s="13" t="s">
        <v>125</v>
      </c>
      <c r="B2" t="s">
        <v>246</v>
      </c>
    </row>
    <row r="3" spans="1:2" x14ac:dyDescent="0.25">
      <c r="A3" s="13" t="s">
        <v>1</v>
      </c>
      <c r="B3" t="s">
        <v>247</v>
      </c>
    </row>
    <row r="4" spans="1:2" x14ac:dyDescent="0.25">
      <c r="A4" s="13" t="s">
        <v>2</v>
      </c>
      <c r="B4" t="s">
        <v>248</v>
      </c>
    </row>
    <row r="5" spans="1:2" x14ac:dyDescent="0.25">
      <c r="A5" s="14" t="s">
        <v>25</v>
      </c>
      <c r="B5" t="s">
        <v>249</v>
      </c>
    </row>
    <row r="6" spans="1:2" x14ac:dyDescent="0.25">
      <c r="A6" s="13" t="s">
        <v>126</v>
      </c>
      <c r="B6" t="s">
        <v>250</v>
      </c>
    </row>
    <row r="7" spans="1:2" x14ac:dyDescent="0.25">
      <c r="A7" s="13" t="s">
        <v>127</v>
      </c>
      <c r="B7" t="s">
        <v>251</v>
      </c>
    </row>
    <row r="8" spans="1:2" x14ac:dyDescent="0.25">
      <c r="A8" s="13" t="s">
        <v>88</v>
      </c>
      <c r="B8" t="s">
        <v>244</v>
      </c>
    </row>
    <row r="9" spans="1:2" x14ac:dyDescent="0.25">
      <c r="A9" s="13" t="s">
        <v>253</v>
      </c>
      <c r="B9" t="s">
        <v>254</v>
      </c>
    </row>
    <row r="10" spans="1:2" x14ac:dyDescent="0.25">
      <c r="A10" s="13" t="s">
        <v>22</v>
      </c>
      <c r="B10" t="s">
        <v>243</v>
      </c>
    </row>
    <row r="11" spans="1:2" x14ac:dyDescent="0.25">
      <c r="A11" s="13" t="s">
        <v>3</v>
      </c>
      <c r="B11" t="s">
        <v>242</v>
      </c>
    </row>
    <row r="12" spans="1:2" x14ac:dyDescent="0.25">
      <c r="A12" s="15" t="s">
        <v>95</v>
      </c>
      <c r="B12" t="s">
        <v>241</v>
      </c>
    </row>
    <row r="13" spans="1:2" x14ac:dyDescent="0.25">
      <c r="A13" s="15" t="s">
        <v>94</v>
      </c>
      <c r="B13" t="s">
        <v>240</v>
      </c>
    </row>
    <row r="14" spans="1:2" x14ac:dyDescent="0.25">
      <c r="A14" s="15" t="s">
        <v>4</v>
      </c>
      <c r="B14" t="s">
        <v>239</v>
      </c>
    </row>
    <row r="15" spans="1:2" x14ac:dyDescent="0.25">
      <c r="A15" s="15" t="s">
        <v>118</v>
      </c>
      <c r="B15" t="s">
        <v>238</v>
      </c>
    </row>
    <row r="16" spans="1:2" x14ac:dyDescent="0.25">
      <c r="A16" s="15" t="s">
        <v>5</v>
      </c>
      <c r="B16" t="s">
        <v>237</v>
      </c>
    </row>
    <row r="17" spans="1:2" x14ac:dyDescent="0.25">
      <c r="A17" s="15" t="s">
        <v>6</v>
      </c>
      <c r="B17" t="s">
        <v>236</v>
      </c>
    </row>
    <row r="18" spans="1:2" x14ac:dyDescent="0.25">
      <c r="A18" s="15" t="s">
        <v>7</v>
      </c>
      <c r="B18" t="s">
        <v>235</v>
      </c>
    </row>
    <row r="19" spans="1:2" x14ac:dyDescent="0.25">
      <c r="A19" s="15" t="s">
        <v>8</v>
      </c>
      <c r="B19" t="s">
        <v>234</v>
      </c>
    </row>
    <row r="20" spans="1:2" x14ac:dyDescent="0.25">
      <c r="A20" s="15" t="s">
        <v>9</v>
      </c>
      <c r="B20" t="s">
        <v>230</v>
      </c>
    </row>
    <row r="21" spans="1:2" x14ac:dyDescent="0.25">
      <c r="A21" s="15" t="s">
        <v>10</v>
      </c>
      <c r="B21" t="s">
        <v>231</v>
      </c>
    </row>
    <row r="22" spans="1:2" x14ac:dyDescent="0.25">
      <c r="A22" s="15" t="s">
        <v>11</v>
      </c>
      <c r="B22" t="s">
        <v>228</v>
      </c>
    </row>
    <row r="23" spans="1:2" x14ac:dyDescent="0.25">
      <c r="A23" s="15" t="s">
        <v>12</v>
      </c>
      <c r="B23" t="s">
        <v>229</v>
      </c>
    </row>
    <row r="24" spans="1:2" x14ac:dyDescent="0.25">
      <c r="A24" s="15" t="s">
        <v>13</v>
      </c>
      <c r="B24" t="s">
        <v>232</v>
      </c>
    </row>
    <row r="25" spans="1:2" x14ac:dyDescent="0.25">
      <c r="A25" s="15" t="s">
        <v>14</v>
      </c>
      <c r="B25" t="s">
        <v>233</v>
      </c>
    </row>
    <row r="26" spans="1:2" x14ac:dyDescent="0.25">
      <c r="A26" s="13" t="s">
        <v>31</v>
      </c>
      <c r="B26" t="s">
        <v>227</v>
      </c>
    </row>
    <row r="27" spans="1:2" x14ac:dyDescent="0.25">
      <c r="A27" s="13" t="s">
        <v>87</v>
      </c>
      <c r="B27" t="s">
        <v>226</v>
      </c>
    </row>
    <row r="28" spans="1:2" x14ac:dyDescent="0.25">
      <c r="A28" s="15" t="s">
        <v>30</v>
      </c>
      <c r="B28" t="s">
        <v>224</v>
      </c>
    </row>
    <row r="29" spans="1:2" x14ac:dyDescent="0.25">
      <c r="A29" s="15" t="s">
        <v>26</v>
      </c>
      <c r="B29" t="s">
        <v>223</v>
      </c>
    </row>
    <row r="30" spans="1:2" x14ac:dyDescent="0.25">
      <c r="A30" s="15" t="s">
        <v>27</v>
      </c>
      <c r="B30" t="s">
        <v>222</v>
      </c>
    </row>
    <row r="31" spans="1:2" x14ac:dyDescent="0.25">
      <c r="A31" s="15" t="s">
        <v>28</v>
      </c>
      <c r="B31" t="s">
        <v>221</v>
      </c>
    </row>
    <row r="32" spans="1:2" x14ac:dyDescent="0.25">
      <c r="A32" s="15" t="s">
        <v>89</v>
      </c>
      <c r="B32" t="s">
        <v>225</v>
      </c>
    </row>
    <row r="33" spans="1:2" x14ac:dyDescent="0.25">
      <c r="A33" s="15" t="s">
        <v>90</v>
      </c>
      <c r="B33" t="s">
        <v>220</v>
      </c>
    </row>
    <row r="34" spans="1:2" x14ac:dyDescent="0.25">
      <c r="A34" s="15" t="s">
        <v>185</v>
      </c>
      <c r="B34" t="s">
        <v>219</v>
      </c>
    </row>
    <row r="35" spans="1:2" x14ac:dyDescent="0.25">
      <c r="A35" s="15" t="s">
        <v>186</v>
      </c>
      <c r="B35" t="s">
        <v>217</v>
      </c>
    </row>
    <row r="36" spans="1:2" x14ac:dyDescent="0.25">
      <c r="A36" s="15" t="s">
        <v>187</v>
      </c>
      <c r="B36" t="s">
        <v>216</v>
      </c>
    </row>
    <row r="37" spans="1:2" x14ac:dyDescent="0.25">
      <c r="A37" s="15" t="s">
        <v>188</v>
      </c>
      <c r="B37" t="s">
        <v>215</v>
      </c>
    </row>
    <row r="38" spans="1:2" x14ac:dyDescent="0.25">
      <c r="A38" s="15" t="s">
        <v>189</v>
      </c>
      <c r="B38" t="s">
        <v>218</v>
      </c>
    </row>
    <row r="39" spans="1:2" x14ac:dyDescent="0.25">
      <c r="A39" s="15" t="s">
        <v>190</v>
      </c>
      <c r="B39" t="s">
        <v>214</v>
      </c>
    </row>
    <row r="40" spans="1:2" x14ac:dyDescent="0.25">
      <c r="A40" s="15" t="s">
        <v>275</v>
      </c>
      <c r="B40" t="s">
        <v>213</v>
      </c>
    </row>
    <row r="41" spans="1:2" x14ac:dyDescent="0.25">
      <c r="A41" s="14" t="s">
        <v>47</v>
      </c>
      <c r="B41" t="s">
        <v>212</v>
      </c>
    </row>
    <row r="42" spans="1:2" x14ac:dyDescent="0.25">
      <c r="A42" s="14" t="s">
        <v>119</v>
      </c>
      <c r="B42" t="s">
        <v>211</v>
      </c>
    </row>
    <row r="43" spans="1:2" x14ac:dyDescent="0.25">
      <c r="A43" s="14" t="s">
        <v>86</v>
      </c>
      <c r="B43" t="s">
        <v>210</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04"/>
  <sheetViews>
    <sheetView workbookViewId="0">
      <pane ySplit="1" topLeftCell="A91" activePane="bottomLeft" state="frozen"/>
      <selection pane="bottomLeft" activeCell="B94" sqref="B94:H94"/>
    </sheetView>
  </sheetViews>
  <sheetFormatPr defaultRowHeight="15" x14ac:dyDescent="0.25"/>
  <cols>
    <col min="1" max="1" width="84.85546875" customWidth="1"/>
    <col min="4" max="4" width="19.140625" customWidth="1"/>
    <col min="5" max="6" width="16.140625" customWidth="1"/>
    <col min="7" max="7" width="17.28515625" customWidth="1"/>
  </cols>
  <sheetData>
    <row r="1" spans="1:8" x14ac:dyDescent="0.25">
      <c r="A1" t="s">
        <v>34</v>
      </c>
      <c r="B1" s="1" t="s">
        <v>33</v>
      </c>
      <c r="C1" s="2" t="s">
        <v>26</v>
      </c>
      <c r="D1" s="2" t="s">
        <v>27</v>
      </c>
      <c r="E1" s="2" t="s">
        <v>28</v>
      </c>
      <c r="F1" s="2" t="s">
        <v>89</v>
      </c>
      <c r="G1" s="2" t="s">
        <v>29</v>
      </c>
      <c r="H1" s="2" t="s">
        <v>32</v>
      </c>
    </row>
    <row r="2" spans="1:8" x14ac:dyDescent="0.25">
      <c r="A2" t="s">
        <v>35</v>
      </c>
      <c r="B2">
        <v>180</v>
      </c>
      <c r="C2">
        <v>2</v>
      </c>
      <c r="D2">
        <v>0</v>
      </c>
      <c r="E2">
        <v>6</v>
      </c>
      <c r="F2">
        <v>32</v>
      </c>
      <c r="G2">
        <v>2</v>
      </c>
      <c r="H2">
        <v>380</v>
      </c>
    </row>
    <row r="3" spans="1:8" x14ac:dyDescent="0.25">
      <c r="A3" t="s">
        <v>36</v>
      </c>
      <c r="B3">
        <v>140</v>
      </c>
      <c r="C3">
        <v>10</v>
      </c>
      <c r="D3">
        <v>3</v>
      </c>
      <c r="E3">
        <v>12</v>
      </c>
      <c r="F3">
        <v>0</v>
      </c>
      <c r="G3">
        <v>0</v>
      </c>
      <c r="H3">
        <v>140</v>
      </c>
    </row>
    <row r="4" spans="1:8" x14ac:dyDescent="0.25">
      <c r="A4" t="s">
        <v>37</v>
      </c>
      <c r="B4">
        <v>92</v>
      </c>
      <c r="C4">
        <v>0</v>
      </c>
      <c r="D4">
        <v>0</v>
      </c>
      <c r="E4">
        <v>2</v>
      </c>
      <c r="F4">
        <v>24</v>
      </c>
      <c r="G4">
        <v>2</v>
      </c>
      <c r="H4">
        <v>0</v>
      </c>
    </row>
    <row r="5" spans="1:8" x14ac:dyDescent="0.25">
      <c r="A5" t="s">
        <v>38</v>
      </c>
      <c r="B5">
        <v>120</v>
      </c>
      <c r="C5">
        <v>3</v>
      </c>
      <c r="D5">
        <v>2</v>
      </c>
      <c r="E5">
        <v>6</v>
      </c>
      <c r="F5">
        <v>19</v>
      </c>
      <c r="G5">
        <v>2</v>
      </c>
      <c r="H5">
        <v>330</v>
      </c>
    </row>
    <row r="6" spans="1:8" x14ac:dyDescent="0.25">
      <c r="A6" t="s">
        <v>283</v>
      </c>
      <c r="B6">
        <v>60</v>
      </c>
      <c r="C6">
        <v>5</v>
      </c>
      <c r="D6">
        <v>3.5</v>
      </c>
      <c r="E6">
        <v>1</v>
      </c>
      <c r="F6">
        <v>2</v>
      </c>
      <c r="G6">
        <v>0</v>
      </c>
      <c r="H6">
        <v>15</v>
      </c>
    </row>
    <row r="7" spans="1:8" x14ac:dyDescent="0.25">
      <c r="A7" t="s">
        <v>39</v>
      </c>
      <c r="B7">
        <v>81</v>
      </c>
      <c r="C7">
        <v>0</v>
      </c>
      <c r="D7">
        <v>0</v>
      </c>
      <c r="E7">
        <v>2</v>
      </c>
      <c r="F7">
        <v>21</v>
      </c>
      <c r="G7">
        <v>4</v>
      </c>
      <c r="H7">
        <v>2</v>
      </c>
    </row>
    <row r="8" spans="1:8" x14ac:dyDescent="0.25">
      <c r="A8" t="s">
        <v>40</v>
      </c>
      <c r="B8">
        <v>15</v>
      </c>
      <c r="C8">
        <v>0</v>
      </c>
      <c r="D8">
        <v>0</v>
      </c>
      <c r="E8">
        <v>1</v>
      </c>
      <c r="F8">
        <v>3</v>
      </c>
      <c r="G8">
        <v>1</v>
      </c>
      <c r="H8">
        <v>290</v>
      </c>
    </row>
    <row r="9" spans="1:8" x14ac:dyDescent="0.25">
      <c r="A9" t="s">
        <v>41</v>
      </c>
      <c r="B9">
        <v>280</v>
      </c>
      <c r="C9">
        <v>7</v>
      </c>
      <c r="D9">
        <v>1</v>
      </c>
      <c r="E9">
        <v>8</v>
      </c>
      <c r="F9">
        <v>42</v>
      </c>
      <c r="G9">
        <v>8</v>
      </c>
      <c r="H9">
        <v>360</v>
      </c>
    </row>
    <row r="10" spans="1:8" x14ac:dyDescent="0.25">
      <c r="A10" t="s">
        <v>56</v>
      </c>
      <c r="B10">
        <v>210</v>
      </c>
      <c r="C10">
        <v>5.25</v>
      </c>
      <c r="D10">
        <v>0.75</v>
      </c>
      <c r="E10">
        <v>6</v>
      </c>
      <c r="F10">
        <v>31.5</v>
      </c>
      <c r="G10">
        <v>6</v>
      </c>
      <c r="H10">
        <v>270</v>
      </c>
    </row>
    <row r="11" spans="1:8" x14ac:dyDescent="0.25">
      <c r="A11" t="s">
        <v>57</v>
      </c>
      <c r="B11">
        <v>140</v>
      </c>
      <c r="C11">
        <v>3.5</v>
      </c>
      <c r="D11">
        <v>0.5</v>
      </c>
      <c r="E11">
        <v>4</v>
      </c>
      <c r="F11">
        <v>21</v>
      </c>
      <c r="G11">
        <v>4</v>
      </c>
      <c r="H11">
        <v>180</v>
      </c>
    </row>
    <row r="12" spans="1:8" x14ac:dyDescent="0.25">
      <c r="A12" t="s">
        <v>42</v>
      </c>
      <c r="B12">
        <v>161</v>
      </c>
      <c r="C12">
        <v>14.5</v>
      </c>
      <c r="D12">
        <v>2</v>
      </c>
      <c r="E12">
        <v>2</v>
      </c>
      <c r="F12">
        <v>8.5</v>
      </c>
      <c r="G12">
        <v>6.5</v>
      </c>
      <c r="H12">
        <v>7</v>
      </c>
    </row>
    <row r="13" spans="1:8" x14ac:dyDescent="0.25">
      <c r="A13" t="s">
        <v>52</v>
      </c>
      <c r="B13">
        <v>322</v>
      </c>
      <c r="C13">
        <v>29</v>
      </c>
      <c r="D13">
        <v>4</v>
      </c>
      <c r="E13">
        <v>4</v>
      </c>
      <c r="F13">
        <v>17</v>
      </c>
      <c r="G13">
        <v>18</v>
      </c>
      <c r="H13">
        <v>14</v>
      </c>
    </row>
    <row r="14" spans="1:8" x14ac:dyDescent="0.25">
      <c r="A14" t="s">
        <v>168</v>
      </c>
      <c r="B14">
        <f>0.75*322</f>
        <v>241.5</v>
      </c>
      <c r="C14">
        <f>29*0.75</f>
        <v>21.75</v>
      </c>
      <c r="D14">
        <f>4*0.75</f>
        <v>3</v>
      </c>
      <c r="E14">
        <f>4*0.75</f>
        <v>3</v>
      </c>
      <c r="F14">
        <f>17*0.75</f>
        <v>12.75</v>
      </c>
      <c r="G14">
        <f>18*0.75</f>
        <v>13.5</v>
      </c>
      <c r="H14">
        <f>14*0.75</f>
        <v>10.5</v>
      </c>
    </row>
    <row r="15" spans="1:8" x14ac:dyDescent="0.25">
      <c r="A15" t="s">
        <v>43</v>
      </c>
      <c r="B15">
        <v>150</v>
      </c>
      <c r="C15">
        <v>0</v>
      </c>
      <c r="D15">
        <v>0</v>
      </c>
      <c r="E15">
        <v>3</v>
      </c>
      <c r="F15">
        <v>14</v>
      </c>
      <c r="G15">
        <v>3</v>
      </c>
      <c r="H15">
        <v>30</v>
      </c>
    </row>
    <row r="16" spans="1:8" x14ac:dyDescent="0.25">
      <c r="A16" t="s">
        <v>45</v>
      </c>
      <c r="B16">
        <v>100</v>
      </c>
      <c r="C16">
        <v>0</v>
      </c>
      <c r="D16">
        <v>0</v>
      </c>
      <c r="E16">
        <v>2</v>
      </c>
      <c r="F16">
        <v>9</v>
      </c>
      <c r="G16">
        <v>2</v>
      </c>
      <c r="H16">
        <v>20</v>
      </c>
    </row>
    <row r="17" spans="1:8" x14ac:dyDescent="0.25">
      <c r="A17" t="s">
        <v>44</v>
      </c>
      <c r="B17">
        <v>130</v>
      </c>
      <c r="C17">
        <v>3</v>
      </c>
      <c r="D17">
        <v>2</v>
      </c>
      <c r="E17">
        <v>0</v>
      </c>
      <c r="F17">
        <v>19</v>
      </c>
      <c r="G17">
        <v>3</v>
      </c>
      <c r="H17">
        <v>670</v>
      </c>
    </row>
    <row r="18" spans="1:8" x14ac:dyDescent="0.25">
      <c r="A18" t="s">
        <v>46</v>
      </c>
      <c r="B18">
        <v>80</v>
      </c>
      <c r="C18">
        <v>5</v>
      </c>
      <c r="D18">
        <v>3.5</v>
      </c>
      <c r="E18">
        <v>6</v>
      </c>
      <c r="F18">
        <v>1</v>
      </c>
      <c r="G18">
        <v>0</v>
      </c>
      <c r="H18">
        <v>190</v>
      </c>
    </row>
    <row r="19" spans="1:8" x14ac:dyDescent="0.25">
      <c r="A19" t="s">
        <v>48</v>
      </c>
      <c r="B19">
        <v>290</v>
      </c>
      <c r="C19">
        <v>12</v>
      </c>
      <c r="D19">
        <v>6</v>
      </c>
      <c r="E19">
        <v>7</v>
      </c>
      <c r="F19">
        <v>39</v>
      </c>
      <c r="G19">
        <v>3</v>
      </c>
      <c r="H19">
        <v>1150</v>
      </c>
    </row>
    <row r="20" spans="1:8" x14ac:dyDescent="0.25">
      <c r="A20" t="s">
        <v>49</v>
      </c>
      <c r="B20">
        <v>60</v>
      </c>
      <c r="C20">
        <v>0.5</v>
      </c>
      <c r="D20">
        <v>0</v>
      </c>
      <c r="E20">
        <v>2</v>
      </c>
      <c r="F20">
        <v>11</v>
      </c>
      <c r="G20">
        <v>7</v>
      </c>
      <c r="H20">
        <v>0</v>
      </c>
    </row>
    <row r="21" spans="1:8" x14ac:dyDescent="0.25">
      <c r="A21" t="s">
        <v>50</v>
      </c>
      <c r="B21">
        <v>42</v>
      </c>
      <c r="C21">
        <v>0</v>
      </c>
      <c r="D21">
        <v>0</v>
      </c>
      <c r="E21">
        <v>1</v>
      </c>
      <c r="F21">
        <v>13</v>
      </c>
      <c r="G21">
        <v>2</v>
      </c>
      <c r="H21">
        <v>1</v>
      </c>
    </row>
    <row r="22" spans="1:8" x14ac:dyDescent="0.25">
      <c r="A22" t="s">
        <v>51</v>
      </c>
      <c r="B22">
        <v>120</v>
      </c>
      <c r="C22">
        <v>3</v>
      </c>
      <c r="D22">
        <v>2</v>
      </c>
      <c r="E22">
        <v>6</v>
      </c>
      <c r="F22">
        <v>19</v>
      </c>
      <c r="G22">
        <v>2</v>
      </c>
      <c r="H22">
        <v>330</v>
      </c>
    </row>
    <row r="23" spans="1:8" x14ac:dyDescent="0.25">
      <c r="A23" t="s">
        <v>53</v>
      </c>
      <c r="B23">
        <v>8.5</v>
      </c>
      <c r="C23">
        <v>0</v>
      </c>
      <c r="D23">
        <v>0</v>
      </c>
      <c r="E23">
        <v>0</v>
      </c>
      <c r="F23">
        <v>36</v>
      </c>
      <c r="G23">
        <v>0</v>
      </c>
      <c r="H23">
        <v>1</v>
      </c>
    </row>
    <row r="24" spans="1:8" x14ac:dyDescent="0.25">
      <c r="A24" t="s">
        <v>54</v>
      </c>
      <c r="B24">
        <v>25</v>
      </c>
      <c r="C24">
        <v>0</v>
      </c>
      <c r="D24">
        <v>0</v>
      </c>
      <c r="E24">
        <v>0</v>
      </c>
      <c r="F24">
        <v>6</v>
      </c>
      <c r="G24">
        <v>1</v>
      </c>
      <c r="H24">
        <v>0</v>
      </c>
    </row>
    <row r="25" spans="1:8" x14ac:dyDescent="0.25">
      <c r="A25" t="s">
        <v>55</v>
      </c>
      <c r="B25">
        <v>8</v>
      </c>
      <c r="C25">
        <v>0.6</v>
      </c>
      <c r="D25">
        <v>0</v>
      </c>
      <c r="E25">
        <v>0.25</v>
      </c>
      <c r="F25">
        <v>0.25</v>
      </c>
      <c r="G25">
        <v>0.25</v>
      </c>
      <c r="H25">
        <v>40</v>
      </c>
    </row>
    <row r="26" spans="1:8" x14ac:dyDescent="0.25">
      <c r="A26" t="s">
        <v>58</v>
      </c>
      <c r="B26">
        <v>57</v>
      </c>
      <c r="C26">
        <v>0</v>
      </c>
      <c r="D26">
        <v>0</v>
      </c>
      <c r="E26">
        <v>0</v>
      </c>
      <c r="F26">
        <v>15</v>
      </c>
      <c r="G26">
        <v>3</v>
      </c>
      <c r="H26">
        <v>1</v>
      </c>
    </row>
    <row r="27" spans="1:8" x14ac:dyDescent="0.25">
      <c r="A27" t="s">
        <v>59</v>
      </c>
      <c r="B27">
        <v>30</v>
      </c>
      <c r="C27">
        <v>0</v>
      </c>
      <c r="D27">
        <v>0</v>
      </c>
      <c r="E27">
        <v>0</v>
      </c>
      <c r="F27">
        <v>8</v>
      </c>
      <c r="G27">
        <v>1</v>
      </c>
      <c r="H27">
        <v>150</v>
      </c>
    </row>
    <row r="28" spans="1:8" x14ac:dyDescent="0.25">
      <c r="A28" t="s">
        <v>60</v>
      </c>
      <c r="B28">
        <v>70</v>
      </c>
      <c r="C28">
        <v>5</v>
      </c>
      <c r="D28">
        <v>3</v>
      </c>
      <c r="E28">
        <v>4</v>
      </c>
      <c r="F28">
        <v>1</v>
      </c>
      <c r="G28">
        <v>0</v>
      </c>
      <c r="H28">
        <v>250</v>
      </c>
    </row>
    <row r="29" spans="1:8" x14ac:dyDescent="0.25">
      <c r="A29" t="s">
        <v>61</v>
      </c>
      <c r="B29">
        <v>270</v>
      </c>
      <c r="C29">
        <v>7</v>
      </c>
      <c r="D29">
        <v>1</v>
      </c>
      <c r="E29">
        <v>6</v>
      </c>
      <c r="F29">
        <v>46</v>
      </c>
      <c r="G29">
        <v>3</v>
      </c>
      <c r="H29">
        <v>55</v>
      </c>
    </row>
    <row r="30" spans="1:8" x14ac:dyDescent="0.25">
      <c r="A30" t="s">
        <v>62</v>
      </c>
      <c r="B30">
        <v>25</v>
      </c>
      <c r="C30">
        <v>0</v>
      </c>
      <c r="D30">
        <v>0</v>
      </c>
      <c r="E30">
        <v>0</v>
      </c>
      <c r="F30">
        <v>6</v>
      </c>
      <c r="G30">
        <v>1</v>
      </c>
      <c r="H30">
        <v>0</v>
      </c>
    </row>
    <row r="31" spans="1:8" x14ac:dyDescent="0.25">
      <c r="A31" t="s">
        <v>63</v>
      </c>
      <c r="B31">
        <v>150</v>
      </c>
      <c r="C31">
        <v>8</v>
      </c>
      <c r="D31">
        <v>1</v>
      </c>
      <c r="E31">
        <v>2</v>
      </c>
      <c r="F31">
        <v>17</v>
      </c>
      <c r="G31">
        <v>1</v>
      </c>
      <c r="H31">
        <v>170</v>
      </c>
    </row>
    <row r="32" spans="1:8" x14ac:dyDescent="0.25">
      <c r="A32" t="s">
        <v>64</v>
      </c>
      <c r="B32">
        <f>SUM(B33:B36)</f>
        <v>528</v>
      </c>
      <c r="C32">
        <f>SUM(C33:C36)</f>
        <v>19.34</v>
      </c>
      <c r="D32">
        <f t="shared" ref="D32:G32" si="0">SUM(D33:D36)</f>
        <v>5.04</v>
      </c>
      <c r="E32">
        <f t="shared" si="0"/>
        <v>28</v>
      </c>
      <c r="F32">
        <f>SUM(F33:F36)</f>
        <v>62</v>
      </c>
      <c r="G32">
        <f t="shared" si="0"/>
        <v>7</v>
      </c>
      <c r="H32">
        <f>SUM(H33:H36)</f>
        <v>385.03</v>
      </c>
    </row>
    <row r="33" spans="1:8" x14ac:dyDescent="0.25">
      <c r="A33" t="s">
        <v>65</v>
      </c>
      <c r="B33">
        <v>200</v>
      </c>
      <c r="C33">
        <v>1</v>
      </c>
      <c r="D33">
        <v>0</v>
      </c>
      <c r="E33">
        <v>4</v>
      </c>
      <c r="F33">
        <v>44</v>
      </c>
      <c r="G33">
        <v>1</v>
      </c>
      <c r="H33">
        <v>0</v>
      </c>
    </row>
    <row r="34" spans="1:8" x14ac:dyDescent="0.25">
      <c r="A34" t="s">
        <v>181</v>
      </c>
      <c r="B34">
        <v>260</v>
      </c>
      <c r="C34">
        <v>18</v>
      </c>
      <c r="D34">
        <v>5</v>
      </c>
      <c r="E34">
        <v>20</v>
      </c>
      <c r="F34">
        <v>5</v>
      </c>
      <c r="G34">
        <v>2</v>
      </c>
      <c r="H34">
        <v>350</v>
      </c>
    </row>
    <row r="35" spans="1:8" x14ac:dyDescent="0.25">
      <c r="A35" t="s">
        <v>66</v>
      </c>
      <c r="B35">
        <v>31</v>
      </c>
      <c r="C35">
        <v>0.34</v>
      </c>
      <c r="D35">
        <v>0.04</v>
      </c>
      <c r="E35">
        <v>3</v>
      </c>
      <c r="F35">
        <v>6</v>
      </c>
      <c r="G35">
        <v>2</v>
      </c>
      <c r="H35">
        <v>30.03</v>
      </c>
    </row>
    <row r="36" spans="1:8" x14ac:dyDescent="0.25">
      <c r="A36" t="s">
        <v>67</v>
      </c>
      <c r="B36">
        <v>37</v>
      </c>
      <c r="C36">
        <v>0</v>
      </c>
      <c r="D36">
        <v>0</v>
      </c>
      <c r="E36">
        <v>1</v>
      </c>
      <c r="F36">
        <v>7</v>
      </c>
      <c r="G36">
        <v>2</v>
      </c>
      <c r="H36">
        <v>5</v>
      </c>
    </row>
    <row r="37" spans="1:8" x14ac:dyDescent="0.25">
      <c r="A37" t="s">
        <v>116</v>
      </c>
      <c r="B37">
        <v>40</v>
      </c>
      <c r="C37">
        <v>0</v>
      </c>
      <c r="D37">
        <v>0</v>
      </c>
      <c r="E37">
        <v>1</v>
      </c>
      <c r="F37">
        <v>10</v>
      </c>
      <c r="G37">
        <v>3</v>
      </c>
      <c r="H37">
        <v>0</v>
      </c>
    </row>
    <row r="38" spans="1:8" x14ac:dyDescent="0.25">
      <c r="A38" t="s">
        <v>282</v>
      </c>
      <c r="B38">
        <v>27</v>
      </c>
      <c r="C38">
        <v>0</v>
      </c>
      <c r="D38">
        <v>0</v>
      </c>
      <c r="E38">
        <v>1</v>
      </c>
      <c r="F38">
        <v>6</v>
      </c>
      <c r="G38">
        <v>1</v>
      </c>
      <c r="H38">
        <v>2</v>
      </c>
    </row>
    <row r="39" spans="1:8" x14ac:dyDescent="0.25">
      <c r="A39" t="s">
        <v>68</v>
      </c>
      <c r="B39">
        <v>105</v>
      </c>
      <c r="C39">
        <v>0</v>
      </c>
      <c r="D39">
        <v>0</v>
      </c>
      <c r="E39">
        <v>1</v>
      </c>
      <c r="F39">
        <v>27</v>
      </c>
      <c r="G39">
        <v>3</v>
      </c>
      <c r="H39">
        <v>1</v>
      </c>
    </row>
    <row r="40" spans="1:8" x14ac:dyDescent="0.25">
      <c r="A40" t="s">
        <v>69</v>
      </c>
      <c r="B40">
        <f>SUM(B41:B43)+SUM(B35:B36)</f>
        <v>528</v>
      </c>
      <c r="C40">
        <f t="shared" ref="C40:H40" si="1">SUM(C41:C43)+SUM(C35:C36)</f>
        <v>17.84</v>
      </c>
      <c r="D40">
        <f t="shared" si="1"/>
        <v>7.04</v>
      </c>
      <c r="E40">
        <f>SUM(E41:E43)+SUM(E35:E36)</f>
        <v>47</v>
      </c>
      <c r="F40">
        <f>SUM(F41:F43)+SUM(F35:F36)</f>
        <v>57</v>
      </c>
      <c r="G40">
        <f t="shared" si="1"/>
        <v>22</v>
      </c>
      <c r="H40">
        <f t="shared" si="1"/>
        <v>1025.03</v>
      </c>
    </row>
    <row r="41" spans="1:8" x14ac:dyDescent="0.25">
      <c r="A41" t="s">
        <v>70</v>
      </c>
      <c r="B41">
        <v>180</v>
      </c>
      <c r="C41">
        <v>3.5</v>
      </c>
      <c r="D41">
        <v>0</v>
      </c>
      <c r="E41">
        <v>24</v>
      </c>
      <c r="F41">
        <v>20</v>
      </c>
      <c r="G41">
        <v>13</v>
      </c>
      <c r="H41">
        <v>0</v>
      </c>
    </row>
    <row r="42" spans="1:8" x14ac:dyDescent="0.25">
      <c r="A42" t="s">
        <v>71</v>
      </c>
      <c r="B42">
        <v>220</v>
      </c>
      <c r="C42">
        <v>13</v>
      </c>
      <c r="D42">
        <v>7</v>
      </c>
      <c r="E42">
        <v>17</v>
      </c>
      <c r="F42">
        <v>12</v>
      </c>
      <c r="G42">
        <v>3</v>
      </c>
      <c r="H42">
        <v>570</v>
      </c>
    </row>
    <row r="43" spans="1:8" x14ac:dyDescent="0.25">
      <c r="A43" t="s">
        <v>72</v>
      </c>
      <c r="B43">
        <v>60</v>
      </c>
      <c r="C43">
        <v>1</v>
      </c>
      <c r="D43">
        <v>0</v>
      </c>
      <c r="E43">
        <v>2</v>
      </c>
      <c r="F43">
        <v>12</v>
      </c>
      <c r="G43">
        <v>2</v>
      </c>
      <c r="H43">
        <v>420</v>
      </c>
    </row>
    <row r="44" spans="1:8" x14ac:dyDescent="0.25">
      <c r="A44" t="s">
        <v>74</v>
      </c>
      <c r="B44">
        <v>104</v>
      </c>
      <c r="C44">
        <v>0</v>
      </c>
      <c r="D44">
        <v>0</v>
      </c>
      <c r="E44">
        <v>1</v>
      </c>
      <c r="F44">
        <v>27</v>
      </c>
      <c r="G44">
        <v>1</v>
      </c>
      <c r="H44">
        <v>3</v>
      </c>
    </row>
    <row r="45" spans="1:8" x14ac:dyDescent="0.25">
      <c r="A45" t="s">
        <v>75</v>
      </c>
      <c r="B45">
        <v>90</v>
      </c>
      <c r="C45">
        <v>3.5</v>
      </c>
      <c r="D45">
        <v>1</v>
      </c>
      <c r="E45">
        <v>3</v>
      </c>
      <c r="F45">
        <v>12</v>
      </c>
      <c r="G45">
        <v>3</v>
      </c>
      <c r="H45">
        <v>460</v>
      </c>
    </row>
    <row r="46" spans="1:8" x14ac:dyDescent="0.25">
      <c r="A46" t="s">
        <v>115</v>
      </c>
      <c r="B46">
        <v>20</v>
      </c>
      <c r="C46">
        <v>1.5</v>
      </c>
      <c r="D46">
        <v>1</v>
      </c>
      <c r="E46">
        <v>2</v>
      </c>
      <c r="F46">
        <v>0</v>
      </c>
      <c r="G46">
        <v>0</v>
      </c>
      <c r="H46">
        <v>100</v>
      </c>
    </row>
    <row r="47" spans="1:8" x14ac:dyDescent="0.25">
      <c r="A47" t="s">
        <v>76</v>
      </c>
      <c r="B47">
        <v>120</v>
      </c>
      <c r="C47">
        <v>14</v>
      </c>
      <c r="D47">
        <v>2</v>
      </c>
      <c r="E47">
        <v>0</v>
      </c>
      <c r="F47">
        <v>0</v>
      </c>
      <c r="G47">
        <v>0</v>
      </c>
      <c r="H47">
        <v>0</v>
      </c>
    </row>
    <row r="48" spans="1:8" x14ac:dyDescent="0.25">
      <c r="A48" t="s">
        <v>77</v>
      </c>
      <c r="B48">
        <v>190</v>
      </c>
      <c r="C48">
        <v>0</v>
      </c>
      <c r="D48">
        <v>0</v>
      </c>
      <c r="E48">
        <v>6</v>
      </c>
      <c r="F48">
        <v>41</v>
      </c>
      <c r="G48">
        <v>7</v>
      </c>
      <c r="H48">
        <v>1450</v>
      </c>
    </row>
    <row r="49" spans="1:8" x14ac:dyDescent="0.25">
      <c r="A49" t="s">
        <v>78</v>
      </c>
      <c r="B49">
        <v>107</v>
      </c>
      <c r="C49">
        <v>0</v>
      </c>
      <c r="D49">
        <v>0</v>
      </c>
      <c r="E49">
        <v>1</v>
      </c>
      <c r="F49">
        <v>28</v>
      </c>
      <c r="G49">
        <v>3</v>
      </c>
      <c r="H49">
        <v>3</v>
      </c>
    </row>
    <row r="50" spans="1:8" x14ac:dyDescent="0.25">
      <c r="A50" t="s">
        <v>79</v>
      </c>
      <c r="B50">
        <v>140</v>
      </c>
      <c r="C50">
        <v>7</v>
      </c>
      <c r="D50">
        <v>5</v>
      </c>
      <c r="E50">
        <v>2</v>
      </c>
      <c r="F50">
        <v>18</v>
      </c>
      <c r="G50">
        <v>2</v>
      </c>
      <c r="H50">
        <v>90</v>
      </c>
    </row>
    <row r="51" spans="1:8" x14ac:dyDescent="0.25">
      <c r="A51" t="s">
        <v>80</v>
      </c>
      <c r="B51">
        <v>200</v>
      </c>
      <c r="C51">
        <v>9</v>
      </c>
      <c r="D51">
        <v>9</v>
      </c>
      <c r="E51">
        <v>12</v>
      </c>
      <c r="F51">
        <v>1</v>
      </c>
      <c r="G51">
        <v>0</v>
      </c>
      <c r="H51">
        <v>340</v>
      </c>
    </row>
    <row r="52" spans="1:8" x14ac:dyDescent="0.25">
      <c r="A52" t="s">
        <v>81</v>
      </c>
      <c r="B52">
        <v>340</v>
      </c>
      <c r="C52">
        <v>5</v>
      </c>
      <c r="D52">
        <v>0</v>
      </c>
      <c r="E52">
        <v>17</v>
      </c>
      <c r="F52">
        <v>57</v>
      </c>
      <c r="G52">
        <v>16</v>
      </c>
      <c r="H52">
        <v>1670</v>
      </c>
    </row>
    <row r="53" spans="1:8" x14ac:dyDescent="0.25">
      <c r="A53" t="s">
        <v>82</v>
      </c>
      <c r="B53">
        <v>150</v>
      </c>
      <c r="C53">
        <v>1</v>
      </c>
      <c r="D53">
        <v>0</v>
      </c>
      <c r="E53">
        <v>3</v>
      </c>
      <c r="F53">
        <v>33</v>
      </c>
      <c r="G53">
        <v>2</v>
      </c>
      <c r="H53">
        <v>280</v>
      </c>
    </row>
    <row r="54" spans="1:8" x14ac:dyDescent="0.25">
      <c r="A54" t="s">
        <v>91</v>
      </c>
      <c r="B54">
        <v>100</v>
      </c>
      <c r="C54">
        <v>1</v>
      </c>
      <c r="D54">
        <v>0</v>
      </c>
      <c r="E54">
        <v>2</v>
      </c>
      <c r="F54">
        <v>21</v>
      </c>
      <c r="G54">
        <v>2</v>
      </c>
      <c r="H54">
        <v>20</v>
      </c>
    </row>
    <row r="55" spans="1:8" x14ac:dyDescent="0.25">
      <c r="A55" t="s">
        <v>107</v>
      </c>
      <c r="B55">
        <v>200</v>
      </c>
      <c r="C55">
        <v>13</v>
      </c>
      <c r="D55">
        <v>12</v>
      </c>
      <c r="E55">
        <v>2</v>
      </c>
      <c r="F55">
        <v>22</v>
      </c>
      <c r="G55">
        <v>2</v>
      </c>
      <c r="H55">
        <v>20</v>
      </c>
    </row>
    <row r="56" spans="1:8" x14ac:dyDescent="0.25">
      <c r="A56" t="s">
        <v>109</v>
      </c>
      <c r="B56">
        <v>160</v>
      </c>
      <c r="C56">
        <v>7</v>
      </c>
      <c r="D56">
        <v>2</v>
      </c>
      <c r="E56">
        <v>2</v>
      </c>
      <c r="F56">
        <v>21</v>
      </c>
      <c r="G56">
        <v>2</v>
      </c>
      <c r="H56">
        <v>0</v>
      </c>
    </row>
    <row r="57" spans="1:8" x14ac:dyDescent="0.25">
      <c r="A57" t="s">
        <v>110</v>
      </c>
      <c r="B57">
        <f>0.66*160</f>
        <v>105.60000000000001</v>
      </c>
      <c r="C57">
        <f>0.66*7</f>
        <v>4.62</v>
      </c>
      <c r="D57">
        <f>0.66*2</f>
        <v>1.32</v>
      </c>
      <c r="E57">
        <f>0.66*2</f>
        <v>1.32</v>
      </c>
      <c r="F57">
        <f>0.66*21</f>
        <v>13.860000000000001</v>
      </c>
      <c r="G57">
        <f>0.66*2</f>
        <v>1.32</v>
      </c>
      <c r="H57">
        <v>0</v>
      </c>
    </row>
    <row r="58" spans="1:8" x14ac:dyDescent="0.25">
      <c r="A58" t="s">
        <v>111</v>
      </c>
      <c r="B58">
        <v>330</v>
      </c>
      <c r="C58">
        <v>2.5</v>
      </c>
      <c r="D58">
        <v>0.5</v>
      </c>
      <c r="E58">
        <v>23</v>
      </c>
      <c r="F58">
        <v>61</v>
      </c>
      <c r="G58">
        <v>11</v>
      </c>
      <c r="H58">
        <v>0</v>
      </c>
    </row>
    <row r="59" spans="1:8" x14ac:dyDescent="0.25">
      <c r="A59" t="s">
        <v>112</v>
      </c>
      <c r="B59">
        <v>90</v>
      </c>
      <c r="C59">
        <v>2</v>
      </c>
      <c r="D59">
        <v>2</v>
      </c>
      <c r="E59">
        <v>3</v>
      </c>
      <c r="F59">
        <v>18</v>
      </c>
      <c r="G59">
        <v>4</v>
      </c>
      <c r="H59">
        <v>500</v>
      </c>
    </row>
    <row r="60" spans="1:8" x14ac:dyDescent="0.25">
      <c r="A60" t="s">
        <v>120</v>
      </c>
      <c r="B60">
        <v>123</v>
      </c>
      <c r="C60">
        <v>0</v>
      </c>
      <c r="D60">
        <v>0</v>
      </c>
      <c r="E60">
        <v>0</v>
      </c>
      <c r="F60">
        <v>4</v>
      </c>
      <c r="G60">
        <v>0</v>
      </c>
      <c r="H60">
        <v>6</v>
      </c>
    </row>
    <row r="61" spans="1:8" x14ac:dyDescent="0.25">
      <c r="A61" t="s">
        <v>124</v>
      </c>
      <c r="B61">
        <f>123*5</f>
        <v>615</v>
      </c>
      <c r="C61">
        <v>0</v>
      </c>
      <c r="D61">
        <v>0</v>
      </c>
      <c r="E61">
        <v>0</v>
      </c>
      <c r="F61">
        <f>4*5</f>
        <v>20</v>
      </c>
      <c r="G61">
        <v>0</v>
      </c>
      <c r="H61">
        <f>6*5</f>
        <v>30</v>
      </c>
    </row>
    <row r="62" spans="1:8" x14ac:dyDescent="0.25">
      <c r="A62" t="s">
        <v>286</v>
      </c>
      <c r="B62">
        <v>5</v>
      </c>
      <c r="C62">
        <v>0</v>
      </c>
      <c r="D62">
        <v>0</v>
      </c>
      <c r="E62">
        <v>0</v>
      </c>
      <c r="F62">
        <v>1</v>
      </c>
      <c r="G62">
        <v>0</v>
      </c>
      <c r="H62">
        <v>0</v>
      </c>
    </row>
    <row r="63" spans="1:8" x14ac:dyDescent="0.25">
      <c r="A63" t="s">
        <v>122</v>
      </c>
      <c r="B63">
        <v>100</v>
      </c>
      <c r="C63">
        <v>0</v>
      </c>
      <c r="D63">
        <v>0</v>
      </c>
      <c r="E63">
        <v>0</v>
      </c>
      <c r="F63">
        <v>25</v>
      </c>
      <c r="G63">
        <v>2</v>
      </c>
      <c r="H63">
        <v>0</v>
      </c>
    </row>
    <row r="64" spans="1:8" x14ac:dyDescent="0.25">
      <c r="A64" t="s">
        <v>123</v>
      </c>
      <c r="B64">
        <v>200</v>
      </c>
      <c r="C64">
        <v>0</v>
      </c>
      <c r="D64">
        <v>0</v>
      </c>
      <c r="E64">
        <v>0</v>
      </c>
      <c r="F64">
        <v>50</v>
      </c>
      <c r="G64">
        <v>4</v>
      </c>
      <c r="H64">
        <v>0</v>
      </c>
    </row>
    <row r="65" spans="1:8" x14ac:dyDescent="0.25">
      <c r="A65" t="s">
        <v>134</v>
      </c>
      <c r="B65">
        <v>42</v>
      </c>
      <c r="C65">
        <v>0.4</v>
      </c>
      <c r="D65">
        <v>0</v>
      </c>
      <c r="E65">
        <v>1</v>
      </c>
      <c r="F65">
        <v>10</v>
      </c>
      <c r="G65">
        <v>2.2000000000000002</v>
      </c>
      <c r="H65">
        <v>412</v>
      </c>
    </row>
    <row r="66" spans="1:8" x14ac:dyDescent="0.25">
      <c r="A66" t="s">
        <v>135</v>
      </c>
      <c r="B66">
        <v>22.1</v>
      </c>
      <c r="C66">
        <v>0.2</v>
      </c>
      <c r="D66">
        <v>0</v>
      </c>
      <c r="E66">
        <v>1.1000000000000001</v>
      </c>
      <c r="F66">
        <v>4.8</v>
      </c>
      <c r="G66">
        <v>1.5</v>
      </c>
      <c r="H66">
        <v>6.2</v>
      </c>
    </row>
    <row r="67" spans="1:8" x14ac:dyDescent="0.25">
      <c r="A67" t="s">
        <v>136</v>
      </c>
      <c r="B67">
        <v>190</v>
      </c>
      <c r="C67">
        <v>18</v>
      </c>
      <c r="D67">
        <v>1.5</v>
      </c>
      <c r="E67">
        <v>4</v>
      </c>
      <c r="F67">
        <v>4</v>
      </c>
      <c r="G67">
        <v>2</v>
      </c>
      <c r="H67">
        <v>0</v>
      </c>
    </row>
    <row r="68" spans="1:8" x14ac:dyDescent="0.25">
      <c r="A68" t="s">
        <v>137</v>
      </c>
      <c r="B68">
        <v>100</v>
      </c>
      <c r="C68">
        <v>8</v>
      </c>
      <c r="D68">
        <v>5</v>
      </c>
      <c r="E68">
        <v>7</v>
      </c>
      <c r="F68">
        <v>0</v>
      </c>
      <c r="G68">
        <v>0</v>
      </c>
      <c r="H68">
        <v>170</v>
      </c>
    </row>
    <row r="69" spans="1:8" x14ac:dyDescent="0.25">
      <c r="A69" t="s">
        <v>152</v>
      </c>
      <c r="B69">
        <v>100</v>
      </c>
      <c r="C69">
        <v>8</v>
      </c>
      <c r="D69">
        <v>4.5</v>
      </c>
      <c r="E69">
        <v>5</v>
      </c>
      <c r="F69">
        <v>2</v>
      </c>
      <c r="G69">
        <v>0</v>
      </c>
      <c r="H69">
        <v>360</v>
      </c>
    </row>
    <row r="70" spans="1:8" x14ac:dyDescent="0.25">
      <c r="A70" t="s">
        <v>155</v>
      </c>
      <c r="B70">
        <v>240</v>
      </c>
      <c r="C70">
        <v>2</v>
      </c>
      <c r="D70">
        <v>0</v>
      </c>
      <c r="E70">
        <v>2</v>
      </c>
      <c r="F70">
        <v>54</v>
      </c>
      <c r="G70">
        <v>1</v>
      </c>
      <c r="H70">
        <v>490</v>
      </c>
    </row>
    <row r="71" spans="1:8" x14ac:dyDescent="0.25">
      <c r="A71" t="s">
        <v>156</v>
      </c>
      <c r="B71">
        <f>240*6</f>
        <v>1440</v>
      </c>
      <c r="C71">
        <v>12</v>
      </c>
      <c r="D71">
        <v>0</v>
      </c>
      <c r="E71">
        <v>12</v>
      </c>
      <c r="F71">
        <f>54*6</f>
        <v>324</v>
      </c>
      <c r="G71">
        <v>6</v>
      </c>
      <c r="H71">
        <f>490*6</f>
        <v>2940</v>
      </c>
    </row>
    <row r="72" spans="1:8" x14ac:dyDescent="0.25">
      <c r="A72" t="s">
        <v>158</v>
      </c>
      <c r="B72">
        <v>100</v>
      </c>
      <c r="C72">
        <v>8</v>
      </c>
      <c r="D72">
        <v>4.5</v>
      </c>
      <c r="E72">
        <v>5</v>
      </c>
      <c r="F72">
        <v>2</v>
      </c>
      <c r="G72">
        <v>1</v>
      </c>
      <c r="H72">
        <v>360</v>
      </c>
    </row>
    <row r="73" spans="1:8" x14ac:dyDescent="0.25">
      <c r="A73" t="s">
        <v>164</v>
      </c>
      <c r="B73">
        <v>130</v>
      </c>
      <c r="C73">
        <v>3</v>
      </c>
      <c r="D73">
        <v>0</v>
      </c>
      <c r="E73">
        <v>3</v>
      </c>
      <c r="F73">
        <v>23</v>
      </c>
      <c r="G73">
        <v>2</v>
      </c>
      <c r="H73">
        <v>620</v>
      </c>
    </row>
    <row r="74" spans="1:8" x14ac:dyDescent="0.25">
      <c r="A74" t="s">
        <v>170</v>
      </c>
      <c r="B74">
        <v>60</v>
      </c>
      <c r="C74">
        <v>4</v>
      </c>
      <c r="D74">
        <v>2.5</v>
      </c>
      <c r="E74">
        <v>5</v>
      </c>
      <c r="F74">
        <v>1</v>
      </c>
      <c r="G74">
        <v>0</v>
      </c>
      <c r="H74">
        <v>140</v>
      </c>
    </row>
    <row r="75" spans="1:8" x14ac:dyDescent="0.25">
      <c r="A75" t="s">
        <v>169</v>
      </c>
      <c r="B75">
        <v>80</v>
      </c>
      <c r="C75">
        <v>6</v>
      </c>
      <c r="D75">
        <v>4</v>
      </c>
      <c r="E75">
        <v>5</v>
      </c>
      <c r="F75">
        <v>0</v>
      </c>
      <c r="G75">
        <v>0</v>
      </c>
      <c r="H75">
        <v>130</v>
      </c>
    </row>
    <row r="76" spans="1:8" x14ac:dyDescent="0.25">
      <c r="A76" t="s">
        <v>173</v>
      </c>
      <c r="B76">
        <v>330</v>
      </c>
      <c r="C76">
        <v>2.5</v>
      </c>
      <c r="D76">
        <v>0.5</v>
      </c>
      <c r="E76">
        <v>23</v>
      </c>
      <c r="F76">
        <v>61</v>
      </c>
      <c r="G76">
        <v>11</v>
      </c>
      <c r="H76">
        <v>0</v>
      </c>
    </row>
    <row r="77" spans="1:8" x14ac:dyDescent="0.25">
      <c r="A77" t="s">
        <v>174</v>
      </c>
      <c r="B77">
        <v>8</v>
      </c>
      <c r="C77">
        <v>0</v>
      </c>
      <c r="D77">
        <v>0</v>
      </c>
      <c r="E77">
        <v>0.77</v>
      </c>
      <c r="F77">
        <v>1.1000000000000001</v>
      </c>
      <c r="G77">
        <v>0.5</v>
      </c>
      <c r="H77">
        <v>8</v>
      </c>
    </row>
    <row r="78" spans="1:8" x14ac:dyDescent="0.25">
      <c r="A78" t="s">
        <v>179</v>
      </c>
      <c r="B78">
        <f>SUM(B65*2,B47*4,B37,B36,B67*4)/4</f>
        <v>350.25</v>
      </c>
      <c r="C78">
        <f t="shared" ref="C78:H78" si="2">SUM(C65*2,C47*4,C37,C36,C67*4)/4</f>
        <v>32.200000000000003</v>
      </c>
      <c r="D78">
        <f t="shared" si="2"/>
        <v>3.5</v>
      </c>
      <c r="E78">
        <f t="shared" si="2"/>
        <v>5</v>
      </c>
      <c r="F78">
        <f t="shared" si="2"/>
        <v>13.25</v>
      </c>
      <c r="G78">
        <f t="shared" si="2"/>
        <v>4.3499999999999996</v>
      </c>
      <c r="H78">
        <f t="shared" si="2"/>
        <v>207.25</v>
      </c>
    </row>
    <row r="79" spans="1:8" x14ac:dyDescent="0.25">
      <c r="A79" t="s">
        <v>180</v>
      </c>
      <c r="B79">
        <f>SUM(B34,B59*3)/4</f>
        <v>132.5</v>
      </c>
      <c r="C79">
        <f t="shared" ref="C79:H79" si="3">SUM(C34,C59*3)/4</f>
        <v>6</v>
      </c>
      <c r="D79">
        <f t="shared" si="3"/>
        <v>2.75</v>
      </c>
      <c r="E79">
        <f t="shared" si="3"/>
        <v>7.25</v>
      </c>
      <c r="F79">
        <f t="shared" si="3"/>
        <v>14.75</v>
      </c>
      <c r="G79">
        <f t="shared" si="3"/>
        <v>3.5</v>
      </c>
      <c r="H79">
        <f t="shared" si="3"/>
        <v>462.5</v>
      </c>
    </row>
    <row r="80" spans="1:8" x14ac:dyDescent="0.25">
      <c r="A80" t="s">
        <v>182</v>
      </c>
      <c r="B80">
        <v>118</v>
      </c>
      <c r="C80">
        <v>0</v>
      </c>
      <c r="D80">
        <v>0</v>
      </c>
      <c r="E80">
        <v>2</v>
      </c>
      <c r="F80">
        <v>28</v>
      </c>
      <c r="G80">
        <v>4</v>
      </c>
      <c r="H80">
        <v>9</v>
      </c>
    </row>
    <row r="81" spans="1:8" x14ac:dyDescent="0.25">
      <c r="A81" t="s">
        <v>192</v>
      </c>
      <c r="B81">
        <v>100</v>
      </c>
      <c r="C81">
        <v>1</v>
      </c>
      <c r="D81">
        <v>0</v>
      </c>
      <c r="E81">
        <v>2</v>
      </c>
      <c r="F81">
        <v>21</v>
      </c>
      <c r="G81">
        <v>2</v>
      </c>
      <c r="H81">
        <v>60</v>
      </c>
    </row>
    <row r="82" spans="1:8" x14ac:dyDescent="0.25">
      <c r="A82" t="s">
        <v>193</v>
      </c>
      <c r="B82">
        <v>60</v>
      </c>
      <c r="C82">
        <v>5</v>
      </c>
      <c r="D82">
        <v>3.5</v>
      </c>
      <c r="E82">
        <v>1</v>
      </c>
      <c r="F82">
        <v>0</v>
      </c>
      <c r="G82">
        <v>1</v>
      </c>
      <c r="H82">
        <v>15</v>
      </c>
    </row>
    <row r="83" spans="1:8" x14ac:dyDescent="0.25">
      <c r="A83" t="s">
        <v>256</v>
      </c>
      <c r="B83">
        <v>36</v>
      </c>
      <c r="C83">
        <v>0</v>
      </c>
      <c r="D83">
        <v>0</v>
      </c>
      <c r="E83">
        <v>1</v>
      </c>
      <c r="F83">
        <v>7</v>
      </c>
      <c r="G83">
        <v>1</v>
      </c>
      <c r="H83">
        <v>18</v>
      </c>
    </row>
    <row r="84" spans="1:8" x14ac:dyDescent="0.25">
      <c r="A84" t="s">
        <v>261</v>
      </c>
      <c r="B84">
        <v>40</v>
      </c>
      <c r="C84">
        <v>3</v>
      </c>
      <c r="D84">
        <v>0</v>
      </c>
      <c r="E84">
        <v>1</v>
      </c>
      <c r="F84">
        <v>2</v>
      </c>
      <c r="G84">
        <v>1</v>
      </c>
      <c r="H84">
        <v>180</v>
      </c>
    </row>
    <row r="85" spans="1:8" x14ac:dyDescent="0.25">
      <c r="A85" t="s">
        <v>262</v>
      </c>
      <c r="B85">
        <v>200</v>
      </c>
      <c r="C85">
        <v>20</v>
      </c>
      <c r="D85">
        <v>2</v>
      </c>
      <c r="E85">
        <v>5</v>
      </c>
      <c r="F85">
        <v>4</v>
      </c>
      <c r="G85">
        <v>2</v>
      </c>
      <c r="H85">
        <v>0</v>
      </c>
    </row>
    <row r="86" spans="1:8" x14ac:dyDescent="0.25">
      <c r="A86" t="s">
        <v>263</v>
      </c>
      <c r="B86">
        <v>10</v>
      </c>
      <c r="C86">
        <v>0.5</v>
      </c>
      <c r="D86">
        <v>0</v>
      </c>
      <c r="E86">
        <v>1</v>
      </c>
      <c r="F86">
        <v>3</v>
      </c>
      <c r="G86">
        <v>1</v>
      </c>
      <c r="H86">
        <v>0</v>
      </c>
    </row>
    <row r="87" spans="1:8" x14ac:dyDescent="0.25">
      <c r="A87" s="16" t="s">
        <v>269</v>
      </c>
      <c r="B87">
        <f>SUM(B88:B93)</f>
        <v>788</v>
      </c>
      <c r="C87">
        <f t="shared" ref="C87:H87" si="4">SUM(C88:C93)</f>
        <v>24.34</v>
      </c>
      <c r="D87">
        <f t="shared" si="4"/>
        <v>6.54</v>
      </c>
      <c r="E87">
        <f t="shared" si="4"/>
        <v>51</v>
      </c>
      <c r="F87">
        <f t="shared" si="4"/>
        <v>101</v>
      </c>
      <c r="G87">
        <f t="shared" si="4"/>
        <v>23</v>
      </c>
      <c r="H87">
        <f t="shared" si="4"/>
        <v>845.03</v>
      </c>
    </row>
    <row r="88" spans="1:8" x14ac:dyDescent="0.25">
      <c r="A88" s="16" t="s">
        <v>268</v>
      </c>
      <c r="B88">
        <v>330</v>
      </c>
      <c r="C88">
        <v>2.5</v>
      </c>
      <c r="D88">
        <v>0.5</v>
      </c>
      <c r="E88">
        <v>23</v>
      </c>
      <c r="F88">
        <v>61</v>
      </c>
      <c r="G88">
        <v>11</v>
      </c>
      <c r="H88">
        <v>0</v>
      </c>
    </row>
    <row r="89" spans="1:8" x14ac:dyDescent="0.25">
      <c r="A89" s="16" t="s">
        <v>66</v>
      </c>
      <c r="B89">
        <v>31</v>
      </c>
      <c r="C89">
        <v>0.34</v>
      </c>
      <c r="D89">
        <v>0.04</v>
      </c>
      <c r="E89">
        <v>3</v>
      </c>
      <c r="F89">
        <v>6</v>
      </c>
      <c r="G89">
        <v>2</v>
      </c>
      <c r="H89">
        <v>30.03</v>
      </c>
    </row>
    <row r="90" spans="1:8" x14ac:dyDescent="0.25">
      <c r="A90" s="16" t="s">
        <v>67</v>
      </c>
      <c r="B90">
        <v>37</v>
      </c>
      <c r="C90">
        <v>0</v>
      </c>
      <c r="D90">
        <v>0</v>
      </c>
      <c r="E90">
        <v>1</v>
      </c>
      <c r="F90">
        <v>7</v>
      </c>
      <c r="G90">
        <v>2</v>
      </c>
      <c r="H90">
        <v>5</v>
      </c>
    </row>
    <row r="91" spans="1:8" x14ac:dyDescent="0.25">
      <c r="A91" s="16" t="s">
        <v>116</v>
      </c>
      <c r="B91">
        <v>40</v>
      </c>
      <c r="C91">
        <v>0</v>
      </c>
      <c r="D91">
        <v>0</v>
      </c>
      <c r="E91">
        <v>1</v>
      </c>
      <c r="F91">
        <v>10</v>
      </c>
      <c r="G91">
        <v>3</v>
      </c>
      <c r="H91">
        <v>0</v>
      </c>
    </row>
    <row r="92" spans="1:8" x14ac:dyDescent="0.25">
      <c r="A92" s="16" t="s">
        <v>181</v>
      </c>
      <c r="B92">
        <v>260</v>
      </c>
      <c r="C92">
        <v>18</v>
      </c>
      <c r="D92">
        <v>5</v>
      </c>
      <c r="E92">
        <v>20</v>
      </c>
      <c r="F92">
        <v>5</v>
      </c>
      <c r="G92">
        <v>2</v>
      </c>
      <c r="H92">
        <v>350</v>
      </c>
    </row>
    <row r="93" spans="1:8" x14ac:dyDescent="0.25">
      <c r="A93" s="16" t="s">
        <v>270</v>
      </c>
      <c r="B93">
        <v>90</v>
      </c>
      <c r="C93">
        <v>3.5</v>
      </c>
      <c r="D93">
        <v>1</v>
      </c>
      <c r="E93">
        <v>3</v>
      </c>
      <c r="F93">
        <v>12</v>
      </c>
      <c r="G93">
        <v>3</v>
      </c>
      <c r="H93">
        <v>460</v>
      </c>
    </row>
    <row r="94" spans="1:8" x14ac:dyDescent="0.25">
      <c r="A94" s="16" t="s">
        <v>271</v>
      </c>
      <c r="B94">
        <v>60</v>
      </c>
      <c r="C94">
        <v>0</v>
      </c>
      <c r="D94">
        <v>0</v>
      </c>
      <c r="E94">
        <v>0</v>
      </c>
      <c r="F94">
        <v>17</v>
      </c>
      <c r="G94">
        <v>0</v>
      </c>
      <c r="H94">
        <v>0</v>
      </c>
    </row>
    <row r="95" spans="1:8" x14ac:dyDescent="0.25">
      <c r="A95" s="16" t="s">
        <v>278</v>
      </c>
      <c r="B95">
        <v>70</v>
      </c>
      <c r="C95">
        <v>5</v>
      </c>
      <c r="D95">
        <v>3</v>
      </c>
      <c r="E95">
        <v>5</v>
      </c>
      <c r="F95">
        <v>0</v>
      </c>
      <c r="G95">
        <v>0</v>
      </c>
      <c r="H95">
        <v>170</v>
      </c>
    </row>
    <row r="96" spans="1:8" x14ac:dyDescent="0.25">
      <c r="A96" s="16" t="s">
        <v>281</v>
      </c>
      <c r="B96">
        <v>30</v>
      </c>
      <c r="C96">
        <v>0</v>
      </c>
      <c r="D96">
        <v>0</v>
      </c>
      <c r="E96">
        <v>2</v>
      </c>
      <c r="F96">
        <v>6</v>
      </c>
      <c r="G96">
        <v>2</v>
      </c>
      <c r="H96">
        <v>5</v>
      </c>
    </row>
    <row r="97" spans="1:8" x14ac:dyDescent="0.25">
      <c r="A97" s="16" t="s">
        <v>284</v>
      </c>
      <c r="B97">
        <f>SUM(B96*8,B37,B38,B34*4,B47,B59)</f>
        <v>1557</v>
      </c>
      <c r="C97">
        <f t="shared" ref="C97:H97" si="5">SUM(C96*8,C37,C38,C34*4,C47,C59)</f>
        <v>88</v>
      </c>
      <c r="D97">
        <f t="shared" si="5"/>
        <v>24</v>
      </c>
      <c r="E97">
        <f t="shared" si="5"/>
        <v>101</v>
      </c>
      <c r="F97">
        <f t="shared" si="5"/>
        <v>102</v>
      </c>
      <c r="G97">
        <f t="shared" si="5"/>
        <v>32</v>
      </c>
      <c r="H97">
        <f t="shared" si="5"/>
        <v>1942</v>
      </c>
    </row>
    <row r="98" spans="1:8" x14ac:dyDescent="0.25">
      <c r="A98" s="16" t="s">
        <v>288</v>
      </c>
      <c r="B98">
        <f>122*8/5</f>
        <v>195.2</v>
      </c>
      <c r="C98">
        <v>0</v>
      </c>
      <c r="D98">
        <v>0</v>
      </c>
      <c r="E98">
        <v>0</v>
      </c>
      <c r="F98">
        <f>4*8/5</f>
        <v>6.4</v>
      </c>
      <c r="G98">
        <v>0</v>
      </c>
      <c r="H98">
        <v>0</v>
      </c>
    </row>
    <row r="99" spans="1:8" x14ac:dyDescent="0.25">
      <c r="A99" s="16" t="s">
        <v>289</v>
      </c>
      <c r="B99">
        <f>122*12/5</f>
        <v>292.8</v>
      </c>
      <c r="C99">
        <v>0</v>
      </c>
      <c r="D99">
        <v>0</v>
      </c>
      <c r="E99">
        <v>0</v>
      </c>
      <c r="F99">
        <f>4*12/5</f>
        <v>9.6</v>
      </c>
      <c r="G99">
        <v>0</v>
      </c>
      <c r="H99">
        <v>0</v>
      </c>
    </row>
    <row r="100" spans="1:8" x14ac:dyDescent="0.25">
      <c r="A100" s="16" t="s">
        <v>290</v>
      </c>
      <c r="B100">
        <v>110</v>
      </c>
      <c r="C100">
        <v>0.5</v>
      </c>
      <c r="D100">
        <v>0</v>
      </c>
      <c r="E100">
        <v>2</v>
      </c>
      <c r="F100">
        <v>25</v>
      </c>
      <c r="G100">
        <v>1</v>
      </c>
      <c r="H100">
        <v>310</v>
      </c>
    </row>
    <row r="101" spans="1:8" x14ac:dyDescent="0.25">
      <c r="A101" s="16" t="s">
        <v>291</v>
      </c>
      <c r="B101">
        <f>110*3</f>
        <v>330</v>
      </c>
      <c r="C101">
        <f>3*0.5</f>
        <v>1.5</v>
      </c>
      <c r="D101">
        <v>0</v>
      </c>
      <c r="E101">
        <f>3*2</f>
        <v>6</v>
      </c>
      <c r="F101">
        <f>3*25</f>
        <v>75</v>
      </c>
      <c r="G101">
        <f>3*1</f>
        <v>3</v>
      </c>
      <c r="H101">
        <f>3*310</f>
        <v>930</v>
      </c>
    </row>
    <row r="102" spans="1:8" x14ac:dyDescent="0.25">
      <c r="A102" s="16" t="s">
        <v>296</v>
      </c>
      <c r="B102">
        <f>290*5</f>
        <v>1450</v>
      </c>
      <c r="C102">
        <f>1.5*5</f>
        <v>7.5</v>
      </c>
      <c r="D102">
        <f>0*5</f>
        <v>0</v>
      </c>
      <c r="E102">
        <f>21*5</f>
        <v>105</v>
      </c>
      <c r="F102">
        <f>50*5</f>
        <v>250</v>
      </c>
      <c r="G102">
        <f>5*5</f>
        <v>25</v>
      </c>
      <c r="H102">
        <f>0*5</f>
        <v>0</v>
      </c>
    </row>
    <row r="103" spans="1:8" x14ac:dyDescent="0.25">
      <c r="A103" s="16" t="s">
        <v>297</v>
      </c>
      <c r="B103">
        <f>70*5</f>
        <v>350</v>
      </c>
      <c r="C103">
        <f>1.5*5</f>
        <v>7.5</v>
      </c>
      <c r="D103">
        <f>0*5</f>
        <v>0</v>
      </c>
      <c r="E103">
        <f>3*5</f>
        <v>15</v>
      </c>
      <c r="F103">
        <f>10*5</f>
        <v>50</v>
      </c>
      <c r="G103">
        <f>1*5</f>
        <v>5</v>
      </c>
      <c r="H103">
        <f>360*5</f>
        <v>1800</v>
      </c>
    </row>
    <row r="104" spans="1:8" x14ac:dyDescent="0.25">
      <c r="A104" s="16" t="s">
        <v>298</v>
      </c>
      <c r="B104">
        <f>SUM(B102,B103,B96*3)</f>
        <v>1890</v>
      </c>
      <c r="C104">
        <f t="shared" ref="C104:G104" si="6">SUM(C102,C103,C96*3)</f>
        <v>15</v>
      </c>
      <c r="D104">
        <f t="shared" si="6"/>
        <v>0</v>
      </c>
      <c r="E104">
        <f t="shared" si="6"/>
        <v>126</v>
      </c>
      <c r="F104">
        <f t="shared" si="6"/>
        <v>318</v>
      </c>
      <c r="G104">
        <f t="shared" si="6"/>
        <v>36</v>
      </c>
      <c r="H104">
        <f>SUM(H102,H103,H96*3)</f>
        <v>1815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2021-02-19T01:35:17Z</dcterms:modified>
</cp:coreProperties>
</file>