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801"/>
  <workbookPr/>
  <mc:AlternateContent xmlns:mc="http://schemas.openxmlformats.org/markup-compatibility/2006">
    <mc:Choice Requires="x15">
      <x15ac:absPath xmlns:x15ac="http://schemas.microsoft.com/office/spreadsheetml/2010/11/ac" url="C:\Users\m\Desktop\workout lipocavitation diet\research 3\"/>
    </mc:Choice>
  </mc:AlternateContent>
  <xr:revisionPtr revIDLastSave="0" documentId="13_ncr:1_{AEAA0530-E880-4E2A-9B4C-5A3455ABAA79}" xr6:coauthVersionLast="46" xr6:coauthVersionMax="46" xr10:uidLastSave="{00000000-0000-0000-0000-000000000000}"/>
  <bookViews>
    <workbookView xWindow="-120" yWindow="-120" windowWidth="20730" windowHeight="11160" xr2:uid="{00000000-000D-0000-FFFF-FFFF00000000}"/>
  </bookViews>
  <sheets>
    <sheet name="researchMeasures" sheetId="1" r:id="rId1"/>
    <sheet name="dataDictionary" sheetId="5" r:id="rId2"/>
    <sheet name="NutritionalData" sheetId="4"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67" i="1" l="1"/>
  <c r="M67" i="1"/>
  <c r="AI66" i="1"/>
  <c r="AJ66" i="1"/>
  <c r="AK66" i="1"/>
  <c r="AL66" i="1"/>
  <c r="AM66" i="1"/>
  <c r="AN66" i="1"/>
  <c r="AH66" i="1"/>
  <c r="AG66" i="1"/>
  <c r="AF66" i="1"/>
  <c r="AE66" i="1"/>
  <c r="AD66" i="1"/>
  <c r="AC66" i="1"/>
  <c r="AB66" i="1"/>
  <c r="C173" i="4"/>
  <c r="D173" i="4"/>
  <c r="E173" i="4"/>
  <c r="F173" i="4"/>
  <c r="G173" i="4"/>
  <c r="H173" i="4"/>
  <c r="B173" i="4"/>
  <c r="C169" i="4"/>
  <c r="D169" i="4"/>
  <c r="E169" i="4"/>
  <c r="F169" i="4"/>
  <c r="G169" i="4"/>
  <c r="H169" i="4"/>
  <c r="B169" i="4"/>
  <c r="C167" i="4"/>
  <c r="D167" i="4"/>
  <c r="E167" i="4"/>
  <c r="F167" i="4"/>
  <c r="G167" i="4"/>
  <c r="H167" i="4"/>
  <c r="B167" i="4"/>
  <c r="C165" i="4"/>
  <c r="D165" i="4"/>
  <c r="E165" i="4"/>
  <c r="F165" i="4"/>
  <c r="G165" i="4"/>
  <c r="H165" i="4"/>
  <c r="B165" i="4"/>
  <c r="L66" i="1"/>
  <c r="M66" i="1"/>
  <c r="AH65" i="1"/>
  <c r="AG65" i="1"/>
  <c r="AF65" i="1"/>
  <c r="AE65" i="1"/>
  <c r="AD65" i="1"/>
  <c r="AC65" i="1"/>
  <c r="AB65" i="1"/>
  <c r="AI65" i="1" l="1"/>
  <c r="AJ65" i="1"/>
  <c r="AK65" i="1"/>
  <c r="AL65" i="1"/>
  <c r="AM65" i="1"/>
  <c r="AN65" i="1"/>
  <c r="L65" i="1"/>
  <c r="M65" i="1"/>
  <c r="AI64" i="1"/>
  <c r="AJ64" i="1"/>
  <c r="AK64" i="1"/>
  <c r="AL64" i="1"/>
  <c r="AM64" i="1"/>
  <c r="AN64" i="1"/>
  <c r="AH64" i="1"/>
  <c r="AG64" i="1"/>
  <c r="AF64" i="1"/>
  <c r="AE64" i="1"/>
  <c r="AD64" i="1"/>
  <c r="AC64" i="1"/>
  <c r="AB64" i="1"/>
  <c r="C158" i="4"/>
  <c r="D158" i="4"/>
  <c r="E158" i="4"/>
  <c r="F158" i="4"/>
  <c r="G158" i="4"/>
  <c r="H158" i="4"/>
  <c r="B158" i="4"/>
  <c r="H157" i="4"/>
  <c r="C157" i="4"/>
  <c r="D157" i="4"/>
  <c r="E157" i="4"/>
  <c r="F157" i="4"/>
  <c r="G157" i="4"/>
  <c r="B157" i="4"/>
  <c r="L64" i="1"/>
  <c r="M64" i="1"/>
  <c r="AI63" i="1"/>
  <c r="AJ63" i="1"/>
  <c r="AK63" i="1"/>
  <c r="AL63" i="1"/>
  <c r="AM63" i="1"/>
  <c r="AN63" i="1"/>
  <c r="AH63" i="1"/>
  <c r="AG63" i="1"/>
  <c r="AF63" i="1"/>
  <c r="AE63" i="1"/>
  <c r="AD63" i="1"/>
  <c r="AC63" i="1"/>
  <c r="AB63" i="1"/>
  <c r="L63" i="1"/>
  <c r="M63" i="1"/>
  <c r="AI62" i="1"/>
  <c r="AJ62" i="1"/>
  <c r="AK62" i="1"/>
  <c r="AL62" i="1"/>
  <c r="AM62" i="1"/>
  <c r="AN62" i="1"/>
  <c r="AH62" i="1"/>
  <c r="AG62" i="1"/>
  <c r="AF62" i="1"/>
  <c r="AE62" i="1"/>
  <c r="AD62" i="1"/>
  <c r="AC62" i="1"/>
  <c r="AB62" i="1"/>
  <c r="L62" i="1"/>
  <c r="M62" i="1"/>
  <c r="AH61" i="1"/>
  <c r="AG61" i="1"/>
  <c r="AF61" i="1"/>
  <c r="AE61" i="1"/>
  <c r="AD61" i="1"/>
  <c r="AC61" i="1"/>
  <c r="AB61" i="1"/>
  <c r="AI61" i="1" s="1"/>
  <c r="AJ61" i="1"/>
  <c r="AL61" i="1"/>
  <c r="AN61" i="1"/>
  <c r="L61" i="1"/>
  <c r="M61" i="1"/>
  <c r="AH60" i="1"/>
  <c r="AG60" i="1"/>
  <c r="AF60" i="1"/>
  <c r="AE60" i="1"/>
  <c r="AD60" i="1"/>
  <c r="AC60" i="1"/>
  <c r="AB60" i="1"/>
  <c r="AI60" i="1"/>
  <c r="AJ60" i="1"/>
  <c r="AK60" i="1"/>
  <c r="AL60" i="1"/>
  <c r="AM60" i="1"/>
  <c r="AN60" i="1"/>
  <c r="L60" i="1"/>
  <c r="M60" i="1"/>
  <c r="AI59" i="1"/>
  <c r="AJ59" i="1"/>
  <c r="AK59" i="1"/>
  <c r="AL59" i="1"/>
  <c r="AM59" i="1"/>
  <c r="AN59" i="1"/>
  <c r="AG59" i="1"/>
  <c r="AH59" i="1"/>
  <c r="AF59" i="1"/>
  <c r="AE59" i="1"/>
  <c r="AD59" i="1"/>
  <c r="AC59" i="1"/>
  <c r="AB59" i="1"/>
  <c r="L59" i="1"/>
  <c r="M59" i="1"/>
  <c r="AH58" i="1"/>
  <c r="AG58" i="1"/>
  <c r="AF58" i="1"/>
  <c r="AE58" i="1"/>
  <c r="AD58" i="1"/>
  <c r="AC58" i="1"/>
  <c r="AB58" i="1"/>
  <c r="AI58" i="1" s="1"/>
  <c r="AJ58" i="1"/>
  <c r="AL58" i="1"/>
  <c r="AN58" i="1"/>
  <c r="L58" i="1"/>
  <c r="M58" i="1"/>
  <c r="AH57" i="1"/>
  <c r="AG57" i="1"/>
  <c r="AF57" i="1"/>
  <c r="AE57" i="1"/>
  <c r="AD57" i="1"/>
  <c r="AC57" i="1"/>
  <c r="AB57" i="1"/>
  <c r="AJ57" i="1" s="1"/>
  <c r="C150" i="4"/>
  <c r="D150" i="4"/>
  <c r="E150" i="4"/>
  <c r="F150" i="4"/>
  <c r="G150" i="4"/>
  <c r="H150" i="4"/>
  <c r="B150" i="4"/>
  <c r="C148" i="4"/>
  <c r="D148" i="4"/>
  <c r="E148" i="4"/>
  <c r="F148" i="4"/>
  <c r="G148" i="4"/>
  <c r="H148" i="4"/>
  <c r="B148" i="4"/>
  <c r="AI57" i="1"/>
  <c r="AK57" i="1"/>
  <c r="AM57" i="1"/>
  <c r="AM61" i="1" l="1"/>
  <c r="AK61" i="1"/>
  <c r="AM58" i="1"/>
  <c r="AK58" i="1"/>
  <c r="AN57" i="1"/>
  <c r="AL57" i="1"/>
  <c r="L57" i="1"/>
  <c r="M57" i="1"/>
  <c r="AH56" i="1"/>
  <c r="AG56" i="1"/>
  <c r="AF56" i="1"/>
  <c r="AE56" i="1"/>
  <c r="AD56" i="1"/>
  <c r="AC56" i="1"/>
  <c r="AB56" i="1"/>
  <c r="AI56" i="1" s="1"/>
  <c r="AJ56" i="1"/>
  <c r="AL56" i="1"/>
  <c r="AN56" i="1"/>
  <c r="L56" i="1"/>
  <c r="M56" i="1"/>
  <c r="AI55" i="1"/>
  <c r="AJ55" i="1"/>
  <c r="AK55" i="1"/>
  <c r="AL55" i="1"/>
  <c r="AM55" i="1"/>
  <c r="AN55" i="1"/>
  <c r="AH55" i="1"/>
  <c r="AG55" i="1"/>
  <c r="AF55" i="1"/>
  <c r="AE55" i="1"/>
  <c r="AD55" i="1"/>
  <c r="AC55" i="1"/>
  <c r="AB55" i="1"/>
  <c r="AM56" i="1" l="1"/>
  <c r="AK56" i="1"/>
  <c r="L55" i="1"/>
  <c r="M55" i="1"/>
  <c r="BG43" i="1"/>
  <c r="BG54" i="1"/>
  <c r="AH54" i="1"/>
  <c r="AG54" i="1"/>
  <c r="AF54" i="1"/>
  <c r="AE54" i="1"/>
  <c r="AD54" i="1"/>
  <c r="AC54" i="1"/>
  <c r="AB54" i="1"/>
  <c r="C143" i="4"/>
  <c r="D143" i="4"/>
  <c r="E143" i="4"/>
  <c r="F143" i="4"/>
  <c r="G143" i="4"/>
  <c r="H143" i="4"/>
  <c r="B143" i="4"/>
  <c r="AI54" i="1"/>
  <c r="AJ54" i="1"/>
  <c r="AL54" i="1"/>
  <c r="AN54" i="1"/>
  <c r="AH53" i="1"/>
  <c r="AG53" i="1"/>
  <c r="AF53" i="1"/>
  <c r="AE53" i="1"/>
  <c r="AD53" i="1"/>
  <c r="AC53" i="1"/>
  <c r="AB53" i="1"/>
  <c r="AI53" i="1" s="1"/>
  <c r="L54" i="1"/>
  <c r="M54" i="1"/>
  <c r="AJ53" i="1"/>
  <c r="AL53" i="1"/>
  <c r="AN53" i="1"/>
  <c r="L53" i="1"/>
  <c r="M53" i="1"/>
  <c r="AH52" i="1"/>
  <c r="AG52" i="1"/>
  <c r="AF52" i="1"/>
  <c r="AE52" i="1"/>
  <c r="AD52" i="1"/>
  <c r="AC52" i="1"/>
  <c r="AB52" i="1"/>
  <c r="AI52" i="1"/>
  <c r="AJ52" i="1"/>
  <c r="AK52" i="1"/>
  <c r="AL52" i="1"/>
  <c r="AM52" i="1"/>
  <c r="AN52" i="1"/>
  <c r="L52" i="1"/>
  <c r="M52" i="1"/>
  <c r="AI51" i="1"/>
  <c r="AJ51" i="1"/>
  <c r="AK51" i="1"/>
  <c r="AL51" i="1"/>
  <c r="AM51" i="1"/>
  <c r="AN51" i="1"/>
  <c r="AH51" i="1"/>
  <c r="AG51" i="1"/>
  <c r="AF51" i="1"/>
  <c r="AE51" i="1"/>
  <c r="AD51" i="1"/>
  <c r="AC51" i="1"/>
  <c r="AB51" i="1"/>
  <c r="C134" i="4"/>
  <c r="D134" i="4"/>
  <c r="E134" i="4"/>
  <c r="F134" i="4"/>
  <c r="G134" i="4"/>
  <c r="H134" i="4"/>
  <c r="B134" i="4"/>
  <c r="H133" i="4"/>
  <c r="C133" i="4"/>
  <c r="D133" i="4"/>
  <c r="E133" i="4"/>
  <c r="F133" i="4"/>
  <c r="G133" i="4"/>
  <c r="B133" i="4"/>
  <c r="C132" i="4"/>
  <c r="D132" i="4"/>
  <c r="E132" i="4"/>
  <c r="F132" i="4"/>
  <c r="G132" i="4"/>
  <c r="H132" i="4"/>
  <c r="B132" i="4"/>
  <c r="L51" i="1"/>
  <c r="M51" i="1"/>
  <c r="AH50" i="1"/>
  <c r="AG50" i="1"/>
  <c r="AF50" i="1"/>
  <c r="AE50" i="1"/>
  <c r="AD50" i="1"/>
  <c r="AC50" i="1"/>
  <c r="AB50" i="1"/>
  <c r="AJ50" i="1"/>
  <c r="AE49" i="1"/>
  <c r="AI50" i="1"/>
  <c r="AK50" i="1"/>
  <c r="AM50" i="1"/>
  <c r="L50" i="1"/>
  <c r="M50" i="1"/>
  <c r="AH49" i="1"/>
  <c r="AF49" i="1"/>
  <c r="AG49" i="1"/>
  <c r="AD49" i="1"/>
  <c r="AC49" i="1"/>
  <c r="AB49" i="1"/>
  <c r="AN49" i="1"/>
  <c r="AI49" i="1"/>
  <c r="AK49" i="1"/>
  <c r="AM49" i="1"/>
  <c r="H129" i="4"/>
  <c r="G129" i="4"/>
  <c r="F129" i="4"/>
  <c r="E129" i="4"/>
  <c r="D129" i="4"/>
  <c r="C129" i="4"/>
  <c r="B129" i="4"/>
  <c r="C127" i="4"/>
  <c r="D127" i="4"/>
  <c r="D128" i="4" s="1"/>
  <c r="E127" i="4"/>
  <c r="F127" i="4"/>
  <c r="F128" i="4" s="1"/>
  <c r="G127" i="4"/>
  <c r="H127" i="4"/>
  <c r="H128" i="4" s="1"/>
  <c r="B127" i="4"/>
  <c r="C128" i="4"/>
  <c r="E128" i="4"/>
  <c r="G128" i="4"/>
  <c r="B128" i="4"/>
  <c r="C126" i="4"/>
  <c r="D126" i="4"/>
  <c r="E126" i="4"/>
  <c r="F126" i="4"/>
  <c r="G126" i="4"/>
  <c r="H126" i="4"/>
  <c r="B126" i="4"/>
  <c r="L49" i="1"/>
  <c r="M49" i="1"/>
  <c r="AH48" i="1"/>
  <c r="AG48" i="1"/>
  <c r="AF48" i="1"/>
  <c r="AE48" i="1"/>
  <c r="AD48" i="1"/>
  <c r="AC48" i="1"/>
  <c r="AB48" i="1"/>
  <c r="AM54" i="1" l="1"/>
  <c r="AK54" i="1"/>
  <c r="AM53" i="1"/>
  <c r="AK53" i="1"/>
  <c r="AN50" i="1"/>
  <c r="AL50" i="1"/>
  <c r="AL49" i="1"/>
  <c r="AJ49" i="1"/>
  <c r="AI48" i="1"/>
  <c r="L48" i="1"/>
  <c r="M48" i="1"/>
  <c r="AH47" i="1"/>
  <c r="AG47" i="1"/>
  <c r="AF47" i="1"/>
  <c r="AE47" i="1"/>
  <c r="AD47" i="1"/>
  <c r="AC47" i="1"/>
  <c r="AB47" i="1"/>
  <c r="AI47" i="1" s="1"/>
  <c r="L47" i="1"/>
  <c r="M47" i="1"/>
  <c r="AL47" i="1"/>
  <c r="AN47" i="1"/>
  <c r="AH46" i="1"/>
  <c r="AG46" i="1"/>
  <c r="AF46" i="1"/>
  <c r="AE46" i="1"/>
  <c r="AD46" i="1"/>
  <c r="AJ46" i="1" s="1"/>
  <c r="AC46" i="1"/>
  <c r="AB46" i="1"/>
  <c r="AK46" i="1"/>
  <c r="C122" i="4"/>
  <c r="D122" i="4"/>
  <c r="E122" i="4"/>
  <c r="F122" i="4"/>
  <c r="G122" i="4"/>
  <c r="H122" i="4"/>
  <c r="B122" i="4"/>
  <c r="C121" i="4"/>
  <c r="D121" i="4"/>
  <c r="E121" i="4"/>
  <c r="F121" i="4"/>
  <c r="G121" i="4"/>
  <c r="H121" i="4"/>
  <c r="B121" i="4"/>
  <c r="H120" i="4"/>
  <c r="G120" i="4"/>
  <c r="F120" i="4"/>
  <c r="E120" i="4"/>
  <c r="D120" i="4"/>
  <c r="C120" i="4"/>
  <c r="B120" i="4"/>
  <c r="AH45" i="1"/>
  <c r="AG45" i="1"/>
  <c r="AF45" i="1"/>
  <c r="AE45" i="1"/>
  <c r="AD45" i="1"/>
  <c r="AC45" i="1"/>
  <c r="AB45" i="1"/>
  <c r="M46" i="1" s="1"/>
  <c r="AI46" i="1"/>
  <c r="AM46" i="1"/>
  <c r="L46" i="1"/>
  <c r="AN48" i="1" l="1"/>
  <c r="AL48" i="1"/>
  <c r="AJ48" i="1"/>
  <c r="AM48" i="1"/>
  <c r="AK48" i="1"/>
  <c r="AJ47" i="1"/>
  <c r="AM47" i="1"/>
  <c r="AK47" i="1"/>
  <c r="AN46" i="1"/>
  <c r="AL46" i="1"/>
  <c r="AI45" i="1"/>
  <c r="AJ45" i="1"/>
  <c r="AN45" i="1"/>
  <c r="L45" i="1"/>
  <c r="M45" i="1"/>
  <c r="AH44" i="1"/>
  <c r="AG44" i="1"/>
  <c r="AF44" i="1"/>
  <c r="AE44" i="1"/>
  <c r="AD44" i="1"/>
  <c r="AC44" i="1"/>
  <c r="AB44" i="1"/>
  <c r="AI44" i="1" s="1"/>
  <c r="AJ44" i="1"/>
  <c r="AN44" i="1"/>
  <c r="L44" i="1"/>
  <c r="AH43" i="1"/>
  <c r="AN43" i="1" s="1"/>
  <c r="AG43" i="1"/>
  <c r="AF43" i="1"/>
  <c r="AL43" i="1" s="1"/>
  <c r="AE43" i="1"/>
  <c r="AD43" i="1"/>
  <c r="AJ43" i="1" s="1"/>
  <c r="AC43" i="1"/>
  <c r="AB43" i="1"/>
  <c r="AI43" i="1" s="1"/>
  <c r="M44" i="1"/>
  <c r="L43" i="1"/>
  <c r="M43" i="1"/>
  <c r="AH42" i="1"/>
  <c r="AG42" i="1"/>
  <c r="AF42" i="1"/>
  <c r="AE42" i="1"/>
  <c r="AD42" i="1"/>
  <c r="AC42" i="1"/>
  <c r="AB42" i="1"/>
  <c r="AI42" i="1" s="1"/>
  <c r="C115" i="4"/>
  <c r="C117" i="4" s="1"/>
  <c r="D115" i="4"/>
  <c r="D117" i="4" s="1"/>
  <c r="E115" i="4"/>
  <c r="E117" i="4" s="1"/>
  <c r="F115" i="4"/>
  <c r="F117" i="4" s="1"/>
  <c r="G115" i="4"/>
  <c r="G117" i="4" s="1"/>
  <c r="H115" i="4"/>
  <c r="H117" i="4" s="1"/>
  <c r="B115" i="4"/>
  <c r="B117" i="4" s="1"/>
  <c r="AJ42" i="1"/>
  <c r="AL42" i="1"/>
  <c r="AN42" i="1"/>
  <c r="L42" i="1"/>
  <c r="M42" i="1"/>
  <c r="AH41" i="1"/>
  <c r="AG41" i="1"/>
  <c r="AF41" i="1"/>
  <c r="AE41" i="1"/>
  <c r="AD41" i="1"/>
  <c r="AC41" i="1"/>
  <c r="AB41" i="1"/>
  <c r="AL45" i="1" l="1"/>
  <c r="AM45" i="1"/>
  <c r="AK45" i="1"/>
  <c r="AL44" i="1"/>
  <c r="AM44" i="1"/>
  <c r="AK44" i="1"/>
  <c r="AM43" i="1"/>
  <c r="AK43" i="1"/>
  <c r="AM42" i="1"/>
  <c r="AK42" i="1"/>
  <c r="AI41" i="1"/>
  <c r="AJ41" i="1"/>
  <c r="AK41" i="1"/>
  <c r="AL41" i="1"/>
  <c r="AM41" i="1"/>
  <c r="AN41" i="1"/>
  <c r="L41" i="1"/>
  <c r="M41" i="1"/>
  <c r="AH40" i="1"/>
  <c r="AG40" i="1"/>
  <c r="AF40" i="1"/>
  <c r="AE40" i="1"/>
  <c r="AD40" i="1"/>
  <c r="AC40" i="1"/>
  <c r="AB40" i="1"/>
  <c r="AI40" i="1" s="1"/>
  <c r="C113" i="4"/>
  <c r="E113" i="4"/>
  <c r="G113" i="4"/>
  <c r="B113" i="4"/>
  <c r="C112" i="4"/>
  <c r="D112" i="4"/>
  <c r="D113" i="4" s="1"/>
  <c r="E112" i="4"/>
  <c r="F112" i="4"/>
  <c r="F113" i="4" s="1"/>
  <c r="G112" i="4"/>
  <c r="H112" i="4"/>
  <c r="H113" i="4" s="1"/>
  <c r="B112" i="4"/>
  <c r="AJ40" i="1"/>
  <c r="AL40" i="1"/>
  <c r="AN40" i="1"/>
  <c r="L40" i="1"/>
  <c r="M40" i="1"/>
  <c r="AI39" i="1"/>
  <c r="AJ39" i="1"/>
  <c r="AK39" i="1"/>
  <c r="AL39" i="1"/>
  <c r="AM39" i="1"/>
  <c r="AN39" i="1"/>
  <c r="AH39" i="1"/>
  <c r="AG39" i="1"/>
  <c r="AF39" i="1"/>
  <c r="AE39" i="1"/>
  <c r="AD39" i="1"/>
  <c r="AC39" i="1"/>
  <c r="AB39" i="1"/>
  <c r="AH38" i="1"/>
  <c r="AG38" i="1"/>
  <c r="AF38" i="1"/>
  <c r="AE38" i="1"/>
  <c r="AD38" i="1"/>
  <c r="AC38" i="1"/>
  <c r="AB38" i="1"/>
  <c r="AI38" i="1" s="1"/>
  <c r="L39" i="1"/>
  <c r="M39" i="1"/>
  <c r="AJ38" i="1"/>
  <c r="AK38" i="1"/>
  <c r="AL38" i="1"/>
  <c r="AM38" i="1"/>
  <c r="AN38" i="1"/>
  <c r="C109" i="4"/>
  <c r="E109" i="4"/>
  <c r="G109" i="4"/>
  <c r="B109" i="4"/>
  <c r="C108" i="4"/>
  <c r="D108" i="4"/>
  <c r="D109" i="4" s="1"/>
  <c r="E108" i="4"/>
  <c r="F108" i="4"/>
  <c r="F109" i="4" s="1"/>
  <c r="G108" i="4"/>
  <c r="H108" i="4"/>
  <c r="H109" i="4" s="1"/>
  <c r="B108" i="4"/>
  <c r="L38" i="1"/>
  <c r="M38" i="1"/>
  <c r="AH37" i="1"/>
  <c r="AN37" i="1" s="1"/>
  <c r="AG37" i="1"/>
  <c r="AF37" i="1"/>
  <c r="AE37" i="1"/>
  <c r="AK37" i="1" s="1"/>
  <c r="AD37" i="1"/>
  <c r="AJ37" i="1" s="1"/>
  <c r="AC37" i="1"/>
  <c r="AB37" i="1"/>
  <c r="AH36" i="1"/>
  <c r="AG36" i="1"/>
  <c r="AF36" i="1"/>
  <c r="AE36" i="1"/>
  <c r="AD36" i="1"/>
  <c r="AC36" i="1"/>
  <c r="AB36" i="1"/>
  <c r="M37" i="1" s="1"/>
  <c r="AI37" i="1"/>
  <c r="AL37" i="1"/>
  <c r="AM37" i="1"/>
  <c r="L36" i="1"/>
  <c r="M36" i="1"/>
  <c r="L37" i="1"/>
  <c r="AI36" i="1"/>
  <c r="AK36" i="1"/>
  <c r="AM36" i="1"/>
  <c r="AH35" i="1"/>
  <c r="AG35" i="1"/>
  <c r="AF35" i="1"/>
  <c r="AE35" i="1"/>
  <c r="AD35" i="1"/>
  <c r="AC35" i="1"/>
  <c r="AB35" i="1"/>
  <c r="AJ35" i="1" s="1"/>
  <c r="H104" i="4"/>
  <c r="G104" i="4"/>
  <c r="F104" i="4"/>
  <c r="E104" i="4"/>
  <c r="D104" i="4"/>
  <c r="C104" i="4"/>
  <c r="B104" i="4"/>
  <c r="H105" i="4"/>
  <c r="G105" i="4"/>
  <c r="F105" i="4"/>
  <c r="E105" i="4"/>
  <c r="D105" i="4"/>
  <c r="C105" i="4"/>
  <c r="B105" i="4"/>
  <c r="AI35" i="1"/>
  <c r="AK35" i="1"/>
  <c r="AM35" i="1"/>
  <c r="L35" i="1"/>
  <c r="M35" i="1"/>
  <c r="AH34" i="1"/>
  <c r="AG34" i="1"/>
  <c r="AF34" i="1"/>
  <c r="AE34" i="1"/>
  <c r="AD34" i="1"/>
  <c r="AC34" i="1"/>
  <c r="AB34" i="1"/>
  <c r="AI34" i="1" s="1"/>
  <c r="H103" i="4"/>
  <c r="G103" i="4"/>
  <c r="F103" i="4"/>
  <c r="E103" i="4"/>
  <c r="C103" i="4"/>
  <c r="B103" i="4"/>
  <c r="F101" i="4"/>
  <c r="B101" i="4"/>
  <c r="F100" i="4"/>
  <c r="B100" i="4"/>
  <c r="AJ34" i="1"/>
  <c r="AN34" i="1"/>
  <c r="AH33" i="1"/>
  <c r="AG33" i="1"/>
  <c r="AF33" i="1"/>
  <c r="AE33" i="1"/>
  <c r="AD33" i="1"/>
  <c r="AC33" i="1"/>
  <c r="AB33" i="1"/>
  <c r="L34" i="1"/>
  <c r="M34" i="1"/>
  <c r="C99" i="4"/>
  <c r="D99" i="4"/>
  <c r="E99" i="4"/>
  <c r="F99" i="4"/>
  <c r="G99" i="4"/>
  <c r="H99" i="4"/>
  <c r="B99" i="4"/>
  <c r="B106" i="4" l="1"/>
  <c r="D106" i="4"/>
  <c r="F106" i="4"/>
  <c r="H106" i="4"/>
  <c r="C106" i="4"/>
  <c r="E106" i="4"/>
  <c r="G106" i="4"/>
  <c r="AM40" i="1"/>
  <c r="AK40" i="1"/>
  <c r="AN36" i="1"/>
  <c r="AL36" i="1"/>
  <c r="AJ36" i="1"/>
  <c r="AN35" i="1"/>
  <c r="AL35" i="1"/>
  <c r="AL34" i="1"/>
  <c r="AM34" i="1"/>
  <c r="AK34" i="1"/>
  <c r="AI33" i="1"/>
  <c r="AJ33" i="1"/>
  <c r="AK33" i="1"/>
  <c r="AL33" i="1"/>
  <c r="AM33" i="1"/>
  <c r="AN33" i="1"/>
  <c r="AI32" i="1"/>
  <c r="AJ32" i="1"/>
  <c r="AK32" i="1"/>
  <c r="AL32" i="1"/>
  <c r="AM32" i="1"/>
  <c r="AN32" i="1"/>
  <c r="AH32" i="1"/>
  <c r="AG32" i="1"/>
  <c r="AF32" i="1"/>
  <c r="AE32" i="1"/>
  <c r="AD32" i="1"/>
  <c r="AC32" i="1"/>
  <c r="AB32" i="1"/>
  <c r="L33" i="1"/>
  <c r="M33" i="1"/>
  <c r="L32" i="1" l="1"/>
  <c r="M32" i="1"/>
  <c r="AH31" i="1"/>
  <c r="AG31" i="1"/>
  <c r="AF31" i="1"/>
  <c r="AE31" i="1"/>
  <c r="AD31" i="1"/>
  <c r="AC31" i="1"/>
  <c r="AB31" i="1"/>
  <c r="AI31" i="1" s="1"/>
  <c r="AJ31" i="1"/>
  <c r="AK31" i="1"/>
  <c r="AL31" i="1"/>
  <c r="AM31" i="1"/>
  <c r="AN31" i="1"/>
  <c r="L31" i="1" l="1"/>
  <c r="M31" i="1"/>
  <c r="AH30" i="1"/>
  <c r="AG30" i="1"/>
  <c r="AF30" i="1"/>
  <c r="AE30" i="1"/>
  <c r="AD30" i="1"/>
  <c r="AC30" i="1"/>
  <c r="AB30" i="1"/>
  <c r="AI30" i="1"/>
  <c r="AJ30" i="1"/>
  <c r="AK30" i="1"/>
  <c r="AL30" i="1"/>
  <c r="AM30" i="1"/>
  <c r="AN30" i="1"/>
  <c r="AH29" i="1"/>
  <c r="AH28" i="1"/>
  <c r="AH27" i="1"/>
  <c r="AB29" i="1"/>
  <c r="AB28" i="1"/>
  <c r="AB27" i="1"/>
  <c r="AJ27" i="1" s="1"/>
  <c r="C89" i="4"/>
  <c r="D89" i="4"/>
  <c r="E89" i="4"/>
  <c r="F89" i="4"/>
  <c r="G89" i="4"/>
  <c r="H89" i="4"/>
  <c r="B89" i="4"/>
  <c r="L30" i="1"/>
  <c r="M30" i="1"/>
  <c r="L29" i="1"/>
  <c r="M29" i="1"/>
  <c r="AG29" i="1"/>
  <c r="AF29" i="1"/>
  <c r="AE29" i="1"/>
  <c r="AD29" i="1"/>
  <c r="AC29" i="1"/>
  <c r="AG28" i="1"/>
  <c r="AF28" i="1"/>
  <c r="AE28" i="1"/>
  <c r="AD28" i="1"/>
  <c r="AC28" i="1"/>
  <c r="AG27" i="1"/>
  <c r="AF27" i="1"/>
  <c r="AE27" i="1"/>
  <c r="AD27" i="1"/>
  <c r="AC27" i="1"/>
  <c r="AI27" i="1"/>
  <c r="AK27" i="1"/>
  <c r="AL27" i="1"/>
  <c r="AM27" i="1"/>
  <c r="AN27" i="1"/>
  <c r="AI28" i="1"/>
  <c r="AJ28" i="1"/>
  <c r="AK28" i="1"/>
  <c r="AL28" i="1"/>
  <c r="AM28" i="1"/>
  <c r="AN28" i="1"/>
  <c r="AI29" i="1"/>
  <c r="AJ29" i="1"/>
  <c r="AK29" i="1"/>
  <c r="AL29" i="1"/>
  <c r="AM29" i="1"/>
  <c r="AN29" i="1"/>
  <c r="AU29" i="1"/>
  <c r="AU28" i="1"/>
  <c r="AU27" i="1"/>
  <c r="M28" i="1"/>
  <c r="L28" i="1"/>
  <c r="L27" i="1"/>
  <c r="M27" i="1"/>
  <c r="AH26" i="1"/>
  <c r="AN26" i="1" s="1"/>
  <c r="AG26" i="1"/>
  <c r="AM26" i="1" s="1"/>
  <c r="AF26" i="1"/>
  <c r="AL26" i="1" s="1"/>
  <c r="AE26" i="1"/>
  <c r="AK26" i="1" s="1"/>
  <c r="AD26" i="1"/>
  <c r="AJ26" i="1" s="1"/>
  <c r="AC26" i="1"/>
  <c r="AI26" i="1" s="1"/>
  <c r="AB26" i="1"/>
  <c r="M26" i="1"/>
  <c r="L26" i="1"/>
  <c r="AH25" i="1"/>
  <c r="AG25" i="1"/>
  <c r="AF25" i="1"/>
  <c r="AE25" i="1"/>
  <c r="AD25" i="1"/>
  <c r="AC25" i="1"/>
  <c r="AB25" i="1"/>
  <c r="AI25" i="1" s="1"/>
  <c r="AJ25" i="1"/>
  <c r="AL25" i="1"/>
  <c r="AN25" i="1"/>
  <c r="L25" i="1"/>
  <c r="M25" i="1"/>
  <c r="AJ24" i="1"/>
  <c r="AL24" i="1"/>
  <c r="AN24" i="1"/>
  <c r="AH24" i="1"/>
  <c r="AG24" i="1"/>
  <c r="AM24" i="1" s="1"/>
  <c r="AF24" i="1"/>
  <c r="AE24" i="1"/>
  <c r="AK24" i="1" s="1"/>
  <c r="AD24" i="1"/>
  <c r="AC24" i="1"/>
  <c r="AI24" i="1" s="1"/>
  <c r="AH23" i="1"/>
  <c r="AG23" i="1"/>
  <c r="AM23" i="1" s="1"/>
  <c r="AF23" i="1"/>
  <c r="AE23" i="1"/>
  <c r="AK23" i="1" s="1"/>
  <c r="AD23" i="1"/>
  <c r="AC23" i="1"/>
  <c r="AI23" i="1" s="1"/>
  <c r="AB24" i="1"/>
  <c r="AB23" i="1"/>
  <c r="M24" i="1" s="1"/>
  <c r="L24" i="1"/>
  <c r="L23" i="1"/>
  <c r="AN21" i="1"/>
  <c r="AH22" i="1"/>
  <c r="AN22" i="1" s="1"/>
  <c r="AG22" i="1"/>
  <c r="AM22" i="1" s="1"/>
  <c r="AF22" i="1"/>
  <c r="AE22" i="1"/>
  <c r="AD22" i="1"/>
  <c r="AC22" i="1"/>
  <c r="AB22" i="1"/>
  <c r="AK22" i="1" s="1"/>
  <c r="AC21" i="1"/>
  <c r="AD21" i="1"/>
  <c r="AJ21" i="1" s="1"/>
  <c r="AE21" i="1"/>
  <c r="AF21" i="1"/>
  <c r="AL21" i="1" s="1"/>
  <c r="AH21" i="1"/>
  <c r="AG21" i="1"/>
  <c r="AM21" i="1" s="1"/>
  <c r="AB21" i="1"/>
  <c r="M22" i="1" s="1"/>
  <c r="L22" i="1"/>
  <c r="C81" i="4"/>
  <c r="D81" i="4"/>
  <c r="E81" i="4"/>
  <c r="F81" i="4"/>
  <c r="G81" i="4"/>
  <c r="H81" i="4"/>
  <c r="B81" i="4"/>
  <c r="C80" i="4"/>
  <c r="D80" i="4"/>
  <c r="E80" i="4"/>
  <c r="F80" i="4"/>
  <c r="G80" i="4"/>
  <c r="H80" i="4"/>
  <c r="B80" i="4"/>
  <c r="AM25" i="1" l="1"/>
  <c r="AK25" i="1"/>
  <c r="AI22" i="1"/>
  <c r="M23" i="1"/>
  <c r="AN23" i="1"/>
  <c r="AL23" i="1"/>
  <c r="AJ23" i="1"/>
  <c r="AK21" i="1"/>
  <c r="AI21" i="1"/>
  <c r="AJ22" i="1"/>
  <c r="AL22" i="1"/>
  <c r="L13" i="1"/>
  <c r="L14" i="1"/>
  <c r="L15" i="1"/>
  <c r="L16" i="1"/>
  <c r="L17" i="1"/>
  <c r="L18" i="1"/>
  <c r="L19" i="1"/>
  <c r="L20" i="1"/>
  <c r="L21" i="1"/>
  <c r="L9" i="1"/>
  <c r="L10" i="1"/>
  <c r="L11" i="1"/>
  <c r="L12" i="1"/>
  <c r="AH20" i="1"/>
  <c r="AG20" i="1"/>
  <c r="AF20" i="1"/>
  <c r="AE20" i="1"/>
  <c r="AD20" i="1"/>
  <c r="AC20" i="1"/>
  <c r="AB20" i="1"/>
  <c r="M21" i="1" s="1"/>
  <c r="AH19" i="1"/>
  <c r="AG19" i="1"/>
  <c r="AF19" i="1"/>
  <c r="AE19" i="1"/>
  <c r="AD19" i="1"/>
  <c r="AC19" i="1"/>
  <c r="AB19" i="1"/>
  <c r="M20" i="1" s="1"/>
  <c r="AH18" i="1"/>
  <c r="AG18" i="1"/>
  <c r="AF18" i="1"/>
  <c r="AE18" i="1"/>
  <c r="AD18" i="1"/>
  <c r="AC18" i="1"/>
  <c r="AB18" i="1"/>
  <c r="M19" i="1" s="1"/>
  <c r="H15" i="4"/>
  <c r="G15" i="4"/>
  <c r="F15" i="4"/>
  <c r="E15" i="4"/>
  <c r="D15" i="4"/>
  <c r="C15" i="4"/>
  <c r="B15" i="4"/>
  <c r="AN19" i="1" l="1"/>
  <c r="AN18" i="1"/>
  <c r="AI19" i="1"/>
  <c r="AK19" i="1"/>
  <c r="AM19" i="1"/>
  <c r="AN20" i="1"/>
  <c r="AJ18" i="1"/>
  <c r="AL18" i="1"/>
  <c r="AJ20" i="1"/>
  <c r="AL20" i="1"/>
  <c r="AI18" i="1"/>
  <c r="AK18" i="1"/>
  <c r="AM18" i="1"/>
  <c r="AJ19" i="1"/>
  <c r="AL19" i="1"/>
  <c r="AI20" i="1"/>
  <c r="AK20" i="1"/>
  <c r="AM20" i="1"/>
  <c r="AH17" i="1"/>
  <c r="AG17" i="1"/>
  <c r="AM17" i="1" s="1"/>
  <c r="AF17" i="1"/>
  <c r="AE17" i="1"/>
  <c r="AK17" i="1" s="1"/>
  <c r="AD17" i="1"/>
  <c r="AC17" i="1"/>
  <c r="AI17" i="1" s="1"/>
  <c r="AB17" i="1"/>
  <c r="M18" i="1" s="1"/>
  <c r="AH16" i="1"/>
  <c r="AG16" i="1"/>
  <c r="AF16" i="1"/>
  <c r="AE16" i="1"/>
  <c r="AD16" i="1"/>
  <c r="AC16" i="1"/>
  <c r="AB16" i="1"/>
  <c r="M17" i="1" s="1"/>
  <c r="AH15" i="1"/>
  <c r="AG15" i="1"/>
  <c r="AF15" i="1"/>
  <c r="AE15" i="1"/>
  <c r="AD6" i="1"/>
  <c r="AD15" i="1"/>
  <c r="AC15" i="1"/>
  <c r="AB15" i="1"/>
  <c r="M16" i="1" s="1"/>
  <c r="AU16" i="1"/>
  <c r="AU15" i="1"/>
  <c r="AH14" i="1"/>
  <c r="AG14" i="1"/>
  <c r="AM14" i="1" s="1"/>
  <c r="AF14" i="1"/>
  <c r="AE14" i="1"/>
  <c r="AK14" i="1" s="1"/>
  <c r="AD14" i="1"/>
  <c r="AC14" i="1"/>
  <c r="AI14" i="1" s="1"/>
  <c r="AB14" i="1"/>
  <c r="M15" i="1" s="1"/>
  <c r="AH13" i="1"/>
  <c r="AG13" i="1"/>
  <c r="AF13" i="1"/>
  <c r="AE13" i="1"/>
  <c r="AD13" i="1"/>
  <c r="AC13" i="1"/>
  <c r="AB13" i="1"/>
  <c r="M14" i="1" s="1"/>
  <c r="AH12" i="1"/>
  <c r="AG12" i="1"/>
  <c r="AM12" i="1" s="1"/>
  <c r="AF12" i="1"/>
  <c r="AE12" i="1"/>
  <c r="AK12" i="1" s="1"/>
  <c r="AD12" i="1"/>
  <c r="AC12" i="1"/>
  <c r="AI12" i="1" s="1"/>
  <c r="AB12" i="1"/>
  <c r="M13" i="1" s="1"/>
  <c r="H73" i="4"/>
  <c r="F73" i="4"/>
  <c r="B73" i="4"/>
  <c r="AH11" i="1"/>
  <c r="AG11" i="1"/>
  <c r="AM11" i="1" s="1"/>
  <c r="AF11" i="1"/>
  <c r="AE11" i="1"/>
  <c r="AK11" i="1" s="1"/>
  <c r="AD11" i="1"/>
  <c r="AC11" i="1"/>
  <c r="AI11" i="1" s="1"/>
  <c r="AB11" i="1"/>
  <c r="M12" i="1" s="1"/>
  <c r="AH10" i="1"/>
  <c r="AG10" i="1"/>
  <c r="AF10" i="1"/>
  <c r="AE10" i="1"/>
  <c r="AD10" i="1"/>
  <c r="AC10" i="1"/>
  <c r="AB10" i="1"/>
  <c r="M11" i="1" s="1"/>
  <c r="AH9" i="1"/>
  <c r="AG9" i="1"/>
  <c r="AM9" i="1" s="1"/>
  <c r="AF9" i="1"/>
  <c r="AE9" i="1"/>
  <c r="AK9" i="1" s="1"/>
  <c r="AD9" i="1"/>
  <c r="AC9" i="1"/>
  <c r="AI9" i="1" s="1"/>
  <c r="AB9" i="1"/>
  <c r="M10" i="1" s="1"/>
  <c r="AH8" i="1"/>
  <c r="AG8" i="1"/>
  <c r="AF8" i="1"/>
  <c r="AE8" i="1"/>
  <c r="AD8" i="1"/>
  <c r="AC8" i="1"/>
  <c r="AB8" i="1"/>
  <c r="M9" i="1" s="1"/>
  <c r="AN8" i="1" l="1"/>
  <c r="AN10" i="1"/>
  <c r="AN13" i="1"/>
  <c r="AN16" i="1"/>
  <c r="AN9" i="1"/>
  <c r="AN11" i="1"/>
  <c r="AN12" i="1"/>
  <c r="AN14" i="1"/>
  <c r="AN15" i="1"/>
  <c r="AN17" i="1"/>
  <c r="AJ8" i="1"/>
  <c r="AL8" i="1"/>
  <c r="AJ10" i="1"/>
  <c r="AL10" i="1"/>
  <c r="AJ13" i="1"/>
  <c r="AL13" i="1"/>
  <c r="AJ15" i="1"/>
  <c r="AK15" i="1"/>
  <c r="AM15" i="1"/>
  <c r="AJ16" i="1"/>
  <c r="AL16" i="1"/>
  <c r="AI8" i="1"/>
  <c r="AK8" i="1"/>
  <c r="AM8" i="1"/>
  <c r="AJ9" i="1"/>
  <c r="AL9" i="1"/>
  <c r="AI10" i="1"/>
  <c r="AK10" i="1"/>
  <c r="AM10" i="1"/>
  <c r="AJ11" i="1"/>
  <c r="AL11" i="1"/>
  <c r="AJ12" i="1"/>
  <c r="AL12" i="1"/>
  <c r="AI13" i="1"/>
  <c r="AK13" i="1"/>
  <c r="AM13" i="1"/>
  <c r="AJ14" i="1"/>
  <c r="AL14" i="1"/>
  <c r="AI15" i="1"/>
  <c r="AJ6" i="1"/>
  <c r="AL15" i="1"/>
  <c r="AI16" i="1"/>
  <c r="AK16" i="1"/>
  <c r="AM16" i="1"/>
  <c r="AJ17" i="1"/>
  <c r="AL17" i="1"/>
  <c r="AH7" i="1"/>
  <c r="AG7" i="1"/>
  <c r="AF7" i="1"/>
  <c r="AE7" i="1"/>
  <c r="AD7" i="1"/>
  <c r="AC7" i="1"/>
  <c r="L8" i="1"/>
  <c r="AB7" i="1"/>
  <c r="M8" i="1" s="1"/>
  <c r="AU7" i="1"/>
  <c r="AH6" i="1"/>
  <c r="AN6" i="1" s="1"/>
  <c r="AG6" i="1"/>
  <c r="AF6" i="1"/>
  <c r="AL6" i="1" s="1"/>
  <c r="AE6" i="1"/>
  <c r="AC6" i="1"/>
  <c r="AI6" i="1" s="1"/>
  <c r="AB6" i="1"/>
  <c r="M7" i="1" s="1"/>
  <c r="L7" i="1"/>
  <c r="H63" i="4"/>
  <c r="F63" i="4"/>
  <c r="B63" i="4"/>
  <c r="AH5" i="1"/>
  <c r="AG5" i="1"/>
  <c r="AF5" i="1"/>
  <c r="AE5" i="1"/>
  <c r="AD5" i="1"/>
  <c r="AC5" i="1"/>
  <c r="AB5" i="1"/>
  <c r="M6" i="1" s="1"/>
  <c r="AH4" i="1"/>
  <c r="AG4" i="1"/>
  <c r="AF4" i="1"/>
  <c r="AB4" i="1"/>
  <c r="M5" i="1" s="1"/>
  <c r="AE4" i="1"/>
  <c r="AD4" i="1"/>
  <c r="AJ4" i="1" s="1"/>
  <c r="AC4" i="1"/>
  <c r="G59" i="4"/>
  <c r="F59" i="4"/>
  <c r="E59" i="4"/>
  <c r="D59" i="4"/>
  <c r="C59" i="4"/>
  <c r="B59" i="4"/>
  <c r="L4" i="1"/>
  <c r="AV2" i="1"/>
  <c r="L3" i="1"/>
  <c r="M2" i="1"/>
  <c r="F42" i="4"/>
  <c r="E42" i="4"/>
  <c r="F34" i="4"/>
  <c r="AF3" i="1"/>
  <c r="AF2" i="1"/>
  <c r="AH3" i="1"/>
  <c r="AG3" i="1"/>
  <c r="AE3" i="1"/>
  <c r="AD3" i="1"/>
  <c r="AC3" i="1"/>
  <c r="AB3" i="1"/>
  <c r="M4" i="1" s="1"/>
  <c r="AH2" i="1"/>
  <c r="AG2" i="1"/>
  <c r="AE2" i="1"/>
  <c r="AD2" i="1"/>
  <c r="AC2" i="1"/>
  <c r="AB2" i="1"/>
  <c r="M3" i="1" s="1"/>
  <c r="C42" i="4"/>
  <c r="D42" i="4"/>
  <c r="G42" i="4"/>
  <c r="H42" i="4"/>
  <c r="B42" i="4"/>
  <c r="H34" i="4"/>
  <c r="D34" i="4"/>
  <c r="E34" i="4"/>
  <c r="G34" i="4"/>
  <c r="C34" i="4"/>
  <c r="B34" i="4"/>
  <c r="AN5" i="1" l="1"/>
  <c r="AN2" i="1"/>
  <c r="AN3" i="1"/>
  <c r="AN4" i="1"/>
  <c r="AN7" i="1"/>
  <c r="AJ2" i="1"/>
  <c r="AM2" i="1"/>
  <c r="AJ3" i="1"/>
  <c r="AM3" i="1"/>
  <c r="AL2" i="1"/>
  <c r="AM4" i="1"/>
  <c r="AJ5" i="1"/>
  <c r="AL5" i="1"/>
  <c r="AI7" i="1"/>
  <c r="AK7" i="1"/>
  <c r="AM7" i="1"/>
  <c r="AI2" i="1"/>
  <c r="AK2" i="1"/>
  <c r="AI3" i="1"/>
  <c r="AK3" i="1"/>
  <c r="AL3" i="1"/>
  <c r="AI4" i="1"/>
  <c r="AK4" i="1"/>
  <c r="AL4" i="1"/>
  <c r="AI5" i="1"/>
  <c r="AK5" i="1"/>
  <c r="AM5" i="1"/>
  <c r="AK6" i="1"/>
  <c r="AM6" i="1"/>
  <c r="AJ7" i="1"/>
  <c r="AL7"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E1" authorId="0" shapeId="0" xr:uid="{42CE3F0B-FAD3-4281-840A-654AC253C622}">
      <text>
        <r>
          <rPr>
            <b/>
            <sz val="9"/>
            <color indexed="81"/>
            <rFont val="Tahoma"/>
            <family val="2"/>
          </rPr>
          <t>Janis Corona:</t>
        </r>
        <r>
          <rPr>
            <sz val="9"/>
            <color indexed="81"/>
            <rFont val="Tahoma"/>
            <family val="2"/>
          </rPr>
          <t xml:space="preserve">
https://www.timeanddate.com/weather/usa/corona/historic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Janis Corona</author>
  </authors>
  <commentList>
    <comment ref="A5" authorId="0" shapeId="0" xr:uid="{78F9C2B7-20C4-4339-BDC1-F431844E816B}">
      <text>
        <r>
          <rPr>
            <b/>
            <sz val="9"/>
            <color indexed="81"/>
            <rFont val="Tahoma"/>
            <family val="2"/>
          </rPr>
          <t>Janis Corona:</t>
        </r>
        <r>
          <rPr>
            <sz val="9"/>
            <color indexed="81"/>
            <rFont val="Tahoma"/>
            <family val="2"/>
          </rPr>
          <t xml:space="preserve">
https://www.timeanddate.com/weather/usa/corona/historic
</t>
        </r>
      </text>
    </comment>
    <comment ref="A16390" authorId="0" shapeId="0" xr:uid="{B596867A-7126-4786-BD63-BB6661D8C430}">
      <text>
        <r>
          <rPr>
            <b/>
            <sz val="9"/>
            <color indexed="81"/>
            <rFont val="Tahoma"/>
            <family val="2"/>
          </rPr>
          <t>Janis Corona:</t>
        </r>
        <r>
          <rPr>
            <sz val="9"/>
            <color indexed="81"/>
            <rFont val="Tahoma"/>
            <family val="2"/>
          </rPr>
          <t xml:space="preserve">
https://www.timeanddate.com/weather/usa/corona/historic
</t>
        </r>
      </text>
    </comment>
    <comment ref="A32774" authorId="0" shapeId="0" xr:uid="{58C2E097-3A86-43E2-AECE-D2C0E15DAE89}">
      <text>
        <r>
          <rPr>
            <b/>
            <sz val="9"/>
            <color indexed="81"/>
            <rFont val="Tahoma"/>
            <family val="2"/>
          </rPr>
          <t>Janis Corona:</t>
        </r>
        <r>
          <rPr>
            <sz val="9"/>
            <color indexed="81"/>
            <rFont val="Tahoma"/>
            <family val="2"/>
          </rPr>
          <t xml:space="preserve">
https://www.timeanddate.com/weather/usa/corona/historic
</t>
        </r>
      </text>
    </comment>
    <comment ref="A49158" authorId="0" shapeId="0" xr:uid="{A577CBE8-4C4B-465D-B6EE-FA54F21E44E2}">
      <text>
        <r>
          <rPr>
            <b/>
            <sz val="9"/>
            <color indexed="81"/>
            <rFont val="Tahoma"/>
            <family val="2"/>
          </rPr>
          <t>Janis Corona:</t>
        </r>
        <r>
          <rPr>
            <sz val="9"/>
            <color indexed="81"/>
            <rFont val="Tahoma"/>
            <family val="2"/>
          </rPr>
          <t xml:space="preserve">
https://www.timeanddate.com/weather/usa/corona/historic
</t>
        </r>
      </text>
    </comment>
    <comment ref="A65542" authorId="0" shapeId="0" xr:uid="{3E54E5C9-51FC-4846-A04A-C082FA973A5D}">
      <text>
        <r>
          <rPr>
            <b/>
            <sz val="9"/>
            <color indexed="81"/>
            <rFont val="Tahoma"/>
            <family val="2"/>
          </rPr>
          <t>Janis Corona:</t>
        </r>
        <r>
          <rPr>
            <sz val="9"/>
            <color indexed="81"/>
            <rFont val="Tahoma"/>
            <family val="2"/>
          </rPr>
          <t xml:space="preserve">
https://www.timeanddate.com/weather/usa/corona/historic
</t>
        </r>
      </text>
    </comment>
    <comment ref="A81926" authorId="0" shapeId="0" xr:uid="{575FEB09-C1F0-4A0E-AB39-353927D9EC14}">
      <text>
        <r>
          <rPr>
            <b/>
            <sz val="9"/>
            <color indexed="81"/>
            <rFont val="Tahoma"/>
            <family val="2"/>
          </rPr>
          <t>Janis Corona:</t>
        </r>
        <r>
          <rPr>
            <sz val="9"/>
            <color indexed="81"/>
            <rFont val="Tahoma"/>
            <family val="2"/>
          </rPr>
          <t xml:space="preserve">
https://www.timeanddate.com/weather/usa/corona/historic
</t>
        </r>
      </text>
    </comment>
    <comment ref="A98310" authorId="0" shapeId="0" xr:uid="{339B8BB0-8805-461F-9D7E-A7BCE0E90819}">
      <text>
        <r>
          <rPr>
            <b/>
            <sz val="9"/>
            <color indexed="81"/>
            <rFont val="Tahoma"/>
            <family val="2"/>
          </rPr>
          <t>Janis Corona:</t>
        </r>
        <r>
          <rPr>
            <sz val="9"/>
            <color indexed="81"/>
            <rFont val="Tahoma"/>
            <family val="2"/>
          </rPr>
          <t xml:space="preserve">
https://www.timeanddate.com/weather/usa/corona/historic
</t>
        </r>
      </text>
    </comment>
    <comment ref="A114694" authorId="0" shapeId="0" xr:uid="{0DEFE4E9-903F-43C9-9234-D72515037C5B}">
      <text>
        <r>
          <rPr>
            <b/>
            <sz val="9"/>
            <color indexed="81"/>
            <rFont val="Tahoma"/>
            <family val="2"/>
          </rPr>
          <t>Janis Corona:</t>
        </r>
        <r>
          <rPr>
            <sz val="9"/>
            <color indexed="81"/>
            <rFont val="Tahoma"/>
            <family val="2"/>
          </rPr>
          <t xml:space="preserve">
https://www.timeanddate.com/weather/usa/corona/historic
</t>
        </r>
      </text>
    </comment>
    <comment ref="A131078" authorId="0" shapeId="0" xr:uid="{F9C7C340-9184-4690-B93E-3283C6322038}">
      <text>
        <r>
          <rPr>
            <b/>
            <sz val="9"/>
            <color indexed="81"/>
            <rFont val="Tahoma"/>
            <family val="2"/>
          </rPr>
          <t>Janis Corona:</t>
        </r>
        <r>
          <rPr>
            <sz val="9"/>
            <color indexed="81"/>
            <rFont val="Tahoma"/>
            <family val="2"/>
          </rPr>
          <t xml:space="preserve">
https://www.timeanddate.com/weather/usa/corona/historic
</t>
        </r>
      </text>
    </comment>
    <comment ref="A147462" authorId="0" shapeId="0" xr:uid="{D163125A-8015-4DE6-AC3C-9A73CD966ED6}">
      <text>
        <r>
          <rPr>
            <b/>
            <sz val="9"/>
            <color indexed="81"/>
            <rFont val="Tahoma"/>
            <family val="2"/>
          </rPr>
          <t>Janis Corona:</t>
        </r>
        <r>
          <rPr>
            <sz val="9"/>
            <color indexed="81"/>
            <rFont val="Tahoma"/>
            <family val="2"/>
          </rPr>
          <t xml:space="preserve">
https://www.timeanddate.com/weather/usa/corona/historic
</t>
        </r>
      </text>
    </comment>
    <comment ref="A163846" authorId="0" shapeId="0" xr:uid="{97E8A5E3-C0BD-4621-8494-4D1CE215E4DD}">
      <text>
        <r>
          <rPr>
            <b/>
            <sz val="9"/>
            <color indexed="81"/>
            <rFont val="Tahoma"/>
            <family val="2"/>
          </rPr>
          <t>Janis Corona:</t>
        </r>
        <r>
          <rPr>
            <sz val="9"/>
            <color indexed="81"/>
            <rFont val="Tahoma"/>
            <family val="2"/>
          </rPr>
          <t xml:space="preserve">
https://www.timeanddate.com/weather/usa/corona/historic
</t>
        </r>
      </text>
    </comment>
    <comment ref="A180230" authorId="0" shapeId="0" xr:uid="{4EF5F4B0-3DF2-4154-8C2F-0101D63D4F9A}">
      <text>
        <r>
          <rPr>
            <b/>
            <sz val="9"/>
            <color indexed="81"/>
            <rFont val="Tahoma"/>
            <family val="2"/>
          </rPr>
          <t>Janis Corona:</t>
        </r>
        <r>
          <rPr>
            <sz val="9"/>
            <color indexed="81"/>
            <rFont val="Tahoma"/>
            <family val="2"/>
          </rPr>
          <t xml:space="preserve">
https://www.timeanddate.com/weather/usa/corona/historic
</t>
        </r>
      </text>
    </comment>
    <comment ref="A196614" authorId="0" shapeId="0" xr:uid="{492A93F4-0181-417A-A3C7-E56DD80F7402}">
      <text>
        <r>
          <rPr>
            <b/>
            <sz val="9"/>
            <color indexed="81"/>
            <rFont val="Tahoma"/>
            <family val="2"/>
          </rPr>
          <t>Janis Corona:</t>
        </r>
        <r>
          <rPr>
            <sz val="9"/>
            <color indexed="81"/>
            <rFont val="Tahoma"/>
            <family val="2"/>
          </rPr>
          <t xml:space="preserve">
https://www.timeanddate.com/weather/usa/corona/historic
</t>
        </r>
      </text>
    </comment>
    <comment ref="A212998" authorId="0" shapeId="0" xr:uid="{1D0C9893-8944-4E4C-846E-74151C7AD511}">
      <text>
        <r>
          <rPr>
            <b/>
            <sz val="9"/>
            <color indexed="81"/>
            <rFont val="Tahoma"/>
            <family val="2"/>
          </rPr>
          <t>Janis Corona:</t>
        </r>
        <r>
          <rPr>
            <sz val="9"/>
            <color indexed="81"/>
            <rFont val="Tahoma"/>
            <family val="2"/>
          </rPr>
          <t xml:space="preserve">
https://www.timeanddate.com/weather/usa/corona/historic
</t>
        </r>
      </text>
    </comment>
    <comment ref="A229382" authorId="0" shapeId="0" xr:uid="{0873D764-A600-450F-8D96-FF7EE2185C8A}">
      <text>
        <r>
          <rPr>
            <b/>
            <sz val="9"/>
            <color indexed="81"/>
            <rFont val="Tahoma"/>
            <family val="2"/>
          </rPr>
          <t>Janis Corona:</t>
        </r>
        <r>
          <rPr>
            <sz val="9"/>
            <color indexed="81"/>
            <rFont val="Tahoma"/>
            <family val="2"/>
          </rPr>
          <t xml:space="preserve">
https://www.timeanddate.com/weather/usa/corona/historic
</t>
        </r>
      </text>
    </comment>
    <comment ref="A245766" authorId="0" shapeId="0" xr:uid="{B401F719-87D6-417F-8DD8-5C7EDB41DFB1}">
      <text>
        <r>
          <rPr>
            <b/>
            <sz val="9"/>
            <color indexed="81"/>
            <rFont val="Tahoma"/>
            <family val="2"/>
          </rPr>
          <t>Janis Corona:</t>
        </r>
        <r>
          <rPr>
            <sz val="9"/>
            <color indexed="81"/>
            <rFont val="Tahoma"/>
            <family val="2"/>
          </rPr>
          <t xml:space="preserve">
https://www.timeanddate.com/weather/usa/corona/historic
</t>
        </r>
      </text>
    </comment>
    <comment ref="A262150" authorId="0" shapeId="0" xr:uid="{B8950071-BF5C-4D04-9BA8-C4FA3CEA6835}">
      <text>
        <r>
          <rPr>
            <b/>
            <sz val="9"/>
            <color indexed="81"/>
            <rFont val="Tahoma"/>
            <family val="2"/>
          </rPr>
          <t>Janis Corona:</t>
        </r>
        <r>
          <rPr>
            <sz val="9"/>
            <color indexed="81"/>
            <rFont val="Tahoma"/>
            <family val="2"/>
          </rPr>
          <t xml:space="preserve">
https://www.timeanddate.com/weather/usa/corona/historic
</t>
        </r>
      </text>
    </comment>
    <comment ref="A278534" authorId="0" shapeId="0" xr:uid="{A0582BCE-6EA5-4CFF-8DA6-DB3781828BDA}">
      <text>
        <r>
          <rPr>
            <b/>
            <sz val="9"/>
            <color indexed="81"/>
            <rFont val="Tahoma"/>
            <family val="2"/>
          </rPr>
          <t>Janis Corona:</t>
        </r>
        <r>
          <rPr>
            <sz val="9"/>
            <color indexed="81"/>
            <rFont val="Tahoma"/>
            <family val="2"/>
          </rPr>
          <t xml:space="preserve">
https://www.timeanddate.com/weather/usa/corona/historic
</t>
        </r>
      </text>
    </comment>
    <comment ref="A294918" authorId="0" shapeId="0" xr:uid="{37628EAF-7F7D-4E55-B85A-507FA5C07F19}">
      <text>
        <r>
          <rPr>
            <b/>
            <sz val="9"/>
            <color indexed="81"/>
            <rFont val="Tahoma"/>
            <family val="2"/>
          </rPr>
          <t>Janis Corona:</t>
        </r>
        <r>
          <rPr>
            <sz val="9"/>
            <color indexed="81"/>
            <rFont val="Tahoma"/>
            <family val="2"/>
          </rPr>
          <t xml:space="preserve">
https://www.timeanddate.com/weather/usa/corona/historic
</t>
        </r>
      </text>
    </comment>
    <comment ref="A311302" authorId="0" shapeId="0" xr:uid="{EE7F27B1-F6D5-4F75-878C-0394070456AA}">
      <text>
        <r>
          <rPr>
            <b/>
            <sz val="9"/>
            <color indexed="81"/>
            <rFont val="Tahoma"/>
            <family val="2"/>
          </rPr>
          <t>Janis Corona:</t>
        </r>
        <r>
          <rPr>
            <sz val="9"/>
            <color indexed="81"/>
            <rFont val="Tahoma"/>
            <family val="2"/>
          </rPr>
          <t xml:space="preserve">
https://www.timeanddate.com/weather/usa/corona/historic
</t>
        </r>
      </text>
    </comment>
    <comment ref="A327686" authorId="0" shapeId="0" xr:uid="{9611FCBF-EDD3-4B79-99D2-C184AD0AFDDF}">
      <text>
        <r>
          <rPr>
            <b/>
            <sz val="9"/>
            <color indexed="81"/>
            <rFont val="Tahoma"/>
            <family val="2"/>
          </rPr>
          <t>Janis Corona:</t>
        </r>
        <r>
          <rPr>
            <sz val="9"/>
            <color indexed="81"/>
            <rFont val="Tahoma"/>
            <family val="2"/>
          </rPr>
          <t xml:space="preserve">
https://www.timeanddate.com/weather/usa/corona/historic
</t>
        </r>
      </text>
    </comment>
    <comment ref="A344070" authorId="0" shapeId="0" xr:uid="{6691900B-2A5F-4489-B08B-5CC91AEE27FD}">
      <text>
        <r>
          <rPr>
            <b/>
            <sz val="9"/>
            <color indexed="81"/>
            <rFont val="Tahoma"/>
            <family val="2"/>
          </rPr>
          <t>Janis Corona:</t>
        </r>
        <r>
          <rPr>
            <sz val="9"/>
            <color indexed="81"/>
            <rFont val="Tahoma"/>
            <family val="2"/>
          </rPr>
          <t xml:space="preserve">
https://www.timeanddate.com/weather/usa/corona/historic
</t>
        </r>
      </text>
    </comment>
    <comment ref="A360454" authorId="0" shapeId="0" xr:uid="{F4FBB12B-8E75-458A-867E-AD0279BC27A1}">
      <text>
        <r>
          <rPr>
            <b/>
            <sz val="9"/>
            <color indexed="81"/>
            <rFont val="Tahoma"/>
            <family val="2"/>
          </rPr>
          <t>Janis Corona:</t>
        </r>
        <r>
          <rPr>
            <sz val="9"/>
            <color indexed="81"/>
            <rFont val="Tahoma"/>
            <family val="2"/>
          </rPr>
          <t xml:space="preserve">
https://www.timeanddate.com/weather/usa/corona/historic
</t>
        </r>
      </text>
    </comment>
    <comment ref="A376838" authorId="0" shapeId="0" xr:uid="{A8C231C5-877E-41B7-87DC-B7C0E067693B}">
      <text>
        <r>
          <rPr>
            <b/>
            <sz val="9"/>
            <color indexed="81"/>
            <rFont val="Tahoma"/>
            <family val="2"/>
          </rPr>
          <t>Janis Corona:</t>
        </r>
        <r>
          <rPr>
            <sz val="9"/>
            <color indexed="81"/>
            <rFont val="Tahoma"/>
            <family val="2"/>
          </rPr>
          <t xml:space="preserve">
https://www.timeanddate.com/weather/usa/corona/historic
</t>
        </r>
      </text>
    </comment>
    <comment ref="A393222" authorId="0" shapeId="0" xr:uid="{660074BB-C20E-46D0-9DBF-1A3B8343651B}">
      <text>
        <r>
          <rPr>
            <b/>
            <sz val="9"/>
            <color indexed="81"/>
            <rFont val="Tahoma"/>
            <family val="2"/>
          </rPr>
          <t>Janis Corona:</t>
        </r>
        <r>
          <rPr>
            <sz val="9"/>
            <color indexed="81"/>
            <rFont val="Tahoma"/>
            <family val="2"/>
          </rPr>
          <t xml:space="preserve">
https://www.timeanddate.com/weather/usa/corona/historic
</t>
        </r>
      </text>
    </comment>
    <comment ref="A409606" authorId="0" shapeId="0" xr:uid="{E8A718BB-E858-4306-B5C3-CF31E3378DD4}">
      <text>
        <r>
          <rPr>
            <b/>
            <sz val="9"/>
            <color indexed="81"/>
            <rFont val="Tahoma"/>
            <family val="2"/>
          </rPr>
          <t>Janis Corona:</t>
        </r>
        <r>
          <rPr>
            <sz val="9"/>
            <color indexed="81"/>
            <rFont val="Tahoma"/>
            <family val="2"/>
          </rPr>
          <t xml:space="preserve">
https://www.timeanddate.com/weather/usa/corona/historic
</t>
        </r>
      </text>
    </comment>
    <comment ref="A425990" authorId="0" shapeId="0" xr:uid="{3200D286-0E99-4D06-AD48-18839975357B}">
      <text>
        <r>
          <rPr>
            <b/>
            <sz val="9"/>
            <color indexed="81"/>
            <rFont val="Tahoma"/>
            <family val="2"/>
          </rPr>
          <t>Janis Corona:</t>
        </r>
        <r>
          <rPr>
            <sz val="9"/>
            <color indexed="81"/>
            <rFont val="Tahoma"/>
            <family val="2"/>
          </rPr>
          <t xml:space="preserve">
https://www.timeanddate.com/weather/usa/corona/historic
</t>
        </r>
      </text>
    </comment>
    <comment ref="A442374" authorId="0" shapeId="0" xr:uid="{CDFC37A5-BC20-4352-86A9-2298CB9186FC}">
      <text>
        <r>
          <rPr>
            <b/>
            <sz val="9"/>
            <color indexed="81"/>
            <rFont val="Tahoma"/>
            <family val="2"/>
          </rPr>
          <t>Janis Corona:</t>
        </r>
        <r>
          <rPr>
            <sz val="9"/>
            <color indexed="81"/>
            <rFont val="Tahoma"/>
            <family val="2"/>
          </rPr>
          <t xml:space="preserve">
https://www.timeanddate.com/weather/usa/corona/historic
</t>
        </r>
      </text>
    </comment>
    <comment ref="A458758" authorId="0" shapeId="0" xr:uid="{6754A8D8-9C46-46A9-92C4-E621808EB390}">
      <text>
        <r>
          <rPr>
            <b/>
            <sz val="9"/>
            <color indexed="81"/>
            <rFont val="Tahoma"/>
            <family val="2"/>
          </rPr>
          <t>Janis Corona:</t>
        </r>
        <r>
          <rPr>
            <sz val="9"/>
            <color indexed="81"/>
            <rFont val="Tahoma"/>
            <family val="2"/>
          </rPr>
          <t xml:space="preserve">
https://www.timeanddate.com/weather/usa/corona/historic
</t>
        </r>
      </text>
    </comment>
    <comment ref="A475142" authorId="0" shapeId="0" xr:uid="{A71ECBF3-95B9-4863-B7E5-3EF33281DC28}">
      <text>
        <r>
          <rPr>
            <b/>
            <sz val="9"/>
            <color indexed="81"/>
            <rFont val="Tahoma"/>
            <family val="2"/>
          </rPr>
          <t>Janis Corona:</t>
        </r>
        <r>
          <rPr>
            <sz val="9"/>
            <color indexed="81"/>
            <rFont val="Tahoma"/>
            <family val="2"/>
          </rPr>
          <t xml:space="preserve">
https://www.timeanddate.com/weather/usa/corona/historic
</t>
        </r>
      </text>
    </comment>
    <comment ref="A491526" authorId="0" shapeId="0" xr:uid="{5EAABFF6-9073-44EC-8EF4-AFBBE2FBDE4C}">
      <text>
        <r>
          <rPr>
            <b/>
            <sz val="9"/>
            <color indexed="81"/>
            <rFont val="Tahoma"/>
            <family val="2"/>
          </rPr>
          <t>Janis Corona:</t>
        </r>
        <r>
          <rPr>
            <sz val="9"/>
            <color indexed="81"/>
            <rFont val="Tahoma"/>
            <family val="2"/>
          </rPr>
          <t xml:space="preserve">
https://www.timeanddate.com/weather/usa/corona/historic
</t>
        </r>
      </text>
    </comment>
    <comment ref="A507910" authorId="0" shapeId="0" xr:uid="{69B629E3-A813-4DC6-ADFE-D45FCED17F34}">
      <text>
        <r>
          <rPr>
            <b/>
            <sz val="9"/>
            <color indexed="81"/>
            <rFont val="Tahoma"/>
            <family val="2"/>
          </rPr>
          <t>Janis Corona:</t>
        </r>
        <r>
          <rPr>
            <sz val="9"/>
            <color indexed="81"/>
            <rFont val="Tahoma"/>
            <family val="2"/>
          </rPr>
          <t xml:space="preserve">
https://www.timeanddate.com/weather/usa/corona/historic
</t>
        </r>
      </text>
    </comment>
    <comment ref="A524294" authorId="0" shapeId="0" xr:uid="{FA7E5A96-236D-479A-9090-8B24B1064F5F}">
      <text>
        <r>
          <rPr>
            <b/>
            <sz val="9"/>
            <color indexed="81"/>
            <rFont val="Tahoma"/>
            <family val="2"/>
          </rPr>
          <t>Janis Corona:</t>
        </r>
        <r>
          <rPr>
            <sz val="9"/>
            <color indexed="81"/>
            <rFont val="Tahoma"/>
            <family val="2"/>
          </rPr>
          <t xml:space="preserve">
https://www.timeanddate.com/weather/usa/corona/historic
</t>
        </r>
      </text>
    </comment>
    <comment ref="A540678" authorId="0" shapeId="0" xr:uid="{2841D0D0-394B-4048-810E-62E0A0DFBC50}">
      <text>
        <r>
          <rPr>
            <b/>
            <sz val="9"/>
            <color indexed="81"/>
            <rFont val="Tahoma"/>
            <family val="2"/>
          </rPr>
          <t>Janis Corona:</t>
        </r>
        <r>
          <rPr>
            <sz val="9"/>
            <color indexed="81"/>
            <rFont val="Tahoma"/>
            <family val="2"/>
          </rPr>
          <t xml:space="preserve">
https://www.timeanddate.com/weather/usa/corona/historic
</t>
        </r>
      </text>
    </comment>
    <comment ref="A557062" authorId="0" shapeId="0" xr:uid="{844F957E-5BA0-4876-B73B-4E4EB0B8912C}">
      <text>
        <r>
          <rPr>
            <b/>
            <sz val="9"/>
            <color indexed="81"/>
            <rFont val="Tahoma"/>
            <family val="2"/>
          </rPr>
          <t>Janis Corona:</t>
        </r>
        <r>
          <rPr>
            <sz val="9"/>
            <color indexed="81"/>
            <rFont val="Tahoma"/>
            <family val="2"/>
          </rPr>
          <t xml:space="preserve">
https://www.timeanddate.com/weather/usa/corona/historic
</t>
        </r>
      </text>
    </comment>
    <comment ref="A573446" authorId="0" shapeId="0" xr:uid="{E408BC0C-88B6-4112-9949-41C815FEC3D5}">
      <text>
        <r>
          <rPr>
            <b/>
            <sz val="9"/>
            <color indexed="81"/>
            <rFont val="Tahoma"/>
            <family val="2"/>
          </rPr>
          <t>Janis Corona:</t>
        </r>
        <r>
          <rPr>
            <sz val="9"/>
            <color indexed="81"/>
            <rFont val="Tahoma"/>
            <family val="2"/>
          </rPr>
          <t xml:space="preserve">
https://www.timeanddate.com/weather/usa/corona/historic
</t>
        </r>
      </text>
    </comment>
    <comment ref="A589830" authorId="0" shapeId="0" xr:uid="{B8BEFDCA-3424-4BB5-81CB-57786B83674B}">
      <text>
        <r>
          <rPr>
            <b/>
            <sz val="9"/>
            <color indexed="81"/>
            <rFont val="Tahoma"/>
            <family val="2"/>
          </rPr>
          <t>Janis Corona:</t>
        </r>
        <r>
          <rPr>
            <sz val="9"/>
            <color indexed="81"/>
            <rFont val="Tahoma"/>
            <family val="2"/>
          </rPr>
          <t xml:space="preserve">
https://www.timeanddate.com/weather/usa/corona/historic
</t>
        </r>
      </text>
    </comment>
    <comment ref="A606214" authorId="0" shapeId="0" xr:uid="{D4E937EC-1F94-4646-A6A8-806FA035C265}">
      <text>
        <r>
          <rPr>
            <b/>
            <sz val="9"/>
            <color indexed="81"/>
            <rFont val="Tahoma"/>
            <family val="2"/>
          </rPr>
          <t>Janis Corona:</t>
        </r>
        <r>
          <rPr>
            <sz val="9"/>
            <color indexed="81"/>
            <rFont val="Tahoma"/>
            <family val="2"/>
          </rPr>
          <t xml:space="preserve">
https://www.timeanddate.com/weather/usa/corona/historic
</t>
        </r>
      </text>
    </comment>
    <comment ref="A622598" authorId="0" shapeId="0" xr:uid="{79F706AE-F38E-4970-BA88-C6A3927E7A59}">
      <text>
        <r>
          <rPr>
            <b/>
            <sz val="9"/>
            <color indexed="81"/>
            <rFont val="Tahoma"/>
            <family val="2"/>
          </rPr>
          <t>Janis Corona:</t>
        </r>
        <r>
          <rPr>
            <sz val="9"/>
            <color indexed="81"/>
            <rFont val="Tahoma"/>
            <family val="2"/>
          </rPr>
          <t xml:space="preserve">
https://www.timeanddate.com/weather/usa/corona/historic
</t>
        </r>
      </text>
    </comment>
    <comment ref="A638982" authorId="0" shapeId="0" xr:uid="{5290640C-4557-47DB-B67B-B5126E5C7FCC}">
      <text>
        <r>
          <rPr>
            <b/>
            <sz val="9"/>
            <color indexed="81"/>
            <rFont val="Tahoma"/>
            <family val="2"/>
          </rPr>
          <t>Janis Corona:</t>
        </r>
        <r>
          <rPr>
            <sz val="9"/>
            <color indexed="81"/>
            <rFont val="Tahoma"/>
            <family val="2"/>
          </rPr>
          <t xml:space="preserve">
https://www.timeanddate.com/weather/usa/corona/historic
</t>
        </r>
      </text>
    </comment>
    <comment ref="A655366" authorId="0" shapeId="0" xr:uid="{884B7899-F449-460D-9A07-067EF40ADB34}">
      <text>
        <r>
          <rPr>
            <b/>
            <sz val="9"/>
            <color indexed="81"/>
            <rFont val="Tahoma"/>
            <family val="2"/>
          </rPr>
          <t>Janis Corona:</t>
        </r>
        <r>
          <rPr>
            <sz val="9"/>
            <color indexed="81"/>
            <rFont val="Tahoma"/>
            <family val="2"/>
          </rPr>
          <t xml:space="preserve">
https://www.timeanddate.com/weather/usa/corona/historic
</t>
        </r>
      </text>
    </comment>
    <comment ref="A671750" authorId="0" shapeId="0" xr:uid="{153DB667-8669-4B8C-A003-E5BF0070EFFF}">
      <text>
        <r>
          <rPr>
            <b/>
            <sz val="9"/>
            <color indexed="81"/>
            <rFont val="Tahoma"/>
            <family val="2"/>
          </rPr>
          <t>Janis Corona:</t>
        </r>
        <r>
          <rPr>
            <sz val="9"/>
            <color indexed="81"/>
            <rFont val="Tahoma"/>
            <family val="2"/>
          </rPr>
          <t xml:space="preserve">
https://www.timeanddate.com/weather/usa/corona/historic
</t>
        </r>
      </text>
    </comment>
    <comment ref="A688134" authorId="0" shapeId="0" xr:uid="{9E07E630-BF42-4E91-A2D2-2B91F07A83C9}">
      <text>
        <r>
          <rPr>
            <b/>
            <sz val="9"/>
            <color indexed="81"/>
            <rFont val="Tahoma"/>
            <family val="2"/>
          </rPr>
          <t>Janis Corona:</t>
        </r>
        <r>
          <rPr>
            <sz val="9"/>
            <color indexed="81"/>
            <rFont val="Tahoma"/>
            <family val="2"/>
          </rPr>
          <t xml:space="preserve">
https://www.timeanddate.com/weather/usa/corona/historic
</t>
        </r>
      </text>
    </comment>
    <comment ref="A704518" authorId="0" shapeId="0" xr:uid="{D989BBA2-73C7-4FA0-8109-28D60F278770}">
      <text>
        <r>
          <rPr>
            <b/>
            <sz val="9"/>
            <color indexed="81"/>
            <rFont val="Tahoma"/>
            <family val="2"/>
          </rPr>
          <t>Janis Corona:</t>
        </r>
        <r>
          <rPr>
            <sz val="9"/>
            <color indexed="81"/>
            <rFont val="Tahoma"/>
            <family val="2"/>
          </rPr>
          <t xml:space="preserve">
https://www.timeanddate.com/weather/usa/corona/historic
</t>
        </r>
      </text>
    </comment>
    <comment ref="A720902" authorId="0" shapeId="0" xr:uid="{07FC0DBC-81AB-4EB1-B730-26936899C1FB}">
      <text>
        <r>
          <rPr>
            <b/>
            <sz val="9"/>
            <color indexed="81"/>
            <rFont val="Tahoma"/>
            <family val="2"/>
          </rPr>
          <t>Janis Corona:</t>
        </r>
        <r>
          <rPr>
            <sz val="9"/>
            <color indexed="81"/>
            <rFont val="Tahoma"/>
            <family val="2"/>
          </rPr>
          <t xml:space="preserve">
https://www.timeanddate.com/weather/usa/corona/historic
</t>
        </r>
      </text>
    </comment>
    <comment ref="A737286" authorId="0" shapeId="0" xr:uid="{028A1C19-ADC7-4139-ABCB-39C7526A8481}">
      <text>
        <r>
          <rPr>
            <b/>
            <sz val="9"/>
            <color indexed="81"/>
            <rFont val="Tahoma"/>
            <family val="2"/>
          </rPr>
          <t>Janis Corona:</t>
        </r>
        <r>
          <rPr>
            <sz val="9"/>
            <color indexed="81"/>
            <rFont val="Tahoma"/>
            <family val="2"/>
          </rPr>
          <t xml:space="preserve">
https://www.timeanddate.com/weather/usa/corona/historic
</t>
        </r>
      </text>
    </comment>
    <comment ref="A753670" authorId="0" shapeId="0" xr:uid="{26C0B414-4705-4602-8B69-71E07329CDBA}">
      <text>
        <r>
          <rPr>
            <b/>
            <sz val="9"/>
            <color indexed="81"/>
            <rFont val="Tahoma"/>
            <family val="2"/>
          </rPr>
          <t>Janis Corona:</t>
        </r>
        <r>
          <rPr>
            <sz val="9"/>
            <color indexed="81"/>
            <rFont val="Tahoma"/>
            <family val="2"/>
          </rPr>
          <t xml:space="preserve">
https://www.timeanddate.com/weather/usa/corona/historic
</t>
        </r>
      </text>
    </comment>
    <comment ref="A770054" authorId="0" shapeId="0" xr:uid="{6064043A-3DF1-4103-959C-FCAE7F0BECE9}">
      <text>
        <r>
          <rPr>
            <b/>
            <sz val="9"/>
            <color indexed="81"/>
            <rFont val="Tahoma"/>
            <family val="2"/>
          </rPr>
          <t>Janis Corona:</t>
        </r>
        <r>
          <rPr>
            <sz val="9"/>
            <color indexed="81"/>
            <rFont val="Tahoma"/>
            <family val="2"/>
          </rPr>
          <t xml:space="preserve">
https://www.timeanddate.com/weather/usa/corona/historic
</t>
        </r>
      </text>
    </comment>
    <comment ref="A786438" authorId="0" shapeId="0" xr:uid="{3BD4729B-1037-4613-A171-0C5E139C1434}">
      <text>
        <r>
          <rPr>
            <b/>
            <sz val="9"/>
            <color indexed="81"/>
            <rFont val="Tahoma"/>
            <family val="2"/>
          </rPr>
          <t>Janis Corona:</t>
        </r>
        <r>
          <rPr>
            <sz val="9"/>
            <color indexed="81"/>
            <rFont val="Tahoma"/>
            <family val="2"/>
          </rPr>
          <t xml:space="preserve">
https://www.timeanddate.com/weather/usa/corona/historic
</t>
        </r>
      </text>
    </comment>
    <comment ref="A802822" authorId="0" shapeId="0" xr:uid="{07385731-3ACB-4F7B-BCFA-DF2958A1D5E5}">
      <text>
        <r>
          <rPr>
            <b/>
            <sz val="9"/>
            <color indexed="81"/>
            <rFont val="Tahoma"/>
            <family val="2"/>
          </rPr>
          <t>Janis Corona:</t>
        </r>
        <r>
          <rPr>
            <sz val="9"/>
            <color indexed="81"/>
            <rFont val="Tahoma"/>
            <family val="2"/>
          </rPr>
          <t xml:space="preserve">
https://www.timeanddate.com/weather/usa/corona/historic
</t>
        </r>
      </text>
    </comment>
    <comment ref="A819206" authorId="0" shapeId="0" xr:uid="{C57D67EB-42A1-408B-A8A4-BC3295FF2AE8}">
      <text>
        <r>
          <rPr>
            <b/>
            <sz val="9"/>
            <color indexed="81"/>
            <rFont val="Tahoma"/>
            <family val="2"/>
          </rPr>
          <t>Janis Corona:</t>
        </r>
        <r>
          <rPr>
            <sz val="9"/>
            <color indexed="81"/>
            <rFont val="Tahoma"/>
            <family val="2"/>
          </rPr>
          <t xml:space="preserve">
https://www.timeanddate.com/weather/usa/corona/historic
</t>
        </r>
      </text>
    </comment>
    <comment ref="A835590" authorId="0" shapeId="0" xr:uid="{92661CF2-1D6D-49CE-9587-DE089E716937}">
      <text>
        <r>
          <rPr>
            <b/>
            <sz val="9"/>
            <color indexed="81"/>
            <rFont val="Tahoma"/>
            <family val="2"/>
          </rPr>
          <t>Janis Corona:</t>
        </r>
        <r>
          <rPr>
            <sz val="9"/>
            <color indexed="81"/>
            <rFont val="Tahoma"/>
            <family val="2"/>
          </rPr>
          <t xml:space="preserve">
https://www.timeanddate.com/weather/usa/corona/historic
</t>
        </r>
      </text>
    </comment>
    <comment ref="A851974" authorId="0" shapeId="0" xr:uid="{E1ECD962-0E34-4AA2-A56E-2060752FB74F}">
      <text>
        <r>
          <rPr>
            <b/>
            <sz val="9"/>
            <color indexed="81"/>
            <rFont val="Tahoma"/>
            <family val="2"/>
          </rPr>
          <t>Janis Corona:</t>
        </r>
        <r>
          <rPr>
            <sz val="9"/>
            <color indexed="81"/>
            <rFont val="Tahoma"/>
            <family val="2"/>
          </rPr>
          <t xml:space="preserve">
https://www.timeanddate.com/weather/usa/corona/historic
</t>
        </r>
      </text>
    </comment>
    <comment ref="A868358" authorId="0" shapeId="0" xr:uid="{7032219C-55E6-488D-882F-8824EFE38403}">
      <text>
        <r>
          <rPr>
            <b/>
            <sz val="9"/>
            <color indexed="81"/>
            <rFont val="Tahoma"/>
            <family val="2"/>
          </rPr>
          <t>Janis Corona:</t>
        </r>
        <r>
          <rPr>
            <sz val="9"/>
            <color indexed="81"/>
            <rFont val="Tahoma"/>
            <family val="2"/>
          </rPr>
          <t xml:space="preserve">
https://www.timeanddate.com/weather/usa/corona/historic
</t>
        </r>
      </text>
    </comment>
    <comment ref="A884742" authorId="0" shapeId="0" xr:uid="{38B2DFE2-7AE0-4D7D-A462-F91CADD2B0A3}">
      <text>
        <r>
          <rPr>
            <b/>
            <sz val="9"/>
            <color indexed="81"/>
            <rFont val="Tahoma"/>
            <family val="2"/>
          </rPr>
          <t>Janis Corona:</t>
        </r>
        <r>
          <rPr>
            <sz val="9"/>
            <color indexed="81"/>
            <rFont val="Tahoma"/>
            <family val="2"/>
          </rPr>
          <t xml:space="preserve">
https://www.timeanddate.com/weather/usa/corona/historic
</t>
        </r>
      </text>
    </comment>
    <comment ref="A901126" authorId="0" shapeId="0" xr:uid="{613F64A1-31D0-4EAD-84FB-4495FB97AA40}">
      <text>
        <r>
          <rPr>
            <b/>
            <sz val="9"/>
            <color indexed="81"/>
            <rFont val="Tahoma"/>
            <family val="2"/>
          </rPr>
          <t>Janis Corona:</t>
        </r>
        <r>
          <rPr>
            <sz val="9"/>
            <color indexed="81"/>
            <rFont val="Tahoma"/>
            <family val="2"/>
          </rPr>
          <t xml:space="preserve">
https://www.timeanddate.com/weather/usa/corona/historic
</t>
        </r>
      </text>
    </comment>
    <comment ref="A917510" authorId="0" shapeId="0" xr:uid="{A3DAC8D0-DFBB-4EB8-921D-AA00FBF268A0}">
      <text>
        <r>
          <rPr>
            <b/>
            <sz val="9"/>
            <color indexed="81"/>
            <rFont val="Tahoma"/>
            <family val="2"/>
          </rPr>
          <t>Janis Corona:</t>
        </r>
        <r>
          <rPr>
            <sz val="9"/>
            <color indexed="81"/>
            <rFont val="Tahoma"/>
            <family val="2"/>
          </rPr>
          <t xml:space="preserve">
https://www.timeanddate.com/weather/usa/corona/historic
</t>
        </r>
      </text>
    </comment>
    <comment ref="A933894" authorId="0" shapeId="0" xr:uid="{31DEF9CD-77A1-4B72-B98A-511E31F50B0E}">
      <text>
        <r>
          <rPr>
            <b/>
            <sz val="9"/>
            <color indexed="81"/>
            <rFont val="Tahoma"/>
            <family val="2"/>
          </rPr>
          <t>Janis Corona:</t>
        </r>
        <r>
          <rPr>
            <sz val="9"/>
            <color indexed="81"/>
            <rFont val="Tahoma"/>
            <family val="2"/>
          </rPr>
          <t xml:space="preserve">
https://www.timeanddate.com/weather/usa/corona/historic
</t>
        </r>
      </text>
    </comment>
    <comment ref="A950278" authorId="0" shapeId="0" xr:uid="{17756A7E-A8C6-4A58-B987-AB78F8C04FDD}">
      <text>
        <r>
          <rPr>
            <b/>
            <sz val="9"/>
            <color indexed="81"/>
            <rFont val="Tahoma"/>
            <family val="2"/>
          </rPr>
          <t>Janis Corona:</t>
        </r>
        <r>
          <rPr>
            <sz val="9"/>
            <color indexed="81"/>
            <rFont val="Tahoma"/>
            <family val="2"/>
          </rPr>
          <t xml:space="preserve">
https://www.timeanddate.com/weather/usa/corona/historic
</t>
        </r>
      </text>
    </comment>
    <comment ref="A966662" authorId="0" shapeId="0" xr:uid="{9F72BDEA-0A13-48DD-B566-58C1486F33A9}">
      <text>
        <r>
          <rPr>
            <b/>
            <sz val="9"/>
            <color indexed="81"/>
            <rFont val="Tahoma"/>
            <family val="2"/>
          </rPr>
          <t>Janis Corona:</t>
        </r>
        <r>
          <rPr>
            <sz val="9"/>
            <color indexed="81"/>
            <rFont val="Tahoma"/>
            <family val="2"/>
          </rPr>
          <t xml:space="preserve">
https://www.timeanddate.com/weather/usa/corona/historic
</t>
        </r>
      </text>
    </comment>
    <comment ref="A983046" authorId="0" shapeId="0" xr:uid="{68A6368B-561C-4C55-AC9F-E6F58B8C4E10}">
      <text>
        <r>
          <rPr>
            <b/>
            <sz val="9"/>
            <color indexed="81"/>
            <rFont val="Tahoma"/>
            <family val="2"/>
          </rPr>
          <t>Janis Corona:</t>
        </r>
        <r>
          <rPr>
            <sz val="9"/>
            <color indexed="81"/>
            <rFont val="Tahoma"/>
            <family val="2"/>
          </rPr>
          <t xml:space="preserve">
https://www.timeanddate.com/weather/usa/corona/historic
</t>
        </r>
      </text>
    </comment>
    <comment ref="A999430" authorId="0" shapeId="0" xr:uid="{5265A974-17B5-4BD7-9C4A-8536525A55B2}">
      <text>
        <r>
          <rPr>
            <b/>
            <sz val="9"/>
            <color indexed="81"/>
            <rFont val="Tahoma"/>
            <family val="2"/>
          </rPr>
          <t>Janis Corona:</t>
        </r>
        <r>
          <rPr>
            <sz val="9"/>
            <color indexed="81"/>
            <rFont val="Tahoma"/>
            <family val="2"/>
          </rPr>
          <t xml:space="preserve">
https://www.timeanddate.com/weather/usa/corona/historic
</t>
        </r>
      </text>
    </comment>
    <comment ref="A1015814" authorId="0" shapeId="0" xr:uid="{543261D1-FCD6-4B23-AE98-906BBF8F1400}">
      <text>
        <r>
          <rPr>
            <b/>
            <sz val="9"/>
            <color indexed="81"/>
            <rFont val="Tahoma"/>
            <family val="2"/>
          </rPr>
          <t>Janis Corona:</t>
        </r>
        <r>
          <rPr>
            <sz val="9"/>
            <color indexed="81"/>
            <rFont val="Tahoma"/>
            <family val="2"/>
          </rPr>
          <t xml:space="preserve">
https://www.timeanddate.com/weather/usa/corona/historic
</t>
        </r>
      </text>
    </comment>
    <comment ref="A1032198" authorId="0" shapeId="0" xr:uid="{49B0DDF1-422C-4E93-935C-C75D4D6BE43C}">
      <text>
        <r>
          <rPr>
            <b/>
            <sz val="9"/>
            <color indexed="81"/>
            <rFont val="Tahoma"/>
            <family val="2"/>
          </rPr>
          <t>Janis Corona:</t>
        </r>
        <r>
          <rPr>
            <sz val="9"/>
            <color indexed="81"/>
            <rFont val="Tahoma"/>
            <family val="2"/>
          </rPr>
          <t xml:space="preserve">
https://www.timeanddate.com/weather/usa/corona/historic
</t>
        </r>
      </text>
    </comment>
  </commentList>
</comments>
</file>

<file path=xl/sharedStrings.xml><?xml version="1.0" encoding="utf-8"?>
<sst xmlns="http://schemas.openxmlformats.org/spreadsheetml/2006/main" count="4091" uniqueCount="448">
  <si>
    <t>weekDay Date</t>
  </si>
  <si>
    <t>Date</t>
  </si>
  <si>
    <t>time</t>
  </si>
  <si>
    <t>weightScaleMeasurement</t>
  </si>
  <si>
    <t>waistlineMeasurement-BellyButton</t>
  </si>
  <si>
    <t>armMeasurementInches-R</t>
  </si>
  <si>
    <t>armMeasurementInches-L</t>
  </si>
  <si>
    <t>thighMeasurementInches-R</t>
  </si>
  <si>
    <t>thighMeasurementInches-L</t>
  </si>
  <si>
    <t>absFat-MM-R</t>
  </si>
  <si>
    <t>absFat-MM-L</t>
  </si>
  <si>
    <t>tricepsFat-MM-R</t>
  </si>
  <si>
    <t>tricepsFat-MM-L</t>
  </si>
  <si>
    <t>innerThighFat-MM-R</t>
  </si>
  <si>
    <t>innerThighFat-MM-L</t>
  </si>
  <si>
    <t>Mon</t>
  </si>
  <si>
    <t>Tue</t>
  </si>
  <si>
    <t>Wed</t>
  </si>
  <si>
    <t>Thur</t>
  </si>
  <si>
    <t>Sat</t>
  </si>
  <si>
    <t>NA</t>
  </si>
  <si>
    <t>exercisesSetRepsLbs</t>
  </si>
  <si>
    <t>timeMeasurementsTaken</t>
  </si>
  <si>
    <t>Sun</t>
  </si>
  <si>
    <t>waistTrimmer</t>
  </si>
  <si>
    <t>weatherAtWorkoutTime</t>
  </si>
  <si>
    <t>fat_gram</t>
  </si>
  <si>
    <t>saturatedFat_gram</t>
  </si>
  <si>
    <t>protein_gram</t>
  </si>
  <si>
    <t>fiber_grams</t>
  </si>
  <si>
    <t>dailyCalories</t>
  </si>
  <si>
    <t>notes_diet_mood_etc</t>
  </si>
  <si>
    <t>sodium</t>
  </si>
  <si>
    <t>calories</t>
  </si>
  <si>
    <t>Nutrition</t>
  </si>
  <si>
    <t>Dill_Bread_2slices</t>
  </si>
  <si>
    <t>eggs_2</t>
  </si>
  <si>
    <t>grapefruit</t>
  </si>
  <si>
    <t>tomato_soup_1cup</t>
  </si>
  <si>
    <t>orange</t>
  </si>
  <si>
    <t>green_beans_canned</t>
  </si>
  <si>
    <t>Wheat_Bread_allGrain_2slices</t>
  </si>
  <si>
    <t>Avocado_half</t>
  </si>
  <si>
    <t>corn_tortilla_3tortillas_Mission</t>
  </si>
  <si>
    <t>gingerCarrotCashew_soup_Pacific</t>
  </si>
  <si>
    <t>corn_tortilla_2tortillas_Mission</t>
  </si>
  <si>
    <t>Mozzarella_lowSkim_WincoBrand_quarterCup</t>
  </si>
  <si>
    <t>coffee_cups</t>
  </si>
  <si>
    <t>Ramen_cupNoodles_Shrimp_Maruchan</t>
  </si>
  <si>
    <t>blackberries_1cup</t>
  </si>
  <si>
    <t>blueberries_1cup</t>
  </si>
  <si>
    <t>roastedRedPepperTomatoSoup_Pacific_1cup</t>
  </si>
  <si>
    <t>Avocado_whole</t>
  </si>
  <si>
    <t>greenGrapes_40</t>
  </si>
  <si>
    <t>strawberries_halfCup</t>
  </si>
  <si>
    <t>almond_mild_quarter_cup</t>
  </si>
  <si>
    <t>Wheat_Bread_allGrain_1andHalfSlices</t>
  </si>
  <si>
    <t>Wheat_Bread_allGrain_1Slice</t>
  </si>
  <si>
    <t>pear</t>
  </si>
  <si>
    <t>pickle_4slices</t>
  </si>
  <si>
    <t>cheese_American_slice1</t>
  </si>
  <si>
    <t>oatsAndHoney_mix_CascadianFarms2_3rdcup</t>
  </si>
  <si>
    <t>pineapple_1cup</t>
  </si>
  <si>
    <t>ruffles_zestyCheddar_28gserving</t>
  </si>
  <si>
    <t>spaghettiGlutenFreeBeyondBroccoliRedPepperPriano4cheese</t>
  </si>
  <si>
    <t>barillaGlutenFreeSpaghetti_2oz</t>
  </si>
  <si>
    <t>broccoli_2crowns</t>
  </si>
  <si>
    <t>red_bell_pepper</t>
  </si>
  <si>
    <t>banana_organic</t>
  </si>
  <si>
    <t>edemamePastaBeyondMeatBalls</t>
  </si>
  <si>
    <t>edemamePasta</t>
  </si>
  <si>
    <t>soyMeatballsFrozenDeli</t>
  </si>
  <si>
    <t>DelMonte4cheesePastaSauce</t>
  </si>
  <si>
    <t xml:space="preserve">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t>
  </si>
  <si>
    <t>red grapes serving 1 cup</t>
  </si>
  <si>
    <t>Priano 4 Cheese Pasta Sauce</t>
  </si>
  <si>
    <t>Extra Virgin Olive Oil Aldi brand 1 tbsp</t>
  </si>
  <si>
    <t>Progresso Garden Vegetable Soup</t>
  </si>
  <si>
    <t>mango</t>
  </si>
  <si>
    <t>Mission Tortilla Chips 10 chips</t>
  </si>
  <si>
    <t>jack cheese Winco brand 2 servings 2/3 cup</t>
  </si>
  <si>
    <t xml:space="preserve">Lentil Soup Simply Pure brand organic </t>
  </si>
  <si>
    <t>Chex cereal Winco General Mills 1 1/4 cup serving</t>
  </si>
  <si>
    <t>compressionSocks</t>
  </si>
  <si>
    <t xml:space="preserve">1 egg over medium the regular way 
1 corn tortilla quesadilla with mozzarella 
15 green grapes 
1 lg danjou pear 
15 red grapes 
1 mango sliced 
1 orange 
2 cups of the tomato soup with roasted red pepper from Pacific brand of soups 
2 mozzarella quesadillas normal style 
bowl of lentil soup by Progresso 
bowl of gluten free spaghetti by Barilla and 4 cheese pasta sauce by Priano with 
2 tbls parmesan Winco brand cheese and about 
1/4 cup Mozzarella cheese also Winco brand
1 orange </t>
  </si>
  <si>
    <t xml:space="preserve">bowl of gluten free spaghetti 
2 tbls parmesan  
1/4 cup Jack cheese 
25-30 green grapes 
1 lg danjou pear 
1 mango 
1 orange 
2 cups of chex cereal 
bowl of the gluten free spaghetti
2 tbls parmesan 
1/4 cup jack cheese 
1 orange 
1 pear </t>
  </si>
  <si>
    <t>Menstruation</t>
  </si>
  <si>
    <t>dailyFoodConsumed</t>
  </si>
  <si>
    <t>minutesOfCardioKickBoxing</t>
  </si>
  <si>
    <t>carbs_grams</t>
  </si>
  <si>
    <t>fiber_grams_from_carbs</t>
  </si>
  <si>
    <t>corn tortillas Guerrero Brand-2 tortillas</t>
  </si>
  <si>
    <t>weight_lifting_increase</t>
  </si>
  <si>
    <t>weight_lifting_decrease</t>
  </si>
  <si>
    <t>calories_consumed_dayPrior</t>
  </si>
  <si>
    <t>weightChangeFromDayPrior</t>
  </si>
  <si>
    <t>Woke up at 3:45 am and laid in bed till 4 am couldn't go back to sleep. Noticed mensa spotting and it is about time to start my monthly cycle of uterine lining shedding. Had a cup of coffee then a lg BM. Then had another cup of coffee for the 2nd cup of coffee before and while doing the lipocavitation around 510 am and the measurements. Made 2 eggs over medium the regular way with a quesadilla mozzarella (tortillas serving size 2 corn tortillas: calories 100, fat 1 g includes polyunsaturated fat 0.5 g, sodium 20 mg, carbs 21 g includes fiber 2 g and sugars 2 g, protein 2 g, calcium 20 mg, potassium 80 mg) with low skim mozzarella cheese (serving 1/4 cup: calories 80, fat 5 g includes saturated fat 3.5 g, cholesterol 15 mg, sodium 190 mg, carbs 1 g not fiber not sugar, protein 6 g, calcium 193 mg) one but only ate one egg (calories 70, total fat 5 g of which saturated fat is 1.5 g, cholesterol is 185 mg, sodium is 70 mg, protein 6 g, no carbs, vitamin D 1 mcg, iron1 mg, calcium 28 mg, potassium 69 mg) and gave the other to the pups. Packed about 15 green grapes (serving sz 10 grapes: calories 12.75, sodium 2 mg, carbs 13.5 includes fiber 0 and sugars 3 g, protein 0 g, vit A 1.5%, vit C 3%, iron 1.5%), and a lg danjou pear (calories 57, potassium 116 mg, sodium 1 mg, carbs 15 g of fiber 3 g and sugars 10 g, vit A 0.5%, vit C 7%, iron 1%, protein 0.36%) and 15 red grapes (calories 105, fat 0, saturated fat 0, sodium 3 mg, carbs 27 g includes fiber 1 g and sugars 23 g, protein 1 g, vit A 2%, vit C 27%, calcium 2%, iron 3%) for lunch with a mango sliced (calories 107, sodium 3 mg, carbs 28 g includes fiber 3 g and sugars 24 g, protein 1 g, vit A 25%, vit C 76%, calcium 2%, iron 1%), and an orange (calories 81, sodium 2 mg, carbs 21 g including fiber 4 g and sugars 14 g, protein 2 g, vit A 8%, vit C 163%, calcium 7%, iron 1%), and two cups of the tomato soup with roasted red pepper from Pacific brand of soups (serving size 1 cup, 2 cups: calories 240, fat 6 g includes saturated fat 4 g, cholesterol 20 mg, sodium 660 mg, carbs 38 g includes fiber 4 g and sugars 28 g, protein 12 g, calcium 144 mg, potassium 514 mg, iron 1 mg). Have a workout later today the last one of this research as tomorrow is day 21 and this research is for 21 days. Raining at work, wet outside and raining on the way back home and outside. Stopped raining when I got home around 2:30 pm. Had 2 mozzarella quesadillas normal style (tortillas serving size 2 corn tortillas, for 4 tortillas: calories 200, fat 2 g includes polyunsaturated fat 1 g, sodium 40 mg, carbs 42 g includes fiber 4 g and sugars 4 g, protein 4 g, calcium 40 mg, potassium 160 mg) with low skim mozzarella cheese (serving 1/4 cup for 2 servings: calories 160, fat 10 g includes saturated fat 7 g, cholesterol 30 mg, sodium 380 mg, carbs 2 g not fiber not sugar, protein 12 g, calcium 386 mg) and then worked out around 4 pm. It stopped raining for a little while up till the last group of exercises. Had a bowl of lentil soup by Progresso (1 can: calories 310, fat 3.5 g includes saturated fat 0.5 g, sodium 1630 mg, carbs 52 g includes fiber 8 g and sugars 4 g, protein 16 g, calcium 40 mg, iron 4.4 mg, potassium 590 mg) at around 6 pm after my workout, then made some gluten free spaghetti by Barilla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Had a bowl of that pasta with 2 tbls parmesan Winco brand cheese (serving 2 tbsp: calories 20, fat 1.5 g includes saturated fat 1 g, cholesterol 5 mg, sodium 100 mg, protein 2 g, carbs 0 g includes fiber and sugars 0 g each) and about 1/4 cup Mozzarella cheese (serving 1/4 cup: calories 80, fat 5 g includes saturated fat 3.5 g, cholesterol 15 mg, sodium 190 mg, carbs 1 g not fiber not sugar, protein 6 g, calcium 193 mg)  around 635 pm, and an orange (calories 81, sodium 2 mg, carbs 21 g including fiber 4 g and sugars 14 g, protein 2 g, vit A 8 %, vit C 163 %, calcium 7 %, iron 1 %) around 7 pm. Wore compression socks again today. Went to bed around 9 pm, woke up at 10 pm for a bit then on and off at 3 am, 430 am, and didn't sleep just laid in bed till 615 am. I probably got about 7 hours of sleep total. Day 1 of mensa shedding medium flow changed once during night.</t>
  </si>
  <si>
    <t>Woke up at 5:30 am but laid in bed till 615 am. Had a cup of coffee then a lg BM. Then another cup of coffee. Ankles aren't swollen, bruises on thighs are very light and not very noticeable. Compression socks help, and will wear again today. This is last day of 21 days of research into the 5xwk exercise, dieting, and 3xwk lipocavitation. This is the rest day, so measurements will be taken but the results will be analyzed tomorrow after 21 days are completed with images and measurements. For breakfast around 7:20 am I had a bowl of gluten free spaghetti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with parmesan  (serving 2 tbsp: calories 20, fat 1.5 g includes saturated fat 1 g, cholesterol 5 mg, sodium 100 mg, protein 2 g, carbs 0 g includes fiber and sugars 0 g each) and Jack cheese (calories 200, fat 9 g includes saturated fat 9 g, protein 12 g, 0 fiber, and sodium 340 mg). At work for lunch I had about 25-30 green grapes (serving sz 10 grape for 30 grapes: calories 38.25, sodium 6 mg, carbs 40.5 includes fiber 0 and sugars 9 g, protein 0 g, vit A 4.5%, vit C 9%, iron 4.5%), and a lg danjou pear (calories 57, potassium 116 mg, sodium 1 mg, carbs 15 g of fiber 3 g and sugars 10 g, vit A 0.5%, vit C 7%, iron 1%, protein 0.36%) , a mango (calories 107, sodium 3 mg, carbs 28 g includes fiber 3 g and sugars 24 g, protein 1 g, vit A 25%, vit C 76%, calcium 2%, iron 1%), and an orange (calories 81, sodium 2 mg, carbs 21 g including fiber 4 g and sugars 14 g, protein 2 g, vit A 8%, vit C 163%, calcium 7%, iron 1%), and about 2 cups of chex cereal (calories 240, fat 1.6 g includes saturated fat 0 g, protein 4.8 g, carbs 33 g includes fiber 3.2 g, and sodium 448 mg) as a snack. Not raining today but wet out and cloudy. I got a raise $2 per service hour unexpectedly and very thankful for. I went to Winco after work to get more oranges, grapefruits, red, orange, green bell peppers, danjou sm pears, gluten free spaghetti and red lentil penne pasta, and beyond meat is there cheaper at $8/pkg, and paper towels , toilet paper, wet cat food, and low skim Winco mozzarella cheese and avocados, and soup. Cannot find the ginger cashew carrot soup any more, it is either getting swiped up first or not being restocked even though the label is there. When I got home I started the laundry and changed the linens on bed and I ate a bowl of the spaghetti with (pasta: calories 200, fat 1 g no saturated fat, protein 4 g, carbs 44 g includes  fiber 1 g, and no sodium) with Priano 4 cheese pasta sauce (serving size 1/2 cup and 5 in the jar, calories 90, fat 3.5 g includes saturated fat 1 g, cholesterol 5 mg, sodium 460 mg, carbs 12 g includes fiber 3 g and sugars 8, protein 3 g, calcium 80 mg, iron 0.9 mg or 6%, potassium 520 mg)  parmesan  (serving 2 tbsp: calories 20, fat 1.5 g includes saturated fat 1 g, cholesterol 5 mg, sodium 100 mg, protein 2 g, carbs 0 g includes fiber and sugars 0 g each) and jack cheese (calories 200, fat 9 g includes saturated fat 9 g, protein 12 g, 0 fiber, and sodium 340 mg) around 5 pm and an orange (calories 81, sodium 2 mg, carbs 21 g including fiber 4 g and sugars 14 g, protein 2 g, vit A 8%, vit C 163%, calcium 7%, iron 1%) around 6 pm. A pear (calories 57, potassium 116 mg, sodium 1 mg, carbs 15 g of fiber 3 g and sugars 10 g, vit A 0.5%, vit C 7%, iron 1%, protein 0.36%) around 6:30 pm. Mensa was 2nd day and med-heavy. Cramping around 9 pm slightly before. Maybe not enough water, feel it in lower back and abs. Went to bed at 9 pm but a call woke me at 10 that I didn't answer. And slept on and off getting up to pee and change pad for mensa and sleep through cramps that got better. Next day woke up at 6 am.</t>
  </si>
  <si>
    <t>pectoralis major/deltoid - 10 lb</t>
  </si>
  <si>
    <t>weightLiftingIncrease_lbs</t>
  </si>
  <si>
    <t>weightLiftingDecrease_lbs</t>
  </si>
  <si>
    <t>glutenFree</t>
  </si>
  <si>
    <t>alcoholFree</t>
  </si>
  <si>
    <t>processedSweetsFree</t>
  </si>
  <si>
    <t>butterAddedFree</t>
  </si>
  <si>
    <t>meatFree</t>
  </si>
  <si>
    <t>HoursOfSleepLastNight</t>
  </si>
  <si>
    <t>Andes Chocolate mint pieces, serving sz 8 pcs</t>
  </si>
  <si>
    <t xml:space="preserve">bowl plain gluten free spaghetti with 
parmesan and 
Jack cheese 
1 orange
3 Andes chocolate mint candies.
2 corn quesadillas (Guerrero brand) with 
Jack cheese and paprika and 
1 small avocado
3 more Andes mints 
1 cup of noodles the shrimp flavor with meat and veggies emptied
8 more Andes mints
</t>
  </si>
  <si>
    <t>crunchy corn tacos Aldis, serving is 3,</t>
  </si>
  <si>
    <t>2 crunchy corn tacos Aldis</t>
  </si>
  <si>
    <t>Red Lentil Penne Pasta Barilla brand gluten free-serving 2oz, this is 3.5 oz</t>
  </si>
  <si>
    <t>organic creamy butternut squash soup Pacific brand-1 cup serving</t>
  </si>
  <si>
    <t>Woke up at 6:00 AM, had a cup of coffee, a BM, another cup of coffee. Didn’t' eat breakfast immedately and had another small BM and another one an hour later. Prepared data of this research since 6:00 AM until 9:25 am, had breakfast, pasta last bowl plain gluten free spaghetti (calories, fat,sat.fat, protein,carbs,fiber,sodium; 4 cheese Priano brand: 90,3.5,1,3,12,3,460, pasta noodles: 200,1,0,4,44,1,0) with parmesan and Jack cheese (20,1.5,1,2,0,0,100 parmesan and jack: 200,9,9,12,1,0,340) about 930 AM followed by an orange (81,0,0,2,21,4,2). Shower, because on my mensa 3rd day med, was med-heavy last night. Still have menstrual cramps but feeling them in my low back. Measurements with video documentation taken after shower. Around 11 am had 3 Andes chocolate mint candies (serving 8 pcs, for 3: 75,5,4.5,0.75,8.25,0.75, 7.5). After trying to enroll in some prerequisite DO courses at Fullerton/Cypress College, and finding I could remember my RCC student ID for unofficial transcript. Everything is waitlisted or closed. They start today, a couple courses tomorrow. Need the chem/biol/anatomy/microbiology prerequisites and to speak with a counselor, but offices closed in person. Around 1130 AM had 2 corn quesadillas (Guerrero brand) (100,1,0,2,21,2,20) with Jack cheese (200,9,9,12,1,0,340) and paprika and 1 small avocado (322,29,4,4,17,18,14). had 3 more Andes mints (serving 8 pcs, for 3: 75,5,4.5,0.75,8.25,0.75, 7.5) at 145 pm after my shower and before taking the resulting measurements with video documentation. At just before 3 pm had a cup of noodles (290,12,6,7,39,3,1150) voiding the gluten free diet, the shrimp flavor with meat and veggies emptied. Then about 315 pm had a full serving or 8 pcs of Andes mints (200,13,12,2,22,2,20). at about 630 pm had 2 crunchy tacos (105.6, 4.62, 1.32, 1.32, 13.86, 1.32, 0) with 1 small avocado (322, 29, 4, 4, 17, 18, 14), paprika, and Jack cheese (200, 9, 9, 12, 1, 0, 340). A grapefruit (92, 0, 0, 2, 24, 2, 0) around 7 pm. Around 730 PM had 7 pcs of Andes chocolate mints (175, 11.4, 10.5, 1.75, 19.25, 1.75, 17.5). Went to bed around 930 pm.</t>
  </si>
  <si>
    <t>shoulder lifts medial/posterior deltoids/latts 3 sets 10-12 reps 10 lbs
quads with leg extensions sitting 3 sets 10-12 reps 40 lbs
obliques side extensions 3 sets 12 reps 25 lbs
bench press 3 sets 10-12 reps barbell 65 lbs 
tricep extension above head dumbells 25 lbs 3 sets 10-12 reps
hamstrings leg flexion laying prone 3 sets 10-12 reps 35 lbs
calves 3 sets 12 reps 50 lbs total with dumbells
military press 3 sets 30 lb dumbells
upper trapezius shoulder shrugs 50 lbs dumbells 3 sets 10-12 reps
tricep chair dips 3 sets 12 reps no added weight
standing adductors 3 sets 10-12 reps 20 lbs
rhomboids scapula abduction 3 sets 12 reps 25 lbs
biceps curls 30 lbs 3 sets 10-12 
standing abducturs 3 sets 10-12 reps 20 lbs
squats 3 sets 10 reps barbell 45 lb + 40lbs added weight
leg lifts standing for abs, 3 sets 20 reps no added weight
dead lifts 3 sets 10-12 reps dumbells 50 lbs 
tricep extension rope standing 3 sets 25 lbs
upper abs 10 reps each side in 3 sets using rope extension curling down fwd at hips</t>
  </si>
  <si>
    <t>Parmesan Cheese 2 tbsp Winco brand</t>
  </si>
  <si>
    <t>green bell pepper</t>
  </si>
  <si>
    <t xml:space="preserve">Woke up at 6 am and slept most of the night sound asleep, had a couple of cups of coffee while making a red lentil penne pasta with beyond meat an orange bell pepper and a green bell pepper and a couple broccoli crowns with Del Monte brand 4 cheese pasta sauce. I drained the sauce after cooking it with the meat and veggies to use as a cup of soup later with avocado and 2 corn tortilla quesadillas. Cold outside in high 30 degrees. Had a sm BM after doing the dishes and putting away the food for later, but didn't eat breakfast yet by 8 am. Still shedding on Mensa day 4 but lighter or lightly. Around 815 am ate 2 corn tortilla jack cheese and paprika quesadillas with 1 cup Del Monte 4 cheese sauce as soup with 1/2 avocado. Put together an Rpubs Rmarkdown of the Research 2 on 21 days dieting/exercise/lipocavitation/waisttrimmer with basic linear modeling until readying workout, ate lunch a bowl of the penne pasta with other half of avocado and parmesan cheese, and an orange around 115 pm. Worked out at 2 pm until about 420 pm, no documentation with video. This is continuing research 2 but as a separate research omitting lipocavitation. Ate another bowl of pasta with jack cheese and parmesan cheese at about 5 pm then a grapefruit around 530 Pm and a pear at 6 pm. At about 6:40 pm had a couple of eggs boiled with salt and pepper and paprika. Bed time around 9 pm after watching Selena and Chef. Phone texting new client for couples around 9:45 pm, went to bed at 10 pm. </t>
  </si>
  <si>
    <t>UL_2knucklesBelowBellyButton</t>
  </si>
  <si>
    <t>BM</t>
  </si>
  <si>
    <t>Merlot Wine 5oz serving is about 61.5% of a cup</t>
  </si>
  <si>
    <t xml:space="preserve">(calories	fat_gram	saturatedFat_gram	protein_gram	carbs_grams	fiber_grams	sodium)
2 corn tortilla 
(tortillas 4:    200	2	0	4	42	4	40)
quesadillas with 1/2 cup Jack Cheese 
(150	6.75	6.75	9	0.75	0	255)
1 cup Del Monte 4 cheese pasta sauce from beyond meat brocc/redgreenpeppers drained earlier 
(Del Monte sauce: 60	1	0	2	12	2	420)
1/2 avocado in soup above 
(avocado 1/2: 161	14.5	2	2	8.5	6.5	7)
bowl of penne pasta with other 
(penne: 330	2.5	0.5	23	61	11	0)
(beyond:260	18	5	20	5	2	350)
(broccoli: 31	0.34	0.04	3	6	2	30.03)
(red bell pepper: 37	0	0	1	7	2	5)
(green bell pepper:40	0	0	1	10	3	0)
1/2 avocado 
(avocado 1/2: 161	14.5	2	2	8.5	6.5	7) and 
2 tbsp parmesan cheese ( 20	1.5	1	2	0	0	100) and 
1 orange (81	0	0	2	21	4	2)
bowl of penne pasta
(penne: 330	2.5	0.5	23	61	11	0)
(beyond:260	18	5	20	5	2	350)
(broccoli: 31	0.34	0.04	3	6	2	30.03)
(red bell pepper: 37	0	0	1	7	2	5)
(green bell pepper:40	0	0	1	10	3	0)
with 
parmesan cheese ( 20	1.5	1	2	0	0	100)
jack cheese 1/3 cup (100	4.5	4.5	6	0.5	0	170)
grapefruit (92	0	0	2	24	2	0)
pear  (57	0	0	0	15	3	1)
2 eggs boiled (140	10	3	12	0	0	140)
</t>
  </si>
  <si>
    <t>applesauce Aldis brand 1/2 cup serving</t>
  </si>
  <si>
    <t>applesauce Aldis brand 1  cup serving</t>
  </si>
  <si>
    <t>Merlot Wine bottle 750 mL 25 oz</t>
  </si>
  <si>
    <t>DaySinceMenstruationStarted</t>
  </si>
  <si>
    <t>cardioRounds</t>
  </si>
  <si>
    <t>cardioMinutesPerRound</t>
  </si>
  <si>
    <t xml:space="preserve">woke up at 5 am because alarm was still set for lipocavitation but not doing that now. Had a cup of coffee got ready for Norco college couple courses psychology 1 and Biology 18 genetics human, as prerequs for MSPA program at Western University and paid on credit card. Had another cup of coffee and a lg BM bw 1st and 2nd cup of coffee. then ate breakfast around 710 am.  Breakfast was a bowl of the penne pasta with beyond meat and brocc/peppers with parmesan cheese. At work had a slow day and no appointments until 12:15 pm. I had about 40 red grapes and a pear for a morning snack waiting around 10 am and then for lunch around 11 am I had 1 1/2 cups of roasted red pepper soup with 2 corn tortilla quesadillas with 1/2 cup Mozzarella cheese low skim, an orange, and an avocado with the soup and quesadillas. Went home after 2 1/2 hours of massages from new people, one scheduled and a late add with a history of a different person only at our location every visit, had COVID 5 wks ago and numerous health problems and antivaxer didn't want the wear mask over nose but had to bc of regulations to operate. Nice lady but odd having as a walk in for last appointment, tipped well though. Got home after going to Aldi's decided I want some wine and bought some as well as more of the same cruncy tacos, a block of their Jack cheese, 2 applesauce jars one cinnamon and one original to curve my sweet tooth cravings. Started a new measurement today of two knuckles below belly button BB to keep track of the fibroid hormonal related to size and bloat. It is the fifth or 5th day of shedding the uterine lining, spotty and almost done. This is when the uterus is free of the need to use estrogen receptor and progesterone receptor sites to bind and bloat belly. Still haven't posted the blog, but did the ML with linear regression and found the number of lipocavitation cumulative sessions does affect the waistline measurement that day and that the number of minutes of cardio the day before affect the weight scale measurements. Other ML measures and significant findings were produced, but want more relationships. Drank a glass of wine after taking measurements and half way through had a small BM. Had a bowl of pasta a half hour later, and a 1/2 cup of wine. then some potato chips and sour cream. Later some applesauce that got everywhere opening it due to a faulty cap. Finished the bottle of wine. Before the last cup and a half of wine had another sm BM. Then later around 830 PM had 2 corn tortilla quesadillas with low skim milk Mozzarella cheese and paprika with 1 cup of roasted red pepper tomato soup. Went to bed around 9:30 pm after a cup of the teavana beach bellini tea with tropical fruit flavors from Marshall's. </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</si>
  <si>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40 red grapes approx 2 cups
(208	0	0	2	54	2	6)
pear (57   0    0   0    15    3   1)
2 corn tortilla quesadillas 
4 tortillas Guerrero brand ((200 	2	0	4	42	4	40))
1/2 cup Mozzarella low skim cheese (160	   10	 7	12     	2    0	    380)
1 1/2 cups roasted red pepper soup Pacific brand 
(180	4.5	3	9	28.5	3	495)
1 avocado (322	29	4	4	17	18	14)
1 orange (81	0	0	2	21	4	2)
1 cup of Blackstone Merlot Aldi's purchase approximately 3/5 a cup is one serving or 62.5% of a cup (5/3) X 1 serving is:
bowl of penne pasta red lentil gluten free 
(330	2.5	0.5	23	61	11	0)
beyond meat (260	18	5	20	5	2	350)
Del Monte 4 cheese sauce (60	1	0	2	12	2	420)
broccoli (31	0.34	0.04	3	6	2	30.03)
red peppers (37	0	0	1	7	2	5)
green peppers (40	0	0	1	10	3	0)
parmesan cheese (20	1.5	1	2	0	0	100)
mozzarella cheese about 1/2 cup (160	10	7	12	2	0	380)
1 serving 1/2 cup Merlot Blackstone brand wine
handful or about 15 potato chips Dip Chips
(150 10 1.5 1 15 1 140)
2 tbsp sourcream Winco brand
(60	5	3.5	1	2	0	15)
applesauce Aldis original 1/2 cup serving but 1 cup
(200 0   0   0   50   4   0)
finished the last glass of wine, the bottle was 750 mL and that is approx 25 oz.
1 serving is 5 oz, that is 5 servings
(615	0	0	0	20	0	30)
2 corn tortilla Mozzarella quesadillas with paprika
4 corn tortillas: (200	2	0	4	42	4	40)
1/2 cup mozzarella cheese: (160	10	7	12	2	0	380)
1 cup roasted red pepper tomato soup: 
(120	3	2	6	19	2	330) 
</t>
  </si>
  <si>
    <t>tricep extension above head dumbells 25 lbs 3 sets 10-12 reps
hamstrings leg flexion laying prone 3 sets 10-12 reps 40 lbs	+5
calves 3 sets 12 reps 50 lbs total with dumbells
military press 3 sets 30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+10
standing abducturs 3 sets 10-12 reps 20 lbs
bench press 3 sets 8 reps barbell 75 lbs	+10 
squats 3 sets 10 reps barbell 45 lb + 40lbs added weight
leg lifts standing for abs, 3 sets 20 reps no added weight
dead lifts 3 sets 10-12 reps dumbells 50 lbs 
tricep extension rope standing 3 sets 25 lbs
upper abs 10 reps each side in 3 sets 25 lbs using rope extension curling at hips</t>
  </si>
  <si>
    <t>biceps +10, hamstrings +5, pectoralis major +10</t>
  </si>
  <si>
    <t>Woke up at 2 am dehydrated, drank 1/2 bottle of water, laid in bed until 430 am and got up restarted the dryer and cleaned dog messes as usual. Had a cup of ice and coffee, checked my waist and 2" below fibroid, 32 1/2" and 34" respectively. Had a small BM at 510 am and measured waist and fibroid belly and got 32 1/2" and 33 1/2" respectively.And reweighed self at 140.6 the same. Around 630 AM had the last bowl of penne pasta. Tired tried for a nap afterwards. Mensa is practically gone just light spotting and yesterday was spotty, day before light, medium, medium-heavy, light, spotty day it started. So I marked it as a mensa day. But tomorrow will likely be completely gone. Took a nap for two hours at 7 am until 9 am, but got about 1-1 1/2 hours sleep, then worked out, upped the cardio to 9 five minutes rounds for 45 minutes total. Little warmer today than yesterday, sweat with sweat suit shirt on and turtleneck. Still chilly to start. After working out had 2 corn tortilla quesadillas with low skim Mozzarella cheese and paprika, 2 eggs over medium in olive oil, 1 small avocado, a third cup of coffee, and a cup of applesauce. Probably not going to take a nap today again before work. After working out and eating lunch and taking off my 31" small waist trimmer, I measured the waist and fibroid waist and got 31" and 33" respectively before taking a shower. After work around 955 PM right after taking the waist trimmer off the waist was 31 and the fibroid waist was 33 1/2" before bed at 11 pm.</t>
  </si>
  <si>
    <t xml:space="preserve">bowl of penne pasta red lentil gluten free 
(330	2.5	0.5	23	61	11	0)
beyond meat (260	18	5	20	5	2	350)
Del Monte 4 cheese sauce (60	1	0	2	12	2	420)
broccoli (31	0.34	0.04	3	6	2	30.03)
red peppers (37	0	0	1	7	2	5)
green peppers (40	0	0	1	10	3	0)
parmesan cheese (20	1.5	1	2	0	0	100)
2 corn tortilla Mozz quesadillas
4 corn tortillas: (200	 2	0	4	42	4	40)
1/2 cup Mozzarella low skim cheese: (160	10	7	12	2	0	380)
2 eggs (140	10	3	12	0	0	140)
1 small avocado: (322	29	4	4	17	18	14)
1 cup applesauce: (200	0	0	0	50	4	0)
For lunch I packed
2/3 cup oats and honey Cascade Farms 
(270	7	1	6	46	3	55)
2 1/2 cups Chex cerel (300	2	0	6	66	4	560)
1 orange (81	0	0	2	21	4	2)
1 grapefruit (92	0	0	2	24	2	0)
1 corn tortilla quesadilla with mozzarella and paprika
2 corn tortilla (100	1	0	2	21	2	20)
1/4 cup mozzarella cheese (80	5	3.5	6	1	0	190)
1 cup of roasted red pepper tomato soup 
(120	3	2	6	19	2	330)
</t>
  </si>
  <si>
    <t>spaghetti squash 1 cup cooked</t>
  </si>
  <si>
    <t>small tomatoes 1 medium tomato</t>
  </si>
  <si>
    <t>walnuts 7 whole or 1 oz</t>
  </si>
  <si>
    <t>Monterey Jack Cheese Aldis block serving 1 oz</t>
  </si>
  <si>
    <t>Fri</t>
  </si>
  <si>
    <t>quads/hips +10</t>
  </si>
  <si>
    <t>tricep extension above head dumbells 25 lbs 3 sets 10-12 reps
hamstrings leg flexion laying prone 3 sets 10-12 reps 40 lbs	
calves 3 sets 12 reps 50 lbs total with dumbells
military press 3 sets 40 lb dumbells +10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12 reps 25 lbs
biceps curls 40 lbs 3 sets 8 reps 
standing abducturs 3 sets 10-12 reps 20 lbs
bench press 3 sets 8 reps barbell 75 lbs	
squats 3 sets 10 reps barbell 45 lb + 50lbs added weight +10
leg lifts standing for abs, 3 sets 20 reps no added weight
dead lifts 3 sets 10-12 reps dumbells 50 lbs 
tricep extension rope standing 3 sets 25 lbs
upper abs 10 reps each side in 3 sets 25 lbs using rope extension curling at hips</t>
  </si>
  <si>
    <t>11 .25</t>
  </si>
  <si>
    <t>1 small avocado (322	29	4	4	17	18	14)
2 corn tortill mozzarella cheese quesadillas
4 corn tortillas (200	2	0	4	42	4	40)
1/2 cup mozzarella cheese (160	10	7	12	2	0	380)
1/2 bowl of the spaghetti squash with tomatoes and jack cheese and herbs
spaghetti squash (42	0.4	0	1	10	2.2	412)
jack cheese (block pieces approx 1/4 cup)
(100	8	5	7	0	0	170)
5 small organic tomatoes (22.1	0.2	0	1.1	4.8	1.5	6.2)
herbs like sage, thyme, basil, and dill all fresh
1/4 cup of walnuts (190	18	1.5	4	4	2	0)
1/2 cup of chex (150	1	0	3	33	2	280)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t>
  </si>
  <si>
    <t xml:space="preserve">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parmesan cheese 1 serving 2 tbsp (20	1.5	1	2	0	0	100)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orange (81	0	0	2	21	4	2)
grapefruit (92	0	0	2	24	2	0)
1 bowl of gluten free pasta with parmesan cheese and made with beyond meat and spaghetti squash made last night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1 serving 2 tbsp (20	1.5	1	2	0	0	100)
mango (107	0	0	1	28	3	3)
</t>
  </si>
  <si>
    <t>Woke up at 4:45 went pee, had to pee frequently between 9 pm and 11 pm from water circulating through during my workout that ended two hours before bed time. Stayed in bed till 6 am. Had a cup of coffee. Took measurements. Weight said 139.4 and set aside the digital scale after a few minutes said 141.4, I redid the measurement and it said 139.4, so I kept that measurement. I have a couples massage in Corona after work I get out at 3 pm. Belly button is starting to stick out a bit but not as much as closer to menstruation. Liquid discharge at night its been a week since uterine lining shedding and a few days since it stopped shedding. There's some days there are some light liquid discharge at night. Had a lg BM by 2nd cup of coffee. For breakfast around 730 am had a bowl of pasta made last night with parmesan cheese. At work for lunch had a bowl of the pasta around 12 pm a 3rd cup of coffee and a grapefruit and an orange. For dinner when arriving back from work around 345 pm had a bowl of the same pasta with bluecheese and parmesan cheese. Have a couples massage 90 minutes each new clients at 6 pm local about 15 minutes from home and new clients filled out consent and is a surprise for the husband, but he needs his filled out. Had a mango around 420 pm and it was ripe and sweet, not tart, kept them out instead of in the fridge. The fruit is just firm and able to be squeezed a bit and doesn't fill solid with no squeeze room or too juicy. Perfect mango. Went to massage appointments at 5:30 pm only 9 minutes or 3.7 miles away. Nice couple one is a PT other an accountant young. Got home, laundry, notes, receipt, etc. Didn't eat anything. Tired. Went to bed at 10:30 pm.</t>
  </si>
  <si>
    <t>2 eggs over medium (140	10	3	12	0	0	140)
1 small avocado (322	29	4	4	17	18	14)
2 corn tortill mozzarella cheese quesadillas
4 corn tortillas (200	2	0	4	42	4	40)
1/2 cup mozzarella cheese (160	10	7	12	2	0	380)
2 oranges (162	0	0	4	42	8	4)
1 grapefruit (92	0	0	2	24	2	0)
1 1/2 cups chex cereal
(150   1	 0	3	32	2	280)
2 cups roasted pepper tomato soup Pacific brand
(240	6	4	12	38	4	660)
spaghetti squash (42	0.4	0	1	10	2.2	412)
jack cheese (block pieces approx 1/4 cup)
(100	8	5	7	0	0	170)
5 small organic tomatoes (22.1	0.2	0	1.1	4.8	1.5	6.2)
herbs like sage, thyme, basil, and dill all fresh
1/4 cup of walnuts (190	  18	1.5	4	4	2	0)
1 cup of applesauce (200	0	0	0	50	4	0)
1 tea bag of Teavana Beach bellisimo tea from Marshall's bought a few days ago 
(5    0    0    0    1    0    0)
1/2 cup chex (75   0.5	 0	1.5	16	1	140)</t>
  </si>
  <si>
    <t>Woke up at 4 am but had a 1/2 hour nap between laying back down after restarting the dryer and cleaning dog messes until 530 am. Had a cup of coffee while measuring my waist and fibroid. The waist is 32 1/2" and fibroid 33 1/2-34" depending on how tight I pull the tape measure. Weight was the same as last night before bed. My belly button is goind inward instead of sticking out and it hurts a little inside around the belly button. Had a BM while drinking 1st cup of coffee. Then another small BM before breakfast , and another small one before my shower. For breakfast I had a small avocado that I scraped black stuff from with 2 corn tortill mozzarella and paprika quesadillas. Maybe the herbs and spaghetti squash or maybe the teavana beach bellisimo tea I had last night an hour before bed time made me have more BMs not sure. But 3 BMs before work. Full schedule at work until 2 pm, went to Winco after work and was going to buy the supplies and get a money order at Wal mart but they aren't a one stop shop because it irritated me that I had to get assistance to buy disposable razors. I asked two workers busy putting stuff away, one told me to push the button, I didn't see the button, the other showed me where when she went by also obviously more worried about putting away their stock supplies. I pushed the button and waited 2 minutes after seeing the time. I give up on Wal-mart. I am seriously done with them. Even Winco doesn't lock up disposable razors like their employees' time is worthless and their consumers' time is also worthless. Not a motto I can be happy making any purchases with given that there are better options that don't make me feel like my time is worthless. Wasted 1/2 hour of my hour break there before concluding I will never shop there and for lunch when I got back I ate about a 1/2 cup of chex and a bowl of the spaghetti squash with tomatoes and jack cheese and herbs made last night. I brought a grapefruit but didn't eat it. I also had my 3rd cup of coffee on my lunch break before Wal-Mart. When I went to Winco got my supplies more than normal paper towels because of the rains and pups peeing and crapping all over the floors instead of outside. Made the spaghetti squash from last night into a beyond meat Del Monte 4 cheese pasta sauce with 2 packages of gluten free barilla spaghetti. Turned out great. They all taste the same. Pre packaged it into 6 to go containers of about 2 cups each container with about the same amount of pasta and sauce fillings. I worked out after eating a bowl with parmesan cheese for 12 - 3 minute rounds of kickboxing then the full workout of 18 exercises not following the list. Only increased the quads with squats and pectoralis major in military pressby 10 pounds to 95 pounds instead of 85 pounds and kept the increased weight on the other exercises from the other day. Weighed myself after my workout and was 144 on the dot. Only drank 2 bottles of water and sweat some but not a lot, kind of chilly out but not the coldest. Took my measurements after working out about an hour after and my arms are 11.25" relaxed but 12" flexed with the muscle. waist 31" and fibroid 33 1/2" an hour after taking off waist trimmer, 22 1/2" on thighs around thighs when knee up to 90 degrees, slightly more to 23" when just standing. I added another row for these new measurements at the end of the day. Went to bed around 9:30 PM</t>
  </si>
  <si>
    <t>Woke up at 530 am and lied in bed until 630 am. Had a cup of coffee and lg BM. Took waist measurements around belly button and fibroid for 31 1/2" around waist and 33" around fibroid. Rained last night all night the roommate says. Wet outside. Ate breakfast 2 eggs, 1 avocado, 2 quesadillas, went to work, had an orange before work, then for lunch had another orange, a grapefruit, a cup and a half of Chex cerel and 2 cups of roasted red pepper tomato soup. Then after work wanted a spaghetti squash from looking at recipes on the ipad at work, got sage, thyme, basil, dill fresh herbs, a bag of walnuts, and a pkg of 8 small round tomatoes a quarter the size of a regular sized tomato organic too. Baked the squash and tomatoes with some block pieces of jack cheese from Aldis bought the other day and the herbs and olive oil. Watched a move The Little Things on HBO Max. No workout today. Rained today and wet and cold outside. Ate 1/2 cup of chex while watching movie, kind of lame movie BTW. Did laundry before bed. Had a lg BM before bed. That's out of the ordinary because not on my rag and not drinking today. Possibly the herbs and spaghetti squash I never had before that I ate earlier. Measured my waist and fibroid and got 32 1/2" and 34" respectively. Got some books and charts that were ordered to prepare for premed courses, but not happy with the $10 anatomy/physiology coloring book as it is super basic. Went to bed around 9:30 pm.</t>
  </si>
  <si>
    <t>tricep extension above head dumbells 25 lbs 3 sets 10-12 reps
hamstrings leg flexion laying prone 3 sets 10-12 reps 40 lbs	
calves 3 sets 12 reps 50 lbs total with dumbells
military press 3 sets 40 lb dumbells 
upper trapezius shoulder shrugs 50 lbs dumbells 3 sets 10-12 reps
quads with leg extensions sitting 3 sets 10-12 reps 40 lbs
shoulder lifts medial/posterior deltoids/latts 3 sets 10-12 reps 10 lbs
obliques side extensions 3 sets 12 reps 25 lbs
tricep chair dips 3 sets 12 reps no added weight
standing adductors 3 sets 10-12 reps 20 lbs
rhomboids scapula abduction 3 sets 10 reps 25 lbs
biceps curls 40 lbs 3 sets 8 reps 
standing abducturs 3 sets 10-12 reps 20 lbs
bench press 3 sets 8 reps barbell 75 lbs	
squats 3 sets 10 reps barbell 45 lb + 50lbs added weight 
leg lifts standing for abs, 3 sets 20 reps no added weight
dead lifts 3 sets 10-12 reps dumbells 50 lbs 
tricep extension rope standing 3 sets 25 lbs
upper abs 10 reps each side in 3 sets 20 lbs using rope extension curling at hips -5
lower abs with cable 20lbs leg lifts each side +20</t>
  </si>
  <si>
    <t>upr abs cable -5</t>
  </si>
  <si>
    <t>lwr abs cable +20</t>
  </si>
  <si>
    <t xml:space="preserve">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t>
  </si>
  <si>
    <t>blue cheese crumbles Treasure Cave brand Winco 1/4 cup serving sz</t>
  </si>
  <si>
    <t xml:space="preserve">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2 corn tortilla quesadillas with mozz/bluech/cinn/paprk
4 corn tortillas (200	2	0	4	42	4	40)
1/2 cup mozzarella cheese (160	 10	7	12	2	0	380)
1/4 cup blue cheese crumbles (100	8	4.5	5	2	0	360)
</t>
  </si>
  <si>
    <t>Woke up at 6:30 am and had a cup of coffee while finishing up SOAP notes from last night. Then had a lg BM and another cup of coffee. Took my weight and measurements. Also, more liquid discharge this morning. It is the 10th day since shedding of last mensa started. Loosely keeping track of hormonal changes before estrogen and progesterone change uterus and then shed. Had a bowl of pasta with the bluecheese and parmesan cheese and a mango. Was able to add Chemistry 1A for General Chemistry to my Spring schedule and drop the Psychology course, paid additional 92+287 for 2 more units after dropping 3 units and the text books. Have to return the books for Amazon Kohl's and pick up textbooks when I get an email confirming the order is ready. Working out late today as it is my day off and already past 9 am. Need to file my taxes before I get too busy and I have all my W-2s. Filed my taxes, turned out great. Went to bank deposited cash and got some health and beauty supplies and snacks and trash bags. Worked out at 4 pm kind of chilly at 68 degrees, did 45 minutes of cardio kickboxing winged it 3 rounds boxing, 3 rounds kicks, 3 rounds mixed. Ate a bowl of pasta with parmesan cheese and blue cheese before doing errands and working out around 1 pm, and it gave me heart burn when doing the weight lifting or acid reflux like vomit or gag. Have been wearing the waist trimmer 31" during all these workouts but only got it today. Also the last grouped exercises had the aura migraine but not the headache pain just the light blind spot, and it was dark already slightly after 5 pm. Worked out until 6 pm. Checked mail, and haven't had any for 2 weeks, left a message with USPS to tell me where it is and if it is a new delivery guy not delivering it, not even junk.  Then ate a couple of the corn tortilla quesadillas with mozzarella cheese but added cinnamon and bluecheese to the paprika flavor. Actually turned out really good or delightful to my taste buds. Drank about 2 bottles of water during my workout. Changed schedule for work yesterday to Tue/Thur off instead of Mon/Tue starts next week. I was able to add that Chemistry TTh because of the schedule change. Yay! Spring semester starts in two weeks mid feb 16th through mid June. Took back the psychology and anatomy books ordered and dropped that psychology course to take the General Chemistry 1A and the genetics course. All paid. Paid the taxes too $79 on taxslayer. Learned a new way of writing off my expenses, got less money back this year, but still good. I will probably be up peeing on and off due to working out late. Added a new lower abs with weight 20 lbs using the cable to my ab routine. Now have 20 exercises instead of 18 because of the upper abs added a few workouts ago. Went to bed around 845 pm to 9pm and didn't have problems sleeping</t>
  </si>
  <si>
    <t>Krusteaz blueberry muffins, 2 muffins, 12 per box</t>
  </si>
  <si>
    <t>Krusteaz blueberry muffins, 12 muffins, 12 per box, used 3 eggs, 3/4 cup sour cream, 1/4 cup cinnamon applesauce, and coconut oil instead of butter 1/3-1/4 cup</t>
  </si>
  <si>
    <t>1 bowl of gluten free pasta with parmesan cheese and made with beyond meat and spaghetti squash baked 40 min 400F, with jack cheese, herbs, and tomatoes, and Del Monte four cheese pasta sauce.
gluten free pasta (200	1	0	4	44	1	0)
beyond meat (260	18	5	20	5	2	350)
Del Monte 4 cheese pasta sauce (60	1	0	2	12	2	420)
spaghetti squash (42	0.4	0	1	10	2.2	412)
jack cheese (block pieces approx 1/4 cup)
(100	8	5	7	0	0	170)
5 small organic tomatoes (22.1	0.2	0	1.1	4.8	1.5	6.2)
herbs like sage, thyme, basil, and dill all fresh
1/4 cup of walnuts (190	18	1.5	4	4	2	0)
bluecheese (100	8	4.5	5	2	0	360)
parmesan cheese (20	1.5	1	2	0	0	100)
mango (107	0	0	1	28	3	3)
orange (81	0	0	2	21	4	2)
Blueberry gluten free muffins the box by end of day with about 6 tablespoons of sourcream and 1/4 cup applesauce instead of milk and coconut oil instead of butter. The Krusteaz brand. 
That is 12 muffins, that called for 3 eggs as well.
	(1440	12	0	12	324	6	2940)
3 eggs 	(210	15	4.5	18	0	0	210)
3/4 cup sourcream (180	 15	10.5	3	6	0	45)
1/4 cup cinnamon applesauce (100	0	0	0	25	2	0)
2 corn tortilla quesadillas with mozz/bluech/cinn/paprk
4 corn tortillas (200	2	0	4	42	4	40)
1/2 cup mozzarella cheese (160	 10	7	12	2	0	380)
1/4 cup blue cheese crumbles (100	8	4.5	5	2	0	360)
orange (81	0	0	2	21	4	2)</t>
  </si>
  <si>
    <t>bluecheese Emporium Selection Brand, serving size 1 oz or 28 g, 5 per container</t>
  </si>
  <si>
    <t>Woke up at 5 am with enough sleep and laid in bed till about 530 am. Went to bed tired last night before 9 pm. Didn't have to get up to pee while asleep surprisingly. Had a cup of coffee and took measurements while drinking it. Had a BM after 1st cup of coffee and while drinking 2nd cup. Ate breakfast around 745 am, the last bowl of the pasta made a few days ago with bluecheese and parmesan cheese and a mango. Then made Krusteaz gluten free muffins with a substitution of coconut oil for butter, and 1/3 cup sourcream and 1/4 cup cinnamon applesauce for the 3/4 cup milk. And added 1/4 cup fresh blueberries organic to the canned blueberries.  ate 2 muffins, then 2 more 10 minutes after that, an orange, and had a break then 2 more, went to the bookstore to get one text book that came in and had 2 more muffins and 2 corn tortilla mozzarella cheese with blue cheese quesadillas and added cinnamon and paprika to one of them because I forgot the first one. Definitely tastes better with the spices, tangy. Began reading my intro to chemistry CHE-2A back in 2013 notes upon returning from book store and realized it is a good idea to finish reading up on those notes. Almost forgot all of it, but its coming back to me. My notes were terrible BTW bc of the fast writing while in lectures. I plan on eating the whole tin or 12 muffins. The roommate continues to do nothing but bitch about his shit not working and I seriously don't think he ever does anything but bitch, scream, cuss, and complain from minute 0 he awakes until he comes back from work the next morning. Nothing but bitching about shit that isn't that serious. So annoying. Working on the 12th muffin now its 6 pm. No workout today. Started watching some UK show, 'The Sister' on Hulu. Not difficult to turn off. Tried Bridgerton, didn't get into it by mid 1st episode. I can put the entire nutrition value on the daily calories consumed for the muffins. Didn't make any pasta today. I am counting this as processed sweet of a 0 in dieting. Had an orange at 7 pm. Went to bed around 9 pm after washing the pups' blankets in 2 loads.</t>
  </si>
  <si>
    <t xml:space="preserve">tricep extension above head dumbells 25 lbs 3 sets 10-12 reps
hamstrings leg flexion laying prone 3 sets 6-8 reps 45 lbs	+5
calves 3 sets 12 reps 50 lbs total with dumbells
military press 3 sets 40 lb dumbells 
upper trapezius shoulder shrugs 50 lbs dumbells 3 sets 10-12 reps
quads with leg extensions sitting 3 sets 8-10 reps 45 lbs	+5
shoulder lifts medial/posterior deltoids/latts 3 sets 6-8 reps 15 lbs	+5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+5
lower abs with cable 25 lbs leg lifts each side 	+5
tricep chair dips 3 sets 12 reps no added weight
standing adductors 3 sets 6-8 reps 25 lbs	+5
rhomboids scapula abduction 3 sets 10 reps 25 lbs
biceps curls 40 lbs 3 sets 8 reps 
standing abducturs 3 sets 6-8 reps 25 lbs	+5
bench press 3 sets 8 reps barbell 75 lbs	
</t>
  </si>
  <si>
    <t>hamstrings +5, quads +5, shoulders +5, inner thigh +5, outer thigh +5, upper abs +5, lower abs +5</t>
  </si>
  <si>
    <t xml:space="preserve">Woke up at 530 am by alarm and slept all the way through without any problems, had a cup of coffee and a BM when drinking the cup of coffee. Took my measurements. Posted a new blog on my findings from the 21 days Research on lipocavitation, exercise, and dieting by 715 am. Had my 2nd cup of coffee while doing so. Also had a 2nd BM between the earlier one and finishing the blog. Made 2 corn tortilla and mozzarella with blue cheese (new from Aldis-Emporium Selection brand) and paprika and cinnamon quesadillas but only ate 1/2 a quesadilla as I saved the other 1 1/2 for work. I ate a mango while waiting for them to cook. Went to work, Ate the 1 1/2 quesadillas on my lunch break and an orange and a small avocado with 1 cruncy taco from Aldi's and 5-6 walnuts and a 3rd cup of coffee. Did a workplace harassment hour long video and left. Worked out at 500 PM did 15 3-minute rounds free style and the normal 20 exercises now of weight training with some weight increases. Had terrible heart burn or vomit type acid reflux, getting stuck in my throat, made it burn like stomach acid burn. Was wearing my 31" waist trimmer like all workouts. Weighed my self at 750 PM about 45 minutes after working out and weighed 144.8 lbs. Drank only a bottle and a half or less during my workout. Sweat some but the acid reflux was terrible. My hair didn't get in the way due to the two braids and a hair scarf. Spoke with a Linked In contact recently made recruiting for office 365 fastrack for a data analyst/scientist with NLP experience and the cloud with Azure experience in ML and DL tools for ML and DL and chatbots. Sounds interesting. Seattle based, but remote. Not that hungry, probably because of the acid reflux and workout with different arrangement of 45 minutes of cardio. Suppressed my appetite for a while. Will check back. It is now 8 pm. Had a couple cage free organic eggs with orange yolk fried the usual style in olive oil or over medium with 1 corn tortilla and mozzarella and paprika quesadilla. Acid reflux still there. Tired, going to bed probably by 930 pm it is 910 pm now. </t>
  </si>
  <si>
    <t>2 corn tortilla quesadillas
4 corn tortillas Guerrero (200	  2	0	4	42	4	40)
1/2 cup mozzarella cheese (160	10	7	12	2	0	380)
2 servings blue cheese Emporium Selection brand 
(200	16	9	10	4	2	720)
1 orange (81	0	0	2	21	4	2)
1 small avocado (322	29	4	4	17	18	14)
1 crunchy taco Aldi's brand (52.8	2.31	0.66	0.66	6.93	0.66	0)
1 serving walnuts (190	18	1.5	4	4	2	0)
2 organic cage free eggs (140	10	3	12	0	0	140)
1 corn tortilla quesadilla
2 corn tortillas (100	1	0	2	21	2	20)
1/4 cup mozzarella cheese (80	5	3.5	6	1	0	190)</t>
  </si>
  <si>
    <t xml:space="preserve">Simply Nature Tomato soup 1 cup </t>
  </si>
  <si>
    <t xml:space="preserve">Woke up at 4 am and lied in bed until 430 am, then got up, had a cup of coffee after cleaning up the pet messes. Already out of 2 6 pack of cheap paper towels bought Sunday. Have 2 1/2 rolls left. They make a lot of messes. Also took apart the basil herb plant as many were dead. Didn't have a BM after 2 cups of coffee, had warm water with tiny bit of instant coffee, but had a BM before drinking it. Reviewed chemistry 2A and realized I forgot a great deal of it. Plan for doing a few hours of that review before 9 am. It's 6 am now. For breakfast around 9 am had 2 scrambled eggs with 2 corn tortilla and mozzarella with paprika quesadillas and 1 1/2 cups of cinnamon applesauce. Reviewed the intro chemistry took a little nap around 10 am for about 15-20 minutes, then reviewed some more and ate a cup of blueberries organic, and later showered and had lunch at 12 and 1230. Two quesadillas corn tortillas with blue cheese and mozzarella cinnamon and paprika and 1/2 can or 1 cup of tomato soup from the Aldi's Simply Nature brand and my 3rd cup of coffee at home with instant coffee instead of at work. At work, before work went to the Aldis across the street and got 2 bags of oranges a bag of grapefruits and a stack of bananas not yet rip still green. I was early and ate a grapefruit, orange, and banana before work. For dinner had 3 crunchy tacos, with 1 small avocado and mozzarella cheese, 1 cup of Chex to snack on and two oranges. </t>
  </si>
  <si>
    <t xml:space="preserve">2 corn tortilla quesadillas
4 corn tortillas Guerrero (200	  2	0	4	42	4	40)
1/2 cup mozzarella cheese (160	10	7	12	2	0	380)
2 organic cage free eggs scrambled (140	10	3	12	0	0	140)
1 1/2 cups cinnamon applesauce (300	0	0	0	75	6	0)
1 cup blueberries (42	0	0	1	13	2	1)
2 corn tortilla quesadillas
4 corn tortillas Guerrero (200	  2	0	4	42	4	40)
1/2 cup mozzarella cheese (160	10	7	12	2	0	380)
bluecheese (100	8	4.5	5	2	0	360)
1 cup tomato soup Simply Nature (130	3	0	3	23	2	620)
3 oranges (243	0	0	6	63	12	6)
1 grapefruit (92	0	0	2	24	2	0)
1 banana not ripe yet (105	0	0	1	27	3	1)
1 cup Chex  (150	1	0	3	33	2	280)
3 crunchy tacos (160	7	2	2	21	2	0)
1/2 cup mozzarella cheese (160	10	7	12	2	0	380)
1 small avocado (322	29	4	4	17	18	14)
</t>
  </si>
  <si>
    <t>Woke up at 5 am and stayed in bed till the roommate got back at 530 am then laid in bed until 6 am. Had my cup of coffee ready by 615 am and took measurements then had a lg BM. Balanced check book, wrote notes for massage appointments today after work, had my 2nd cup of coffee, then paid my personal and commercial vehicle payments after checking to see my work pay was direct deposited. Then had anoter reg. sz BM. For breakfast had the other 1/2 a can of tomato soup from yesterday is 1 cup, and 2 corn tortilla mozz paprk cinn bluech quesadillas. For lunch had a banana, 2 oranges, a pear, 3/4 avocado because the other 1/4 was scraped off and black, with 1/4 cup butternut squash soup and 2 crunchy tacos broken up into the mix of soup and avocado, tasted like guacomole with a sweet edge. After work had the same two quesadillas with corn tortillas mozz cinn bleuch paprk and about 3/4 cup of the butternut squash soup. Got back from private clients and got great reviews from one on Yelp and Google. Awesome! Then another called for this weekend. Yay. Did the laundry and SOAP notes and office work then had a cup of butternut squash soup before bed around 1045 pm.</t>
  </si>
  <si>
    <t>Avocado_3/4</t>
  </si>
  <si>
    <t>Sliced Muenster Cheese AldisHappy Farms Brand 1 slice serving</t>
  </si>
  <si>
    <t>Sliced Mozzarella Cheese Aldis Happy Farms Brand 1 slice serving</t>
  </si>
  <si>
    <t>2 corn tortilla quesadillas
4 corn tortillas Guerrero (200	  2	0	4	42	4	40)
1/2 cup mozzarella cheese (160	10	7	12	2	0	380)
bluecheese (100	8	4.5	5	2	0	360)
1 cup tomato soup Simply Nature (130	3	0	3	23	2	620)
2 oranges (162	0	0	4	42	8	4)
1 banana not ripe yet (105	0	0	1	27	3	1)
1 pear (57	0	0	0	15	3	1)
2 crunchy tacos (107	4.7	1.3 	1.3	14	1.3	0)
3/4 small avocado (241.5	21.75	3	3	12.75	13.5	10.5)
1/4 cup butternut squash soup 
3/4 cup butternut squash soup 
total 1 cup butternut squash soup (90	2	2	3	18	4	500)
2 corn tortilla quesadillas
4 corn tortillas Guerrero (200	  2	0	4	42	4	40)
1/2 cup mozzarella cheese (160	10	7	12	2	0	380)
bluecheese (100	8	4.5	5	2	0	360)
1 cup butternut squash soup (90	2	2	3	18	4	500)
1 corn tortilla (50	1	0	1	11	1	10)
1 slice Mozzarella cheese (60	4	2.5	5	1	0	140)</t>
  </si>
  <si>
    <t xml:space="preserve">tricep chair dips 3 sets 12 reps no added weight
standing adductors 3 sets 6-8 reps 25 lbs	
rhomboids scapula abduction 3 sets 10 reps 25 lbs
biceps curls 40 lbs 3 sets 8 reps 
standing abducturs 3 sets 6-8 reps 25 lbs	
bench press 3 sets 8 reps barbell 75 lbs	
tricep extension above head dumbells 25 lbs 3 sets 10-12 reps
hamstrings leg flexion laying prone 3 sets 6-8 reps 45 lbs	
calves 3 sets 12 reps 50 lbs total with dumbells
upper trapezius shoulder shrugs 50 lbs dumbells 3 sets 10-12 reps
quads with leg extensions sitting 3 sets 8-10 reps 45 lbs	
shoulder lifts medial/posterior deltoids/latts 3 sets 6-8 reps 15 lbs	
military press 3 sets 40 lb dumbells 
obliques side extensions 3 sets 12 reps 25 lbs
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t>
  </si>
  <si>
    <t>Rotini Red Fennel gluten free Barilla pasta,3.5 oz</t>
  </si>
  <si>
    <t>arugala, serving 30g</t>
  </si>
  <si>
    <t xml:space="preserve">3 1/2 corn tortilla quesadillas
7 corn tortillas Guerrero (350	  3.5	0	7	73.5	7	70)
3 slices Aldis mozzarella cheese (180	12	7.5	15	3	0	420)
1 slice Aldis Meunster cheese (80	6	4	5	0	0	130)
bluecheese (100	8	4.5	5	2	0	360)
1 grapefruit (92	0	0	2	24	2	0)
1 avocado (322	29	4	4	17	18	14)
2 oranges (162	0	0	4	42	8	4)
1 crunchy taco (53.5	2.35	1 	1	7	1	0)
2 organic cage free eggs boiled (140	10	3	12	0	0	140)
pasta rotini with beyond meat, broccoli, green bell peppers and red bell peppers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blueberries (42	0	0	1	13	2	1)
</t>
  </si>
  <si>
    <t>Woke up at 4 am because my dog Goody barked at Growly, laid in bed till 5 am trying to sleep, then got up. Had a cup of coffee, but spilled the first one wasted on the counter and had to clean it up, then while drinking the first cup of coffee folded the laundry and then had a BM after some paper work and preparing for a weekend scheduling after work for a client. I thought this weekend was a holiday but not for a few weeks on Washington Day and President's Day before that, but it is super bowl weekend. Have an appointment at 5 pm on Super Bowl Sunday. Took my measurements. Plan on working out tonight with 45 minutes of cardio and the 20 exercises for weight training. Last time I had really bad acid reflux while working out after eating, so I won't eat before working out today and see if it changes. Made 3 1/2 the last of the tortillas as quesadillas with 3 slices of Mozzarella and 1 slice of Muenster Aldi brand cheeses paprika bleucheese and cinnamon, and boiled 2 organic cage free eggs for work while getting ready for work. At lunch I ate the above plus 2 oranges, a grapefruit, 1 cruncy taco with 1 small avocado. I got home and worked out at 3:15 pm. It was warm out in the high 70s and the sun set after I finished the cardio 9-5 minute rounds totalling 45 minutes and weight lifting. I didn't eat anything before and still got some slight acid reflux. It must be the water while drinking and working out. It wasn't as bad as last time, but my headband scarf kept blocking my eyes by falling down. Hair didn't get in my face. I made pasta, rotini red fennel Barilla brand, with 2 cans of Del Monte 4 cheese pasta sauce, 1 package of beyond meat, 1 broccoli crown, 2 green bell peppers and a red bell pepper. Came out like soup but good. They all taste the same, was going to drain out the extra liquid but just kept it. I had a bowl of the pasta with parmesan cheese shortly after the pasta was done around 630 pm and shared a tiny bowl each with the pups, not with the meow meow. I also because she wouldn't like it. They loved it. Going to take measures before bed to show after the workouts. I also had a cup of blueberries after my pasta around 7 pm. Talked to mom from 7:30-8:30 pm, just discussing our lives. Bed time around 9:20 pm.</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</si>
  <si>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2 oranges (162	0	0	4	42	8	4)
1 small avocado (322	29	4	4	17	18	14)
1 grapefruit (92	0	0	2	24	2	0)
1 1/2 cups cinnamon applesauce (300	0	0	0	75	6	0)
1/2 cup of blueberries (42	0	0	1	13	2	1)
1 small banana (105	0	0	1	27	3	1)
bowl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t>
  </si>
  <si>
    <t>Woke up at 5:15 am got out of bed at 5:45 am, made my cup of coffee and fed the pups and cat, took my measurements around 6:10 am, had a BM and read some intro chemistry for review. I have a private client tonight that I haven't seen since Sep/Oct that likes deep tissue and had a pinched nerve in shoulder last time. Tomorrow I start my new schedule for Monday nights instead of Thursday night. I got a new couple, daughter and mom, referred from last daughter and mom couple the other day this Saturday. Looking forward to the business. Around 7:15 am had a bowl of pasta made last night with parmesan cheese. Then a banana. Another BM. Then got ready for work. Getting ready for work on time, going to wash hair today. Super bowl later, but I never really watch it and will be massaging a female client. At lunch had a bowl of the rotini pasta with parmesan cheese and 1 small avocado, an orange for breakfast and for lunch, and a grapefruit and the 3rd cup of coffee. At home after work and before my private client at 5 pm but at right before 4 pm had 1 1/2 cups approximately of cinnamon applesauce and about 1/2 cup of blueberries the last of the box. Had a small banana 20 minutes later, went to the client's, started late, complex apartment complex and parking. Ended at 7 pm, went to Aldi's got some apples, avocados, broccoli, Priano pasta sauce, corn tortillas Romeros brand, provolone sliced cheese happy farms brand. Got home around 730 pm and ate a bowl of rotini pasta around 8 pm with parmesan cheese. Sent client SOAP notes and receipt around 9 pm, put laundry in dryer, then went to bed around 9:30 PM</t>
  </si>
  <si>
    <t>1 cup of spaghetti squash 2 cups, walnuts 4 servings, red &amp; green bell pepper, olive oil 4 tbsp, made about 4 cups as a medley</t>
  </si>
  <si>
    <t>1 cup of beyond meat (1 1/2 cups) and butternut squash soup (3 cups) with Dill</t>
  </si>
  <si>
    <t>beyondMeat-soy/gluten free-serving 4oz, 4 servings per pkg</t>
  </si>
  <si>
    <t>yams</t>
  </si>
  <si>
    <t xml:space="preserve">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small banana (105	0	0	1	27	3	1)
4 Andes Chocolate mints (100	7	6	1	11	1	10)
bowl of rotini 
rotini pasta (330	2.5	0.5	23	61	11	0)
beyond meat (260	18	5	20	5	2	350)
Del Monte 4 cheese pasta sauce (60	1	0	2	12	2	420)
broccoli (16	0.17	0.02	1.5	3	1	15.02)
1 red bell pepper, 1 serving (37	0	0	1	7	2	5)
2 green bell peppers, 1 serving(40	0	0	1	10	3	0)
1 cup arugala (8	0	0	0.77	1.1	0.5	8)
parmesan cheese (20	1.5	1	2	0	0	100)
1 cup of spaghetti squash/walnuts/sage/red and green bell peppers
(350.25	32.2	3.5	5	13.25	4.35	207.25)
1 cup of beyond meat in butternut squash soup with Dill
(132.5	6	2.75	7.25	14.75	3.5	462.5)
1/3 cup yams (118	0	0	2	28	4	9)
13 Andes mints (325	21.125	19.5	3.25	35.75	3.25	32.5)
2 oranges (81	0	0	2	21	4	2)
1 grapefruit (92	0	0	2	24	2	0)
1 banana (105	0	0	1	27	3	1)
1 cup of spaghetti squash/walnuts/sage/red and green bell peppers
(350.25	32.2	3.5	5	13.25	4.35	207.25)
1 cup of beyond meat in butternut squash soup with Dill
(132.5	6	2.75	7.25	14.75	3.5	462.5)
1/3 cup yams (118	0	0	2	28	4	9)
</t>
  </si>
  <si>
    <t xml:space="preserve">Woke up at 4:30 am, peed, went back to sleep and woke up by alarm at 630 am. Had a small solid BM instead of the usual vegetarian consistency of a snaked smoothie frosting or similar (which makes me wonder if its the rotini pasta or beyond meat because nothing new has been digested in my diet than the normal pasta and fruit and veggies, could be the sliced cheese the other day from Aldis for the quesadillas instead of shredded cheese) while drinking 1st cup of coffee and after folding laundry and putting it away from last night. Started a jotform contract to let my nieces share use of the Dodge Charger while I sell it. And saw messages that my older sister is thinking about going to TX to get Mom because she is done with her loser husband of 30+ years for not sharing the stimulus checks, lying about it, and lying about getting her marriage certificate so that she can get an ID and a job and fix her teeth. Weighed myself at 7 am and weigh 142 pounds. Took measurements at 810 AM and kept weight measurement from earlier. Ate a  bowl of pasta at 815 am and showered afterwards. Going to get my textbook when they open at 9 am. Had 1/2 a small banana it was bruised and came apart when peeled before showering. Picked up my book and went to Winco, got some new sopa corn tortilla shells to try, sour cream, beyond meat, and other items. When I got home around 11 am, I made spaghetti squash and yams, in the spaghetti squash put about 3/4 cup of what was left of the fresh sage with about 1 cup of walnuts and one red bell pepper and 1 green bell pepper chopped inside each spaghetti squash with about 3 tbls olive oil each and baked covered in aluminum foil top filling only for 400 degrees for 40 minutes. The squash could have used a few minutes more but was able to be scraped to look like noodles and the yams were tender and sweet. The beyond meat was low medium simmered in 3 cups of the remaining butternut squash soup with about 3 branches in the package of fresh Dill with the leaves only and not the thin branches for about 30 minutes until the beyond meat was done. That turned out sweet and savory almost like a Thai or Indian dish. Packed a bowl with about a cup of the spaghetti noodles and a cup of the beyond meat butternut squash medley and about 1/3 cup of the yams, ate some of it after eating the rest of the rotini pasta in 1 bowl with parmesan cheese. I had my 3rd cup of instant coffee at this time. I also washed the car and vacuumed the Dodge Charger before picking up my textbook and ate 4 of the chocolate Andes mints when unloading the groceries that I found in the car in the package of mints I forgot about. I opened the box of my text book and it is a loose leaf binder textbook siran wrapped, I will have to get a 2" binder for it. When I went to work I stopped off at Staples and got a couple pens with pastel ink and four color options with a 2" binder then went to work. Had 2 Andes mints before work but after eating  an orange then a grapefruit, on break had 2 more Andes mints to start, but in total had 13 Andes chocolate mints since leaving the house or the rest of the package. I also ate the bowl of the spaghetti squash and beyond meat made earlier with yams. Too much sage, I tasted it in the peppers and squash. I put the whole package of sage practically in the squash when cooking them. I also had a banana and another orange. Went to bed around 1130 PM. Had to check some stuff for paperless billing and email camtc about sending my certificate somewhere else because the postal guy keeps throwing our mail on the lawn by a heavy foot traffic area and I have complained to Kristen at USPS locally about it. The dude is a complete loser asshole. </t>
  </si>
  <si>
    <t>sodiumDailyIntake_mg</t>
  </si>
  <si>
    <t>fat_Calories_ratio</t>
  </si>
  <si>
    <t>saturatedFat_Calories_ratio</t>
  </si>
  <si>
    <t>protein_Calories_ratio</t>
  </si>
  <si>
    <t>carbs_Calories_ratio</t>
  </si>
  <si>
    <t>fiber_Calories_ratio</t>
  </si>
  <si>
    <t>sodim_Calories_ratio</t>
  </si>
  <si>
    <t>sopa El Comal brand 1 serving is 1 sopa</t>
  </si>
  <si>
    <t>sourcream_2tbls Daisy brand</t>
  </si>
  <si>
    <t xml:space="preserve">squats 3 sets 10 reps barbell 45 lb + 50lbs added weight 
leg lifts standing for abs, 3 sets 20 reps no added weight
dead lifts 3 sets 10-12 reps dumbells 50 lbs 
tricep extension cable 3 sets 25 lbs
upper abs cable 10 reps each side in 3 sets 25 lbs 	
lower abs with cable 25 lbs leg lifts each side 	
standing abducturs outer thighs 3 sets 6-8 reps 25 lbs	
standing adductors inner thighs 3 sets 6-8 reps 25 lbs	
tricep extension above head dumbells 25 lbs 3 sets 10-12 reps
calves 3 sets 12 reps 50 lbs total with dumbells
upper trapezius shoulder shrugs 50 lbs dumbells 3 sets 10-12 reps
shoulder lifts medial/posterior deltoids/latts 3 sets 6-8 reps 10 lbs	-5
military press 3 sets 40 lb dumbells 
obliques side extensions 3 sets 12 reps 25 lbs
rhomboids scapula abduction 3 sets 10 reps 25 lbs
biceps curls 40 lbs 3 sets 8 reps 
bench press 2 sets 8 reps barbell 75 lbs (1 set 1st 85, 6 reps)	+10
hamstrings leg flexion laying prone 3 sets 6-8 reps 45 lbs	
tricep chair dips 3 sets 12 reps no added weight
quads with leg extensions sitting 3 sets 8-10 reps 45 lbs	</t>
  </si>
  <si>
    <t>2 eggs (140	10	3	12	0	0	140)
1 small avocado 3/4 the size of large avocado
(241.5	21.75	3	3	12.75	13.5	10.5)
1 banana (105	0	0	1	27	3	1)
1 grapefruit (92	0	0	2	24	2	0)
1 orange (81	0	0	2	21	4	2)
1/8 of 1 sopa El Comal brand (100	1	0	2	21	2	60)
1 cup butternut squash beyond meat medley
(132.5	6	2.75	7.25	14.75	3.5	462.5)
1 small avocado 3/4 size of 1 avocado 
(241.5	21.75	3	3	12.75	13.5	10.5)
2 tbs sourcream Daisey brand (60	5	3.5	1	0	1	15)
1 cup butternut squash beyond 
(132.5	6	2.75	7.25	14.75	3.5	462.5)
1 cup spaghetti squash herbs peppers walnuts 
(350.25	32.2	3.5	5	13.25	4.35	207.25)
1/4 cup yams 
(118	0	0	2	28	4	9)
1/3 cup Mozzarella cut from block about 2 servings
(200	16	10	14	0	0	340)
5 strawberries about 1/2 cup (50	    0	  0	0	12	2	0)</t>
  </si>
  <si>
    <t>Woke up at 4:30 am to pee then went to bed until about 615 am and laid in bed until the alarm went off at 630 am. Made my cup of coffee, weighed myself at 139.4, calculated yesterday's calories, had a lg BM, weighed myself again at 139.4, did the rest of yesterday's calculations. I finished the cup of coffee and weighed myself about 45 minutes after last time and weighed 140.2. This must be due to gravity, no joke. Odd to have a lg BM and no weight change, then drink the remaining cup of coffee and have an increase in weight. Weight is mass in kg*9.91m/s^2 and looking it up 140 lbs is 63.5 kg of mass. Gravity must have been slightly slower about 45 minutes ago. Was about to cancel Netflix the other day or yesterday when cancelling HBO-Max and DisneyHuluESPN2+, but they finally have The Sinner 3rd season out, the reason I resubscribed in August, yet it wasn't out and they had some filler series to occupy my time. Starting that today, plan for working out around 2 pm. Got the loose leaf chemistry book in the notebook binder bought yesterday, had started the El Comal sopas in my quesadilla maker but wasn't a fan of them maybe if they are cooked or baked in the oven instead, ate 2 bites with 2 organic cage free eggs fried in olive oil over medium with 1 small avocado ripe from Aldis. I would say I ate 1/8 of one sopa plus the 2 eggs and avocado. Then a small banana, an orange and a grapefruit. I had a cup of the butternut squash beyond meat medley with 1 small avocado and 2 tbs sourcream the daisy squeeze brand around 1030 am. I took a nap around 11 am and slept for 20-45 minutes, its cloudy and overcast out, makes me tired. Got up around 12 pm and started reading my previous chemistry notes onto oxidation and reduction. Starting to come back to me. Was looking at balancing equations. Had my 3rd cup of coffe at 130 pm approximately and fed the babies. Worked out at about 2:15 pm, did Doja cat radio on Spotify and it was ssslllooooowww, did 15 3-minute rounds cardio kickboxing, then the 20 exercises for weight training. Felt hot/warm like 70 degrees while working out after starting but the weather said 46 degrees. Ate a bowl of the spaghetti squash 1 cup with 1 cup of butternut beyond and about 4 slices of yams. I took out the sage leaves and now it tastes much better, eating the sage leaves was too herbal for me last night during my break at work. The past weather in Corona, CA says it was 59 degrees, that seems more accurate. I went to bed after reading some of my genetics textbook the last of chapter 1 and the beginning of chapter 2 and getting to the climax of The Sinner season 3 I paused while reading the last 20 minutes until 9 pm when I went to bed. I didn't eat anything for a few hours before bed.</t>
  </si>
  <si>
    <t>Did you avoid alcohol? 0 for no, 1 for yes</t>
  </si>
  <si>
    <t>Did you avoid processed sweets like cake or candy? 0 for no, 1 for yes</t>
  </si>
  <si>
    <t>Did you keep added butter out of your meals? 0 for no, 1 for yes</t>
  </si>
  <si>
    <t>Did you stay meat free? 0 for no, 1 for yes</t>
  </si>
  <si>
    <t>Did you avoid gluten (rye, barley, wheat)? 0 for no, 1 for yes</t>
  </si>
  <si>
    <t>How many hours in all did you get through the night before waking up for the day or including a nap later in the day</t>
  </si>
  <si>
    <t>Did you wear compression socks? 0 for no, 1 for yes</t>
  </si>
  <si>
    <t>Did you wear a waist trimmer and if so what was the inches of widest closures a 31 or 32 inch? 0 for no, 1 for yes and 31 or 32 for the size of small or medium</t>
  </si>
  <si>
    <t>Total amount in pounds the workout decreased weights since last workout</t>
  </si>
  <si>
    <t>Total amount in pounds the workout increased weights since last workout</t>
  </si>
  <si>
    <t>What parts of the body decreased in weight during exercises involving weight lifting since last workout in pounds</t>
  </si>
  <si>
    <t>What parts of the body increased in weight during exercises involving weight lifting since last workout in pounds</t>
  </si>
  <si>
    <t>The list of exercises done, the number of sets, and range of repetitions in each set, with the amount in pounds used for the exercises</t>
  </si>
  <si>
    <t>Did you have a bowel movement and how many during the day total? 0 for none, 1 for 1, 2 for 2, and so on</t>
  </si>
  <si>
    <t>How many cups of coffee did you drink during the day?</t>
  </si>
  <si>
    <t>The measurement of sodium in milligrams to the total calories consumed</t>
  </si>
  <si>
    <t>the ratio of fiber in grams to total calories consumed in the day</t>
  </si>
  <si>
    <t>the ratio of protein in grams to total calories consumed in the day</t>
  </si>
  <si>
    <t>the ratio of saturated fat in grams to total calories consumed in the day</t>
  </si>
  <si>
    <t>the ratio of fat including saturated fat in grams to total calories consumed in the day</t>
  </si>
  <si>
    <t>the ratio of carbs including fiber in grams to total calories consumed in the day</t>
  </si>
  <si>
    <t>The total mg of sodium consumed for the day</t>
  </si>
  <si>
    <t>the total g of fiber consumed the day</t>
  </si>
  <si>
    <t>the total protein in grams consumed in the day</t>
  </si>
  <si>
    <t>the total saturated fat in grams consumed in the day</t>
  </si>
  <si>
    <t>the total fat including saturated fat consumed in the day</t>
  </si>
  <si>
    <t>the total calories consumed in the day</t>
  </si>
  <si>
    <t>the total carbs including fiber in grams consumed the day</t>
  </si>
  <si>
    <t>List of food with their calories, fat, saturated fat, protein, carbs, fiber, and sodium for the serving of each food item eaten</t>
  </si>
  <si>
    <t>Notes on personal and daily changes, like time woken up from sleep, food eaten, diary items, bowel movements, time measurements taken and changes from hours or minutes previously that measurements taken, and time went to sleep, if unable to sleep all the way through, then why, and other miscellaneous of diary notes.</t>
  </si>
  <si>
    <t>Using a calibrating pincher to pinch fat at the arm of the tricep on the right arm while relaxed to get the MM measurement. Every notch is 2 MM and 5 sections between each 10 unit interval.</t>
  </si>
  <si>
    <t>Using a calibrating pincher to pinch fat at the arm of the tricep on the left arm while relaxed to get the MM measurement. Every notch is 2 MM and 5 sections between each 10 unit interval.</t>
  </si>
  <si>
    <t>Using a calibrating pincher to pinch fat at the right of the belly button of the abs while relaxed to get the MM measurement. Every notch is 2 MM and 5 sections between each 10 unit interval.</t>
  </si>
  <si>
    <t>Using a calibrating pincher to pinch fat at the left of the belly button while relaxed to get the MM measurement. Every notch is 2 MM and 5 sections between each 10 unit interval.</t>
  </si>
  <si>
    <t>Using a calibrating pincher to pinch fat at the inner thigh fat at the superior portion of the right thigh while leg up on a step and relaxed to get the MM measurement. Every notch is 2 MM and 5 sections between each 10 unit interval.</t>
  </si>
  <si>
    <t>Using a calibrating pincher to pinch fat at the inner thigh of the left most superior fat area while leg on a step and relaxed to get the MM measurement. Every notch is 2 MM and 5 sections between each 10 unit interval.</t>
  </si>
  <si>
    <t>Using a tape measure, the left thigh at the highest circumference of the thigh below the butt in inches</t>
  </si>
  <si>
    <t>Using a tape measure, the right thigh at the highest circumference of the thigh below the butt in inches</t>
  </si>
  <si>
    <t>using a tape measure, the left arm right below the deltoid while arm extended out and relaxed, in inches</t>
  </si>
  <si>
    <t>using a tape measure, the right arm right below the deltoid while arm extended out and relaxed, in inches</t>
  </si>
  <si>
    <t>using a tape measure the uterine leiomyoma or UL is measured at the max of the belly about 1 1/2" or two knuckles lengths of the index finger below the belly button, this is the circumference of the belly two knuckles below the belly button in inches</t>
  </si>
  <si>
    <t>using a tape measure this is the waist line measurement at the belly button in inches</t>
  </si>
  <si>
    <t>The amount of calories in total for all calculated food items for the day before the measurements being taken</t>
  </si>
  <si>
    <t>The amount of weight in pounds that today's weight changed from yesterday's weight in pounds measurement</t>
  </si>
  <si>
    <t>The weight in pounds using a digital scale, sometimes taken twice to track changes along with the other measurements before the day starts and after working out but not immediately after working out.</t>
  </si>
  <si>
    <t>The time the weight and the inches and MM measurements of the arms, thighs, and abs is taken for the day</t>
  </si>
  <si>
    <t>The total number of minutes of kickboxing done in the workout of cardio for the day or the total minutes the rounds and length of the rounds in minutes for the day adds up to</t>
  </si>
  <si>
    <t>This is Mon-Sun for the day of the week as an abbreviation for the day the observation is on</t>
  </si>
  <si>
    <t>The date that the observation is with the month/day/year format, in programming it is better to do month-day-year format, but I have an R program for that</t>
  </si>
  <si>
    <t>The time as AM or PM for either the time of the workout or in general at the mid afternoon what the time was to put the weather for that time</t>
  </si>
  <si>
    <t>The weather in Fehrenheight degrees at the time feature recorded using Google to search the weather closest to that time</t>
  </si>
  <si>
    <t xml:space="preserve">The number of rounds of cardio done using onlineboxingtimer.com can be any number of rounds. </t>
  </si>
  <si>
    <t>The number of minutes that each round is that day with all rest or break intervals exactly one minute to drink, wipe sweat, pull hair out of face clear sinuses, etc.</t>
  </si>
  <si>
    <t>1 cup butternut squash beyond 
(132.5	6	2.75	7.25	14.75	3.5	462.5)
1 cup spaghetti squash herbs peppers walnuts 
(350.25	32.2	3.5	5	13.25	4.35	207.25)
1/4 cup yams 
(118	0	0	2	28	4	9)
2 tbs sourcream Daisey brand 
(60	5	3.5	1	0	1	15)
1 cup butternut squash beyond 
(132.5	6	2.75	7.25	14.75	3.5	462.5)
1 cup spaghetti squash herbs peppers walnuts 
(350.25	32.2	3.5	5	13.25	4.35	207.25)
1/4 cup yams 
(118	0	0	2	28	4	9)
2 oranges (162	0	0	4	42	8	4)
2 grapefruit (184	0	0	4	48	4	0)</t>
  </si>
  <si>
    <t>totalBodyWeightTraining</t>
  </si>
  <si>
    <t>Was total body weight training done on this day. A 0 for no and a 1 for yes. First day not doing weight training immediately after cardio started on Day 16 after 1st menstruation on Feb 10th 2021</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</si>
  <si>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t>
  </si>
  <si>
    <t>corn tortillas Romero brand, 1 tortilla serving</t>
  </si>
  <si>
    <t>pecs bench +10 1 set</t>
  </si>
  <si>
    <t>shoulders -5</t>
  </si>
  <si>
    <t>Woke up at 5:00 am and layed in bed until 5:15 am, restarted dryer for my laundry, made my cup of coffee and fed the babies. Had a lg BM then took my measurements around 5:45 am. Folded my laundry and finished the 3rd season of The Sinner not as great as the other two seasons. Had breakfast a cup of the spaghetti squash, a cup of the butternut beyond meat, 2 tbsp sourcream and 1/4 cup yams in a bowl while watching 'Framing Brittany' a show on a series for NYT presents on Hulu. It froze up. Work until 3 pm and plan to workout for 45 minutes after work without eating. I didn't get acid reflux yesterday when not eating before and also by not eating ice while working out between sets. I always do that. I am not going to lift weights today, because the total body of 20 exercises with heavy weight is a lot to do. I plan to lift weights tomorrow as it is my new schedule and I don't go to work in the afternoons but have the day off. The weather high today is 66 degrees, and that will probably happen right before working out, so I will put 64 degrees as the weather until I get it. At work started with a no show at 9 am that I got paid my service commission and a sick cancellation that wasn't paid but they booked me the same massage in units from a walkin around 11 am that I wasn't notified about and saw the appointment late 15 minutes after scheduled. Was in my massage room reading the 2nd chapter of the Genetics text. Ate my lunch early around 945 am and had my 3rd cup of coffee at that time after doing laundry. I had a cup of spaghetti squash, a cup of butternut beyond meat, 1/3 cup yams approximately, 2 oranges one in the morning before that time, and 2 grapefruits. Worked out at 4:30 like planned and it was 61 degrees via the app on my phone so slightly chilly. This is the first day I did only cardio and not weight training. Tomorrow I am going to do the total body weight training. I end up working out for about 2 1/4 to 2 1/2 hours and just wanted to get my cardio in today. I ate 2 eggs scrambled with 2 tbs Daisy sour cream and 1 small avocado about 3/4 the size of a normal avocado, and had 2 corn tortilla quesadillas with Meunster cheese and paprika the Romero brand. Took my measurements at 7:15 pm after eating and working out, my weight didn't change that much because I only drank 3/4 of a water bottle. Started watching The Magicians on Netflix about 6:00 pm while taking measurements and eating. I was tired around 7:45 pm and went to bed by 8:00 pm.</t>
  </si>
  <si>
    <t xml:space="preserve">rhomboids scapula abduction 3 sets 8 reps 30 lbs     +5
biceps curls 40 lbs 3 sets 8 reps 
bench press 2 sets 6 reps barbell 85 lbs	+10
hamstrings leg flexion laying prone 3 sets 6-8 reps 45 lbs	
tricep chair dips 3 sets 12 reps no added weight
quads with leg extensions sitting 3 sets 8-10 reps 45 lbs
tricep extension above head dumbells 30 lbs 3 sets 8 reps	+5
military press 3 sets 40 lb dumbells 
obliques side extensions 3 sets 10 reps 30 lbs	+5
shoulder lifts medial/posterior deltoids/latts 3 sets 6-8 reps 15 lbs	+5
calves 3 sets 12 reps 60 lbs total with dumbells	+10
upper trapezius shoulder shrugs 60 lbs dumbells 3 sets 10-12 reps	+10
squats 3 sets 10 reps barbell 45 lb + 50lbs added weight 
leg lifts standing for abs, 3 sets 12 reps no added weight
dead lifts 3 sets 10-12 reps dumbells 60 lbs	+10 
tricep extension cable 3 sets 25 lbs
upper abs cable 10 reps each side in 3 sets 25 lbs 	
lower abs with cable 25 lbs leg lifts each side 	
standing abducturs outer thighs 3 sets 6-8 reps 25 lbs	
standing adductors inner thighs 3 sets 6-8 reps 25 lbs	</t>
  </si>
  <si>
    <t>Almond milk Friendly farms Aldis, 1 serving is 1 cup</t>
  </si>
  <si>
    <t>Walnuts Aldis brand 1 serving is 1/4 cup</t>
  </si>
  <si>
    <t>rhomboids +5, pecs +10, triceps +5, obliques +5, deltoids +5, calves +10, upper trapezius +10, hamstrings QLs +10</t>
  </si>
  <si>
    <t xml:space="preserve">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</si>
  <si>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</si>
  <si>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This is the same day but measurements taken after the workout and also after however many glasses of wine I drank before bed time at 9 pm. This is the observation that will show a 0 in the alcoholFree column, because alcohol was drunk by me after my last measurements at 4:45 pm. Woke up at 3:00 AM and laid in bed until 3:30 AM, went to bed early last night tired. Took measurements at 3:50 AM and weighed 140.0 lbs. Had a lg BM and re-measured my waist and fibroid waistline and got 31 1/4" and 32 3/4" respectively at 4:07 AM. At 3:55 AM before the lg BM it was 32" and 33.5" respectively. Started reading the redox reactions and think my notes are lousy. Then ate 2 corn tortilla and meunster cheese quesadillas with 1 egg scrambled with 1 tbs sour cream. Starting to feel tired. The roommate said to transfer $100 from his checking to mine to help pay for the babies' hair grooming. Will do that later today on my day off. Ate a grapefruit around 7:30 AM. Then looked at a youtube video on redox equations. When looking at the half equations in my notes the side notes should have been added, because the reason for adding the electrons wasn't noted, it looked like backwards addition. Going to take the dogs to the groomers after seeing if they can fit me in today, they always can but not usually at 9 am. I couldn't leave a message either because of their mailbox. I have to wait until they open at 9 am to call. Worked out a few minutes after 2 pm and only with the weights. Took my time and added weight to a lot of the exercises. My biceps and shoulders should be getting stronger, but not. Must be my diet. Thats ok, almost do them the right way with more weight, it still challenges them and makes them flex and use actin and myosin for the concentric contractions, detoxing the blood and clearing out toxins. I have been craving wine, so went ahead and headed to the store after my workout that lasted about an hour and a half. Forgot that I ate 3 eggs over medium that I got from Aldis earlier while the dogs were at the groomers and I picked up a little after 1 pm after dropping them off at 11 am. They look adorable, all 3 of them. I went to give my neice the Dodge to use thinking they didn't have a vehicle other than their mom's old Honda, but she has a VW Jetta that is almost as nice as my Charger. Paul is a piece of shit in that regards, because this is him and Mo keeping them out of my life unless I can do something for them in helping the girls. Whatever. I will still be there for them, but he is the reason we don't have a relationship, every time I text or call to drop off a gift around their birthday or something nice, he always is the one to answer. Its alright. I like or love my Charger. I changed the oil using the actual best tool for removing the oil filter under the hood that only took a few minutes and no struggle. The other tool was lousy. Since I use synthetic, I don't change my oil for 5-6 months, thats when I bought the right tool. Got to test it and use it today. Dumped the used oil off at Pep Boys but bought my oil 5W-30 (recommend 5W-20) Pennzoil synthetic at Autozone. Got that taken care of, will need to change the Ford Transit Connect oil too by the end of the month since I bought it in November and it is February assuming they use non-synthetic oil. For lunch before picking up the girls, I had 3 eggs with the spices I bought at Aldis of oregano, parsley, and more paprika, the one avocado was bad and black by that, so no avocado, but got more at Aldis along with oranges but don't want to use them, made 2 corn tortilla quesadillas with blue cheese, meunster sliced cheese, paprika and cinnamon. Ate almost all the eggs. After the workout went to Aldis around 345 or so, got a bottle of the same purple label Blackstone Merlot, some bitter cocoa for baking, and honey and walnuts. Want something sweet to eat that won't have added sugar. Poured a glass of wine at home at 4 pm, but decided to recap the day so far in these notes, after putting together some Almond milk unsweetened vanilla also from Aldis but when getting the wine and cocoa and other items. Used the two small old bananas that weren't brown on the inside, with 1/2 cup of Almond milk, 1 tbsp of Cocoa powder and 3 tbls of honey and 1/2 cup of walnuts shelled. Tasted a couple bites, is sweet and somewhat like cereal or hot cocoa and might satisfy and sweet tooth. Want to take my measurements before the wine and after the workout, then after however many glasses of wine (3 in a bottle) I drink before bed. Taking my measurements now at 4:45 PM. Had a BM small to regular size not large at around 5:30 pm before finishing my first cup of wine. I am only going to mark 2 BMs on this observation for the day after drinking a glass of wine. That I was drinking for 35 minutes before having a 2nd BM for the day. I don't really have a desire to drink more wine. But might have another glass when this one is done if I decide to watch a movie, or start reading my genetics book and not being able to stay focused. Had a 2nd glass of wine around 5:55 PM with a 1/2 cup of the block mozzarella cheese cubed and sliced, 6 strawberries sliced, and the cocoa/walnut/almond milk/banana/honey medley about 1 cup while watching HBO/MAX, Get Hard, never seen it, and know it had bad reviews. Seems like 4 years old with Iggy Azalea playing. It was actually pretty funny. I liked it. Drank the whole bottle of wine. Its only 3 glasses of or cups of wine. More like 2 1/2 cups or mugs of wine. My mugs are the dollar tree christmas mugs that fit about 1 1/3 cup to 1 1/4 cup of liquids. I filled 2 mugs plus a half of another so it was like 3 1/2 cups of wine. The bottle. I will just keep track of the bottle. I ate about 1 cup of the cocoa/banana/walnut/almond milk/honey medley and 1/2 cup of strawberries or 5-6 strawberries, and about 1/3 cup of mozzarella block cheese sliced. Bed time around 9:30, after measurements taken at 9:15 pm</t>
  </si>
  <si>
    <t>Rotini Red Fennel gluten free Barilla pasta,3.5 oz serving, 4.5 servings per box</t>
  </si>
  <si>
    <t>Rotini Beyond meat pasta 2/12/2021, 1 serving/bowl</t>
  </si>
  <si>
    <t>Priano 4 Cheese Pasta Sauce, 1 serving is 1 cup, 2.5 per jar</t>
  </si>
  <si>
    <t>honey, Aldis, simply nature brand, 1 tbsp serving</t>
  </si>
  <si>
    <t>1 egg 
(70	5	1.5	6	0	0	70)
1 tbs sourcream 
(30	2.5	1.75	0.5	0	0.5	7.5)
4 corn tortillas Romera brand 
(164	0	0	4	28	4	72)
2 slices meunster cheese slices Happy Farms 
(160	12	8	10	0	0	260)
3 eggs 
(210	15	4.5	18	0	0	210)
4 corn tortillas Romera brand 
(164	0	0	4	28	4	72)
2 slices meunster cheese slices Happy Farms 
(160	12	8	10	0	0	260)
1/8 cup bleucheese Emporium Selection Brand
(100	8	4.5	5	2	1	360)
1/8 cup walnuts
(100	10	1	2.5	2	1	0)
honey (60    0    0    0   17  0   0)
1/8 cup almond milk
(5	0.375	0	0.125	0.25	0.125	22.5)
cocoa powder
1/8 serving of 1 tbsp
(1.25	0.625	0	0.125	0.375	0.125	0)
banana
1/8 serving of 1 banana
(13.125	  0	0	0.125	3.375	0.375	0.125)
cocoa powder
3/8 serving of 1 tbsp
(3.75	0.1875	0	0.47	0.125	0.125	0)
banana
3/8 serving
(4.375	0	0	0.47	1.125	0.125	0.47)
walnuts 
1/4 cup 
(200	20	2	5	4	2	0)
almond milk 
3/4 serving
(30	2.25	0	0.75	1.5	0.75	135)
1/3 cup block Aldi Mozzarella
(100	8	5	7	0	0	170)
6 strawberries
(25	0	0	0	6	1	0)
1 bottle of merlot about 2 1/2 cups that are 1 1/2 cups big
5 servings only about 3 cups though
(615	0	0	0	20	0	30)</t>
  </si>
  <si>
    <t>3 bowls of rotini pasta
(red fennel Barilla brand rotini 1pkg, beyond meat 1pkg, 1 red bell pepper,
1 green bell pepper, 3 broccoli crowns, 1 jar Priano 4 cheese pasta sauce)
(788	24.34	6.54	51	101	23	845.03)
1 orange (81	0	0	2	21	4	2)
1 grapefruit (92	0	0	2	24	2	0)
1 avocado (322	29	4	4	17	18	14)
1/8 cup bleucheese (100	8	4.5	5	2	1	360)
3 servings parmesan cheese (60	4.5	3	6	0	0	300)
walnuts 1/4 cup (200	20	2	5	4	2	0)
banana (105	0	0	1	27	3	1)
honey 1 tbsp(60	0	0	0	17	0	0)
cocoa powder (10	0.5	0	1	3	1	0)
almond milk 1/8 cup(5	0.375	0	0.125	0.25	0.125	22.5)</t>
  </si>
  <si>
    <t>Woke up at 2 am dehydrated, drank a bottle of water not all at once and a cup of ice while reading the first few sections of chapter 3 in the genetics textbook on gametes and genes and genotypes of allelles and recessive and dominant genes. Went to bed around 2:50 pm, but didn't really sleep, laid in bed hot, had the heater on electric and gas as usual because when I turn them off it gets cold. Got up at 610 am when Shane got home slightly before that. Took measurements then had a lg BM before the BM my weight was 141 but after it was 139.2 pounds and the waistline and fibroid waistline was 32.5 and 33.5 inches and after was 31 and 33.25 respectively. My side started hurting again last night on my right side and radiating to the right side of the low back. Will be menstruating soon, could have been from big BM inside or my kidney. But still hurts some after the lg BM. I will use the waistline measurements after the lg BM and the weight. I made a note of it here. After my 2nd cup of coffee with breakfast my side pain wasn't noticeable and not during the day at work but it did come back a little bit while at work but left. I ate breakfast at 730 am after making a rotini red fennel Barilla brand pasta the usual way with broccoli but 3 crowns, a red bell pepper, and a green bell pepper, and Priano brand 4 cheese spaghetti sauce. At work I had an orange, a grapefruit, and another bowl of rotini pasta with my 3rd cup of coffee. After work I had a 3rd bowl of rotini pasta at 530 pm with 2 tbsp sourcream. The other two bowls of pasta I had 1/2 an avocado with each one. While at work was curious about becoming a chiropractor alternatively, and checked out a school in Whittier Southern California University of Health Sciences. They have a 3 yr program and a high retention and exam pass rate. The respondent said they make an average of $110,000 a year according to salary.com yet the job posts for them says they make about 60k a year on Indeed. They also only require minimal science courses, a GPA of at least 2.78 on a 4.00 scale, and a bachelor degree. Sounds like an in for me but waiting to see the cost. Doesn't say on the site. It sprinkled rain on the way to work and then on the 71 had a heavy rain I drove through for about 45 seconds, then later at work no clounds in the sky but the air was clean, smell in Eastvale like cow maneur the way Waze directed me to go instead of the freeway. I had a bowl of the mix of cocao powder, honey, bananas, walnuts, and almond milk made last night and doesn't look delicious, but is sweet enough to satisfy a sweet tooth. Had a tbs of honey, with about 1/4 cup of walnuts, and 1/4 tbs of cocao powder around 8 pm. Went to bed at just before 9 pm.</t>
  </si>
  <si>
    <t>sodium_Calories_ratio</t>
  </si>
  <si>
    <t>3 bowls of rotini pasta
(red fennel Barilla brand rotini 1pkg, beyond meat 1pkg, 1 red bell pepper,
1 green bell pepper, 3 broccoli crowns, 1 jar Priano 4 cheese pasta sauce)
(788	24.34	6.54	51	101	23	845.03)
1 orange (81	0	0	2	21	4	2)
1 avocado (322	29	4	4	17	18	14)
1 avocado (322	29	4	4	17	18	14)
4 tbsp sourcream (60	5	3.5	1	0	1	15)
total below only ate about 5% of eggs:
(7.5 0.53  0.15   0.6125   0.025   0.0125  9.25)
2 eggs scrambled with almond milk 
don't include:(140	10	3	12	0	0	140)
1/4 cup almond milk
don't include: (10	0.75	0	0.25	0.5	0.25	45)
2 corn tortilla quesadillas
2 corn tortillas
(72	0	0	2	14	2	36)
1 slice meunster cheese
(80	6	4	5	0	0	130)</t>
  </si>
  <si>
    <t>Woke up at 4 am and lied in bed until 415 am, restarted the dryer of my work clothes and had my first cup of coffee by 430 am. Took measurements and had a lg BM, re-weighed myself and the same 140.8 as before lg BM, the waistline shrunk down to 31.50 from 32.50 and the fibroid waistline shrunk to 32.75 from 33.25. Reviewed the new clients tonight referred from a client for the 4 pm tonight. For breakfast I had a bowl of the rotini pasta with a whole avocado and 2 tbs sourcream, packed an orange and a bowl of the pasta for lunch. Ate that for lunch, then after work had the last of the rotini pasta and a whole avocado with 2 tbs sour cream. Went to the 4 pm mom/daughter couples. They are a very nice family. Got back at just before 7 pm and have a couples tomorrow at 5 pm in Chino Hills from clients that are also very nice. They are busy so might push it later if they need to. That one is a 1 1/2 hour each, today's was 1 hour each. Didn't eat anything when I came back home. When I left for the massage in town earlier, a Jeep Grand Cherokee pulled into the spot Shane parks his truck next to the house off the alley and came out with Chick Fil A and walked around the front of the house. I don't know where but the other side is empty, and Shane didn't know anybody driving a Jeep. The guy left but didn't say anything I thought it was his friend that always brings him something but missed him at the gym. Noting this now. No workout today or tomorrow, because of the appointments, but thats ok, I will have a cardio and weight training early morning Monday to make up for it before work, and again on Tuesday. Also, I had to call my manager after work on the way home, because the front book us back to back and make up for it by sanitizing, but throw their wipes in the trash even when it is empty  and they should know that we change the trash after our shift. She said she would talk to them about that, because it makes no sense for them to have gloves on and only have sanitizing wipes, but throw it in the trash knowing its empty. Its an irritant on top of the irritant of being booked back to back that closely and having to sanitize that can be nipped in the butt. Kaley and Robyn and Calissa all do it, maybe they don't know, but now they will that we change the trash out after our shift or else the other person taking the room throws a fit and people start leaving their trash and throwing the names of the people leaving trash. Why even throw it in the empty trash? Otherwise, they are nice, and I know they probably don't like having to clean the rooms either because a line forms up front or whatever they have going on, but I know I would rather have the 15 minutes after each appointment to do it myself and not have to worry about somebody doing that. After I saw Robyn and Clarissa do that I started throwing my trash in their quiet room trash knowing they have the same responsibility for keeping it empty, and today I figured I should try to solve it the adult way and tell my manager so she can tell them to stop doing it or come to some compromise that is agreed on. Chris didn't like that he was standing in the room with me in it and I wanted to put in my notes instead of taking the linens forcing him to do it instead. Because if your going to be in the room then help clean it is my motto. And either way he can't take his client until the notes are entered and I am logged out of the ipad and the room disinfected and new linens on it. Its not a pet peeve either, we all have our duties and responsibilities and when the front who are separately managed interfere with our routines and create more work its unnecessary stress that can easily be solved by keeping their used disinfectant wipes in their gloved hands until they go to the break room or front cashier area trash cans to throw it away. Not complicated at all. Really not. I was going to go to bed without eating anything by 9 pm, but had to eat something, cravings. Made 2 eggs scrambled with Almond milk that I poured too much into when microwaving it and one corn tortilla quesadilla at 850 pm with meunster cheese. I only ate a couple bites of the eggs but all the quesadilla. So maybe 5% of the total nutrition of the eggs. Laundry linens from earlier were in the dryer before eating, going to bed at 9:30 pm after washing my bowl from dinner.</t>
  </si>
  <si>
    <t>sliced provolone cheese Happy Farms Aldis, serving is 1 slice</t>
  </si>
  <si>
    <t xml:space="preserve">red penne pasta 4 servings
(1320	10	2	92	244	44	0)
Priano 4 cheese pasta sauce 4 servings 
(360	14	4	12	48	12	1840)
3 slices Meunster cheese 
(240	18	12	15	0	0	390)
2 avocados (644	  58	8	8	34	36	28)
2 oranges (162	0	0	4	42	8	4)
4 tbsp sourcream (120	10	7	2	0	2	30)
3 slices provolone cheese (70	5	3	5	0	0	170)
2 corn tortillas Romero brand (72	0	0	2	14	2	36)
</t>
  </si>
  <si>
    <t>Woke up at 5 am and laid in bed until 530 am. Got my cup of coffee and fed the babies, no messes to clean because Shane cleaned them earlier in the night making a lot of noise while also cooking his chicken in the oven and the dishes. Had a lg BM after 1 st cup of coffee and after making 2nd cup of coffee. Measured waistline again and 31.5" for the waistline and 33" for the fibroid waistline. Made red fennel penne pasta Barilla brand with Priano 4 cheese sauce. Had a bowl of the pasta with 1 small avocado and 1 slice of meunster cheese and 2 tbs Daisy sourcream and packed a bowl with 1 small avocado and 1 slice of meunster cheese. No veggies in this one. There is one bowl left. So the whole jar and whole package of pasta by the end of the day. I have a couples at 5 pm for 3 -3 1/2 hours in Chino Hills tonight. I got back around 9 pm, great couple, 3rd time massaging them. I put the linens in the laundry, they shared this time, and washed the lotion bottle, soap bottle, aroma bottles, and the stones and cups. Then had that 3rd bowl of pasta to finish the red fennel penne. I put 2 tbls of sourcream and 2 slices of the Aldis Happy Farms Provolone sliced cheese in it. Went to bed at 11 am after sending the SOAP notes to the clients earlier and their receipt.</t>
  </si>
  <si>
    <t>green beans Green Giant prepackaged brand, 1 cup is a serving, 11 cups per pkg</t>
  </si>
  <si>
    <t>orange bell pepper</t>
  </si>
  <si>
    <t>sourcream_2tbls Winco brand</t>
  </si>
  <si>
    <t>1 whole pot of Butternut squash soup 4 cups/servings with 1 pkg of beyond meat 4 servings, 8 cups green beans,1 orange and 1 green bell pepper 2 tbs olive oil</t>
  </si>
  <si>
    <t>Woke up at 5 am but laid in bed until 545 am, had a cup of coffee and then a lg BM, didn't take my measurements before the BM. Going to work out with cardio and weight training today before work, but also need to go to the grocery store. Only have 2 bottles of water left and need fruit, veggies, more tortillas, etc. I only did the cardio. Then I went to the grocery store with the weather in the low 40s around 945 am. I got butternut squash soup, yellow and green bell peppers, green beans instead of broccoli from Green Giant bagged brand, 2 pkgs beyond meat and new to this menu pasta sauce, a vineyard marinara and a 3 cheese from Prego for both I think. Not using them today. I ate a pear around 1030 am as the first thing I ate. It was still in the fridge from weeks ago when I bought them. The only  fruit not going bad. Not buying bagged fruit from Aldis anymore a whole bag of apples was bad last week and the oranges are bad too, cuts and something like mold or bug infestation without bugs was on a couple of the oranges at Aldi's from last week. I got some hand picked by me oranges and grapefruits. Was going to get avocados but they were priced high, same with the grapefruit but the grapefruit felt ripe and good the avocados felt squishy like they have a lot of black rot in them. I also got 1 pks of paper towels and 1 pk of toilet paper, some gallon zip lock generic brand bags and a roll of alumninum foil. Kept seeing alchohol every corner, was going to get some wine, but holding off for now. My workouts have already been impacted with the fortunate side client income for massage. I have tomorrow off and will do my total body weight lifting and not the cardio at that time. I am currently cooking soup or similar of the butternut squash soup Pacific brand, whole pkg about 4 1/4 cups with 1 pkg of the beyond meat because I liked it last time for the sweet taste it has and smell. I added about 3/4 the bag of green beans or about 8 cups of green beans according to the bag there are 11 cups of green beans in it, and 1 orange bell pepper and 1 green bell pepper. It smells good. I will have that for lunch and pack some for work on my break later today. I ate a grapefruit and an orange a little after having a bowl of the soup, took a nap, and at work had a grapefruit before work, then on my break the bowl of soup packed and an orange. On my break went to Target for AAA batteries for my calculator and D batteries for the light sensors outside and a bottle of red blend Josh wine. Tired. I had 2 no shows that were return clients but not regularly booked with me like every 1-2 weeks, they were confirmed on Valentine's Day the day before the appointment. When I got home, early because the last one wasn't booked, and also Regina left her trash in the Rm 8. Was going to leave it for her, but changed it instead. It is annoying to go into a room and have that but at least the room was available, didn't  matter because the first client was late 15 minutes and paid before hand for the additional 1/2 hour. She is a nice lady, most all are. I had a new guy the last one I was booked at 8 pm, and all had a history of sciatic pain symptoms except for the 3rd one that was a no show. I honestly do not like massaging new guys to me and ones that either went to various locations from the notes or have no notes or that walk in or book last minute. But whatever, its alright. He tried to pull a Karen on me when I told him it was over by asking my name and then not repeating it right. He said Low back and legs and ft only, so after 50 minutes thats it. Plus his nose kept running and grossing me out with his sniffling. Was in a meh mood because of sitting around a few hours, but at least I got paid the service commission for the 2 no shows. I got home and was tired, but haven't been drinking much water. I had a cup of the tea from Marshalls the beach bellisimo fruit one on my break at work, and might be why I was tired, but I just seeped it in the cup of water without warming it up. At home I felt like I would have a BM but like it would be constipation. I went to bed at 10:30 pm, and then woke up at 1130 pm to have a BM, but I will include that in tomorrow's BM count. It was a constipated one like some still in the rectum that had to wait till the next BM. I need to drink more water.</t>
  </si>
  <si>
    <t>Tea-Beach Bellisimo caffeine free Teavana Starbucks brand, 1 tea bag serving</t>
  </si>
  <si>
    <t xml:space="preserve">1 pear (57	0	0	0	15	3	1)
2 bowls of butternut squash/greenbean/bell peppers/beyond meat soup
(778.5   44	12	50.5	51	16	971)
2 tbsp Daisy sourcream
(60	5	3.5	1	0	1	15)
1 slice of provolone cheese
(70	5	3	5	0	0	170)
2 oranges (81	0	0	2	21	4	2)
2 grapefruits (92	0	0	2	24	2	0)
beach bellisimo tea (5	0	0	0	1	0	0)
</t>
  </si>
  <si>
    <t>cabernet sauvignon Nutrition facts similar to Josh brand this is Winking Owl wine facts, serving size 5 oz, 1 cup is 8 oz , this is multiplied by 8/5</t>
  </si>
  <si>
    <t>cabernet sauvignon Nutrition facts similar to Josh brand this is Winking Owl wine facts, serving size 5 oz, 3/2 cup is 12 oz , this is multiplied by 12/5</t>
  </si>
  <si>
    <t>Krusteaz cornbread gluten free, 14 servings, 1 serving is 1/14</t>
  </si>
  <si>
    <t>Krusteaz cornbread gluten free, 14 servings, 1 serving is 1/14, 3/14 or 3 servings</t>
  </si>
  <si>
    <t xml:space="preserve">2 eggs scrambled with 
(140	10	3	12	0	0	140)
olive oil 2 tbsp and 
(120	14	2	0	0	0	0)
sourcream 2 tbsp Daisy brand last of it
(60	5	3.5	1	0	1	15)
2 corn tortilla (Guerrero Brand) with Winco low skim mozzarella shredded cheese and paprika
4 corn tortillas (200	  2	0	4	42	4	40)
1/2 cup mozzarella cheese (160	 10	7	12	2	0	380)
1 orange (81	0	0	2	21	4	2)
140+120+60+200+160+81
10+14+5+2+10+0
3+2+3.5+0+7+0
12+0+1+4+12+2
0+0+0+42+2+21
0+0+1+4+0+4
140+0+15+40+380+2
=======
1 bowl of butternut squash/beyond meat/green beans and peppers
(389.25   22	6	25.25	25.5	8	485.5)
2 tbsp sour cream Winco brand 
(60	5	3.5	1	2	0	15)
1 cup of red blend Josh cabernet
(195.2	0	0	0	6.4	0	0)
389.25+60+195.2
22+5+0
6+3.5+0
25.25+1+0
25.5+2+6.4
8+0+0
485.5+15+0
======
2 corn tortilla mozz quesadillas
4 corn tortillas Romero brand
(148	0	0	4	28	4	72)
1/2 cup mozzarella cheese
(80	5	3.5	6	1	0	190)
3/2 cups wine
(292.8	0	0	0	9.6	0	0)
+148+80+292.8
+0+5+0
+0+3.5+0
+4+6+0
+28+1+9.6
+4+0+0
+72+190+0
========
krusteaz cornbread
2 cornbread muffins, about 3 servings, 1 pkg is 14 servings
(330	1.5	0	6	75	3	930)
=======
</t>
  </si>
  <si>
    <t>Woke up to have a BM around 1130 pm after an hour of sleep, it was a solid constipated small BM, then went back to bed and woke up at 5 am approximately and laid in bed until 530 am, got up made the babies their food, my coffee, and had the rest of last night's BM also a solid reg size one. Together a lg BM, might be the Aldi's Happy Farm Cheese making it like that consistency, but also I haven't been drinking much water, only while working out, and that was only 1 bottle as it was cold during the workout and after. Took my measurements at 620 am. I tried the batteries I bought yesterday the AAA ones for my calculater, energizer brand but they make the screen dark and worse than the other batteries that are generic. So I put back in the generic ones. They cost me $10 just for those batteries too. I will see if changing the 3v battery will fix this problem but I need to buy that one too. Shortly after 6:45 am had a reg BM that feels like it cleared up the other solid waste hanging around the rectum with the normal vegetarian consistency/texture of my reg BMs. My courses in genetics and general chemistry AKA organic chemistry start this Thursday. I have been reading ahead and plan to do more today before lifting weights. No cardio today, I think I am just going to switch or alternate between cardio and weight lifting days. I have been so far, during the middle of this research. No menstruation yet but I usually get it before 28 days. Clearly, not sexually active and haven't been for years as digestion is only body function interested in for body conditioning and maintanence. So far no obvious changes in fibroid waistline changes, but all working out and using the waist trimmer have helped keep it compacted and small as I can look down and see my pubes. I couldn't about a few months ago, still not where they start but getting close. At least I am healthy and strong. Ate break fast a little after 7 am, with 2 eggs scrambled in 2 tbsp sourcream and cooked in 2 tbsp olive oil, and 2 corn tortilla quesadillas with the Guerrero brand tortillas and the Winco low skim mozzarella cheese. And an orange around 730 am. Read my chemistry notes. Read the chemistry notes but not all of them, got to the Gas/Pressure/Volume laws and equilibrium before that. Poured my 1st glass of wine by 10 am, but sipped it, its my day off, also had a bowl of the butternut squash beyond meat with green beans and 2 tbsp sourcream. It was delicious, shared with the babies of course and they loved it. They love my cooking. Talked to my admissions counselor at SCUHS about my application and determined by 11 am that I have intro to chemistry with lab, intro to physics with lab, principles of ecology-Biology with lab for 4+4+3=11 semester units, and will take general chemistry or organic chemistry with lab for 4 units, plus biology-genetics for 3 units this Spring and in summer take a science with lab like anatomy for 4-5 units because it is needed and another science like psycology/kinesiology/microbiology/chemistry for 3 or 4 units with or without lab so that I complete 24 total science requirements of 12 lab and 12 no lab needed for September program, with tuition 12.5k a trimester for 10 trimesters. Finished my glass of wine after speaking with him. I filled my coffee mug only half way for this glass of wine, so about a cup of wine. Its a Red Blend cabernet by Josh Vineyards. I read my notes some more with a 3rd cup of coffee around 1215 pm, but started feeling like I was going to have diarhea and increased body temperature and abdominal pains with digestion that isn't the good kind around 12:30. I went to the bathroom, but nothing came out, but my body started getting hot, I took off my waist trimmer started feeling hot and dizzy like a time when I ate green potatoes and a time years earlier when I think I had vertigo really bad. I took off my tight leggings and sweater too, went back to the bathroom, and curled into a baby and felt the cold on my hands and my neck agaisnt the tub and wall and felt better and relieved, lied on my back on the cold floor and felt adbominal movement and saw my belly extended up. I had a large BM that was more than half diarhea. And my body temperature went down, I used cold water running and left running before crawling into a ball on the floor. I turned off the water and felt like my belly was bloated. My body temperature felt normal as I am typing this at 1245 pm a few minutes afterwards. Keeping my clothes off. Not sure why I am sick, The two clients I massaged yesterday both had their vaccines, the first one had both and the one yesterday was 2 weeks from the 1st one and gets his 2nd one next week. Maybe I picked up some antigens from him, his nose was running and sniffling in that appointment. It could also be drinking coffee after wine less than an hour or about an hour after drinking the wine. I felt completely fine 5 minutes before drinking the coffee and reading my notes. Might not work out today after all, unless I feel better. I have to drink the 3rd cup of coffee to avoid the headache I get when I don't. It is painful. That went away, finished my coffee 20 minutes later cold, and then ate 2 corn tortilla (Romero brand) quesadillas with mozzarella cheese (Winco brand) and paprika and basal. Then finished the last of the intro to chemistry notes with radiation and a final exam review I didn't work out the example problem follow throughs. The radiation and nuclear energy discussed the half life and the positrons, gamma rays as energy, alpha and beta particles. Before that was acids and bases and hydronium and hydroxide atoms for the pH scale and finding if a solution is acidic or basic. Before that was boiling point and freezing point. Then decided not to workout because I was sick, and the roommate is talking his shit getting fired up like a stupid Trump Red World minion. He is such an idiot loser. So fortunate he is a nameless loser that stays low key about his dumb beliefs. Was finishing up my notes listening to him talk shit about politicians that are democrats and stupid shit. Puts me in a foul mood, turned on R&amp;B on spotify to drown it out. He just asked why. So funny. Because I am typing with him in another room and have been playing R&amp;B for 20 minutes. So no workout today, tomorrow after work, the weight lifting. Don't want to stress my body out too much. I finally made the Krusteaz cornbread that has been on the counter for more than a week because too tired or had other plans than making it. Used all the ingredients, but used almond milk instead of milk. My coordination is off, only had another wine, on my last wine right now about a cup and a half, the end of the bottle. I don't feel drunk, but lately this has been happening with me misjudging things, like pushing a cup full of coffee over, running into the door frame, or a chair, or dropping a raw egg off the counter even though I rested it on a pad. Thats what happened. I haven't eaten any yet. But will with a bowl of the butternut squash beyond meat and green beans. I was surprised to find out my chemistry course started today, when I checked web advisor numerous times before it said on Thursdays around the afternoon and evening for the lab and didn't mention Tuesdays. Luckily I checked, because she has a strict no show policy in place and daily assignments due on time or risk being dropped. I did a couple assignements on the syllabus and looked over the modules on navigating the class. I also checked into the genetics course. Tired. Bed time around 1030 pm. Dehydrated, going to drink water, finished the other 2 glasses of wine I already tracked earlier and am now dehydrated. I have work tomorrow at 9 am. Note that the Krusteaz cornbread has a lot of carbs to fiber and will be marked as processed sweets a 0 for not avoided.</t>
  </si>
  <si>
    <t xml:space="preserve">upper abs cable 10 reps each side in 3 sets 25 lbs 	
lower abs with cable 25 lbs leg lifts each side 	
standing abducturs outer thighs 3 sets 6-8 reps 25 lbs	
standing adductors inner thighs 3 sets 6-8 reps 25 lbs	
squats 3 sets 10 reps barbell 45 lb + 50lbs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</si>
  <si>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 xml:space="preserve">hamstrings +5 </t>
  </si>
  <si>
    <t>Aldis brand Red Fennel Rotini noodles 4 servings</t>
  </si>
  <si>
    <t>Bertolli Vineyard Marinara sauce, 5 servings</t>
  </si>
  <si>
    <t>Red Fennel Rotini Pasta with green beans and vineyard marinara 1 pot makes 4 bowls</t>
  </si>
  <si>
    <t>2 cornbread muffins (330	1.5	0	6	75	3	930)
1 grapefruit (92	0	0	2	24	2	0)
2 cornbread muffins (330	1.5	0	6	75	3	930)
1 grapefruit (92	0	0	2	24	2	0)
2 cornbread muffins (330	1.5	0	6	75	3	930)
2 oranges (162	0	0	4	42	8	4)
1 bowl of red fennel rotini pasta with vineyard marinara sauce and green beans
(472.5	  3.75	  0	31.5	79.5	9	453.75)
1/4 cup low skim shredded mozzarella
(80	5	3.5	6	1	0	190)
2 tbs parmesan cheese Winco brand 
(20	1.5	1	2	0	0	100)
=330*3+92*2+162+472.5+80+20
=1.5*3+0*2+0+3.75+5+1.5
=0*3+0*2+0+0+3.5+1
=6*3+2*2+4+31.5+6+2
=75*3+24*2+42+79.5+1+0
=3*3+2*2+8+9+0+0
=930*3+0*2+4+453.75+190+100
====================================</t>
  </si>
  <si>
    <t>Woke up at 530 am by alarm and got up in the middle of the night around 1145 pm to pee and feed the outdoor cat then went to bed without laying in bed a while. Made my cup of coffee, took measurements, and started reading the documents needed for Chemistry 1A on being prepared for lectures and labs by reading and writing lab procedures before the class begins. Everything is zoom. I will need to make sure I can keep the roommate from his cursing and griping antics earlier in the day with his daily routing in the afternoon when he gets up or go out side and use the outdoor gym to watch the lectures and note take. Had a reg BM after 1st cup of coffee and measured waistline at 31 5/8" and fibroid waistline at 32 3/4". I had a couple cornbread muffins and a grapefruit after 7 am and my 2nd cup of coffee before that when the roommate came home. Reviewed the Chemistry 1A documents and looked at the dashboard course on the canvas web access. Yesterday I also cut about 4 inches off my hair before 10 am or before getting sick. It was in 2 french braids and they were stringy and thin, so I just cut them as is from the bottom to my collarbone. It will look choppy. At work slow, with 2-3 massages not booked in the middle, but got to read the full chapter 1 of my chemistry 1 A reading. Ate 4 cornbread muffins, 2 grapefruit, and 2 oranges. I would have done laundry at least to help and disinfect, but it smelled terrible like rotten eggs, or a dump truck with rotten eggs. Like someone farted and eggs were eaten by them or cooked a raw egg in the microwave. It wasn't pleasant. So stayed in my massage room and read chapter 1, it took about 2-2 1/2 hours to read the full chapter. I have energy to workout, yay! Going to lift weights only. I feel fine, don't feel sick. I had my 3rd cup of coffee in my slow/empty hours at work with my cornbread also. I didn't use their keurig, but my instant coffee, because I brought it with me. I started my workout a few minutes after 4 pm and ended with the stretches a few minutes after 5 pm with all 20 exercises in 3 sets of 6-12 reps depending on how heavy the weight was. I am making the Aldi brand rotini red fennel pasta with the vineyard marinara sauce and only added green beans and will likely add cheese to it in each bowl I make for myself. Went to bed at 9:45 after watching the recorded lecture on her OneNote notes on the first part of Chapter One-Molecules and Atoms.</t>
  </si>
  <si>
    <t xml:space="preserve"> 2/18/2021</t>
  </si>
  <si>
    <t>Woke up at 2:30 am, cleaned up dog poo and pee, went to bed no problem, woke up at 510 am and laid in bed until 530 am. Got up. Plan on watching the recorded lab from Tue Chemistry 1A before my first genetics course at 9 am. Had a reg BM after drinking some water and making my 1st cup of coffee and after feeding the babies. Then took measurements at 545 am. The roommate was in his car blocking the alley from the time I got up until right before having a BM for the day. Said he was gathering his thoughts. Started the recorded lab and took notes of important items. Had another BM when starting my 2nd cup of coffee around 615 am. About 45 minutes later had another small BM, totalling 3 BMs today. Went over the lab notes that ended up being lecture notes, but still have an hour left of those. I then logged into genetics, but her system is a prerecorded one, with Q&amp;A on Thursday weekly meetings. Did the first part of that section and waiting for the 2nd half, she has a fill in the blank participation to follow through her notes. A lot of handwriting for me. I need printer paper and possibly ink to print out the notes, or see about another way. I took my compression socks off from the itching in my legs either from hair growing in or stress. I don't feel that stressed, but its closer to menstruation, and ankles were starting to swell even with socks on right at the feet and sides of ankles outer ankle not inner. This was at about 12 or 1 pm. So I marked a 0 for compression socks. Viewed and took notes on the last 1 1/2 hours remaining of the chemistry 1A lab video from Tuesday from about 12 -2 pm, then log into canvas to participate in the lecture and later the lab from 3-430 then 6-910 pm. Breakfast was around 8 am and it was a bowl of the rotini pasta with 1/4 cup mozzarella cheese, 2 tbs sourcream and 2 tbs parmesan cheese and an orange, lunch was 2 fried eggs and 2 corn tortilla and mozzarella cheese quesadillas and another orange. Fried in olive oil around 11 am. Had 3rd cup of coffee instant at 1215 pm. Finished notes on recorded lecture on Chemistry 1A and ate another bowl of rotini pasta with 2 tbs sourcream, 2 tbs parmesan cheese, and 1/2 cup mozzarella cheese and an orange. On my break made last of 4 cornbread muffins with honey warmed in microwave only ate 2 gave rest to pups. Went to bed at 9:45 pm and had 1/2 slice of provolone cheese about 10 minutes before bed shared other half with the babies.</t>
  </si>
  <si>
    <t xml:space="preserve">2 bowls of rotini green beans 1 serving
(945	7.5	0	63	159	18	907.5)
4 tbsp sourcream
(120	10	7	2	0	2	30)
4 tbs parmesan cheese 
(40	3	2	4	0	0	200)
4 corn tortillas Romeros
(72	0	0	2	14	2	36)
5/4 cup mozzarella cheese
(100	6.25	4.375	6	1.25	0	237.5)
2 eggs
(140	10	3	12	0	0	140)
2 tbs olive oil
(120	14	2	0	0	0	0)
3 oranges
(243	0	0	6	63	12	6)
2 muffins
(220	4	0	4	50	2	620)
1 tbsp honey
(60	0	0	0	17	0	0)
=945+120+40+72+100+140+120+243+220+60
=7.5+10+3+0+6.25+10+14+0+4+0
=0+7+2+0+4.375+3+2+0+0+0
=63+2+4+2+6+12+0+6+4+0
=159+0+0+14+1.25+0+0+63+50+17
=18+2+0+2+0+0+0+12+2+0
=907.5+30+200+36+237.5+140+0+6+620+0
1/2 provolone sliced cheese
(35   2.5   1.5   2.5   0   0   85)
+35	+2.5	+1.5	+2.5	+0	+0	+85
</t>
  </si>
  <si>
    <t xml:space="preserve">The number of days since menstruation first started of the last menstruation. This is to track if any hormonal changes take place that add to extended belly or bloat during menstruation or shedding of the uterine lining of estrogen and progesterone after the ovary is determined to not be fertilized, how long the menstruation lasts.A 0 is for the initial day the spottiness of menstruation starting noticed, then each day there after is the number of days since the last menstruation cycle started. This is useful in seeing the bloat using the UL_2knucklesBelowBellyButton feature to see changes. The hormones are supposed to start with estrogen to strengthen the uterus about 3 weeks before the ovary drops for two weeks, then progesterone a week before makes the uterine lining even stronger for a fertilized ovum to attach and if not, then the uterine lining of progesterone and estrogen sheds causing the spottiness, gradual increase in fluid amount of blood loss from light, to medium-light, to medium, to heavy, to medium, to light and then spotty and done. </t>
  </si>
  <si>
    <t>Were you menstruating or shedding the uterine lining? A 0 is for no and a 1 is for yes.</t>
  </si>
  <si>
    <t>Woke up at 510 am and got out of bed at 520 am, made my coffee and fed the babies, prepared coursework for assignments once logging onto canvas, and took measurements by 5:45 am. Had a lg BM around 6 am and saw that I am spotty. I didn't notice any spotty mensa when waking up earlier and peeing, but it is, so today is day 1 of shedding the uterine lining. Probably why my ankles seem more swollen and a bruise on my side of my leg from who knows where? I know my chihuahua steps on me in the night and her tiny paws carry a lot of pressure with her heavy weight for her size. She isn't over weight just 12 pounds instead of 10 pounds. I noticed the bruise a few days ago and its about the size of her paw. Including this day it was 27 days from the start of the last menstruation to the start of this menstruation cycle. The waistline measurements and fibroid waistline measurements don't show any additional bloating and slightly smaller than yesterday's measurements, but I did wait a while before my last meal before bed time except for that 1/2 a slice of provolone cheese. I measured the waistline at 31 1/2" and the fibroid waistline at 33 1/2" after my BM about 10 minutes ago. That is about the same as the measurements 15 minutes before that time. Except that the fibroid waistline is 1/2" more. I will change the measurement to 33 1/2." Because I didn't notice the spotting before taking those measurements earlier and did notice it after having my BM. This could be attributable to menstruation bloat. Worked on some of the first homework assignment for Chemistry 1A and got to 2/15 parts or sections. It is due tonight. This could interfere with my workout. At work was fully booked, on my lunch break ate 3 corn tortilla quesadillas with provolone cheese slices 5 total with paprika and basal herb spices and had my 3rd cup of coffee an hour before that between sessions using the office keurig coffee and went to get some printer paper for the printer. Pulling into the parking lot of work, a cop car pulled in after me after circling Grand and back with lights on and saw some guy with hands on the hood of his car and another one pull in, but the other cop told the other cop car to pull over somewhere else and park. Don't know what that was but it was a scene the front was looking at when I walked in, right behind my work truck with advertisements on it for massage. After work I got some fruit of bananas, apples, oranges, pears, and some avocados. I originally planned for 530, but I have to finish that Chemistry 1A homework, and the parts are long to read so it could take a while. Since it is due tonight I will work on it now. Just before 530. After work I had a banana, an orange, finished the homework that actually took 80 minutes. Then had 1 reg sized avocado, 2 tbs sourcream mixed together with 2 corn tortilla quesadillas with mozzarella cheese paprika and basal. It was dark and I was tired plus my menstruation is heavy and will be soon, so need my iron as much as I can keep in my blood. Feeling tired. No workout tomorrow. See how tomorrow goes. Bed time by 830 pm. Plan to wake by 530 am, because I have to leave by 720 am at the latest for Saturday shift of mine.</t>
  </si>
  <si>
    <t>1 bowl of red fennel rotini pasta with vineyard marinara sauce and green beans
(472.5	  3.75	  0	31.5	79.5	9	453.75)
1/4 cup low skim shredded mozzarella
(80	5	3.5	6	1	0	190)
2 tbsp sourcream
(60	5	3.5	1	0	1	15)
1 mango
(107	0	0	1	28	3	3)
1 pear
(57	0	0	0	15	3	1)
6 corn tortillas Romero brand last of bag
(216	0	0	6	42	6	108)
5 slices of provolone Aldis Happy Farmes brand
(350	25	15	25	0	0	850)
1 banana
(105	0	0	1	27	3	1)
1 orange
(81	0	0	2	21	4	2)
4 corn tortillas Guerrero brand
(200	2	0	4	42	4	40)
1/2 cup mozzarella low skim cheese Winco brand
(160	10	7	12	2	0	380)
1 avocado
(322	29	4	4	17	18	14)
=472.5+80+60+107+57+216+350+105+81+200+160+322
=3.75+5+5+0+0+0+25+0+0+2+10+29
=0+3.5+3.5+0+0+0+15+0+0+0+7+4
=31.5+6+1+1+0+6+25+1+2+4+12+4
=79.5+1+0+28+15+42+0+27+21+42+2+17
=9+0+1+3+3+6+0+3+4+4+0+18
=453.75+190+15+3+1+108+850+1+2+40+380+14
=======</t>
  </si>
  <si>
    <t>Gluten free spaghetti/beyond meat/orange bell/green bell/prego 4 cheese sauce 4 servings/whole pot</t>
  </si>
  <si>
    <t>Prego 4 cheese pasta sauce, 5 servings per jar,1 serving</t>
  </si>
  <si>
    <t>gala apple (calorieking.com)</t>
  </si>
  <si>
    <t>1 bowl gluten free spagh/beyond/orangePepp/greenPepp/Prego4</t>
  </si>
  <si>
    <t>Woke up at 230 am to pee, still spotty menstruation, but when going back down it started to flow more to medium. Got up at 445 am and laid in bed after going back to bed. Got out of bed at 520 AM. Medium flow for now. Had my cup of coffee then a lg BM and then took my measurements by 615 am after making my 2nd cup of coffee. Ate my breakfast by 630 am, 1 fried egg, the last because I didn't get more, half an avocado with 1 tbs sourcream, and 2 corn tortilla quesadillas with mozzarella cheese and paprika. For lunch and when I got to work, had an orange, the other half of avocado with 1 tbs sourcream and 2 corn tortilla quesadillas I made at home with paprika, a banana, and a pear. After work an apple. Worked out at 330 pm with only cardio kickboxing for 45 minutes. Then I made some gluten free spaghetti from Barilla brand with beyond meat 1 pkg and 1 yellow/orange bell pepper and 1 green bell pepper and the Prego Italian 4 cheese sauce. I had one bowl of it with 1/3 cup mozzarella cheese. It makes about 4 servings. I always share with my babies, so probably eat my serving. Went to bed at 810 pm but fell asleep around 830 pm.</t>
  </si>
  <si>
    <t xml:space="preserve">4 corn tortilla and mozzarella quesadillas
8 corn tortillas Guerrero brand
(400	4	0	8	84	8	80)
1/2 cup mozzarella cheese
(160	10	7	12	2	0	380)
1 egg (140	10	3	12	0	0	140)  1 avocado(322	29	4	4	17	18	14)
2 oranges
(162	0	0	4	42	8	4)
1 banana
(105	0	0	1	27	3	1)
1 pear
(57	0	0	0	15	3	1)
1 gala apple
(62	0.1	0	0.3	14.9	2.5	0)
1 bowl/serving of gluten free beyond meat spaghetti with Prego 4 cheese sauce
(551.6875	20.875	5.625	26.625	63.75	4.5	950.125)
1/3 cup mozzarella cheese
(106.7	  6.7	4.7	8	1.3	0	253.3)
=400+160+162+105+57+62+551.7+106.7
=4+10+0+0+0+0.1+20.9+6.7
=0+7+0+0+0+0+5.6+4.7
=8+12+4+1+0+0.3+26.6+8
=84+2+42+27+15+14.9+63.8+1.3
=8+0+8+3+3+2.5+4.5+0
=80+380+4+1+1+0+950.1+253.3
</t>
  </si>
  <si>
    <t xml:space="preserve">3 oranges
(243	0	0	6	63	12	6)
1 banana
(105	0	0	1	27	3	1)
1 bowl/serving of gluten free beyond meat spaghetti with Prego 4 cheese sauce
(551.6875	20.875	5.625	26.625	63.75	4.5	950.125)
1/3 cup mozzarella cheese
(106.7	  6.7	4.7	8	1.3	0	253.3)
(322	29	4	4	17	18	14)
1 egg
(140	10	3	12	0	0	140)
1 bowl/serving of gluten free beyond meat spaghetti with Prego 4 cheese sauce
(551.6875	20.875	5.625	26.625	63.75	4.5	950.125)
2 tbs parmesan cheese
(20	1.5	1	2	0	0	100)
1 bowl/serving of gluten free beyond meat spaghetti with Prego 4 cheese sauce
(551.6875	20.875	5.625	26.625	63.75	4.5	950.125)
1/3 cup mozzarella cheese
(106.7	  6.7	4.7	8	1.3	0	253.3)
=243+105+551.7+106.7+322+140+551.7+20+551.7+106.7
=0+0+20.9+6.7+29+10+20.9+1.5+20.9+6.7
=0+0+5.6+4.7+4+3+5.6+1+5.6+4.7
=6+1+26.6+8+4+12+26.6+2+26.6+8
=63+27+63.75+1.3+17+0+63.75+0+63.75+1.3
=12+3+4.5+0+18+0+4.5+0+4.5+0
=6+1+950.1+253.3+14+140+950.125+100+950.1+253.3
</t>
  </si>
  <si>
    <t>Woke up at around 430 am and laid in bed until 520 am. I got up at 2 am to change my pad from heavy menstruation and again around 330 am and fell asleep until about 430 am. After getting up at 520 am, cleaned up pet messes, made the babies their food and my coffee, practiced SQL by reviewing my notes on it because I have an interview for a data engineer job that uses it tomorrow morning. But also have a worksheet in chemistry 1A due tonight before midnight and I work until 3 pm today. Not sure if I will lift weights today, I will see how long the worksheet takes, to write in notes and to use the adobe scanner app to upload to the canvas site. I also reviewed what I know on Azure last night from my large scale data storage systems with using Hive in Ambari for Azure and uploading csv files into it after creating a cloud vm. Had a regular sized BM and then took my measurements while drinking my 2nd cup of coffee and the roommate came home at that time. Had breakfast at 7 am a bowl of the spaghetti from yesterday and an orange and a banana with 1/3 cup mozzarella cheese on the spaghetti. Packed a bowl of spaghetti for lunch with 1 avocado chopped inside and a banana and 2 oranges. Planning on using the parmesan cheese in the car 2 tbs of it. I only ate 2 oranges but ate everything packed other than 1 orange. Then noticed on my break when looking in the mirror that I had age spots or dark sun spots on my left side of my nose. I bought the PCA pipmentation corrector with 40% discount at ME and then went to Marshall's and got their regenerist by oil of olay day and night cream, a face wash by simple 100% soap free 5 oz cucumber or green color and a spf 30 sunscreen to put on my face. Going to finish the worksheet and turn it in with the app right now at 4 pm. Due by 11:59 pm. Ate the 3rd orange before starting the rest of the ch1 worksheet and finished it about 3 1/2 hours later including taking images of it in Adobe Scan on my phone, saving as 1 pdf file, emailing to myself, downloading from my email, and uploading to canvas by 730 pm. Then I made a bowl of the last of the spaghetti with 1/3 cup mozzarella cheese and shared with the babies of course. Got a return client who was vaccinated her 2 times and ready to start weekly appointments, right before my 3 pm Tue Lecture, but should be back home on time to start the lecture. I then reviewed some more of my postgres SQL commands and feature functions before going to bed just before 9 pm. No workout today, and probably not for a few days, because onto a new week of reading and lectures and operating the side business and full time employment. I will have to break down my workouts into less weight lifting and probably just cardio once a week and weight lifting 3 times a week however much can be fit like a couple sets of the list of workouts for 30 minutes or something. So I can stay in shape.</t>
  </si>
  <si>
    <t>bertolli alfredo sauce 7 servings 1/4 cup</t>
  </si>
  <si>
    <t>barilla gluten free fetuccini noodles 6 servings 2 oz</t>
  </si>
  <si>
    <t>Fettucin/beyondMeat/red&amp;GreenPeppers/oliveOil4tbs/leeks/BertolliAlfredoSauce 1 pot</t>
  </si>
  <si>
    <t>1 bowl fettuciniAlfredo</t>
  </si>
  <si>
    <t xml:space="preserve">4 corn tortillas Guerrero brand
(200	2	0	4	42	4	40)
1/2 cup mozzarella cheese
(160	10	7	12	2	0	380)
banana
(105	0	0	1	27	3	1)
2 oranges
(162	0	0	4	42	8	4)
bowl of fettucini makes 5 bowls
(679.4	38.4	13.7	26	63.5	5.2	862)
2 tbs parmesan cheese
(20	1.5	1	2	0	0	100)
1/2 bowl of fettucini
(339.7	19.2	6.85	13	31.75	2.6	431)
1 tbs parmesan cheese
(10	0.75	.5	1	0	0	50)
1/2 small avocado
(161	14.5	2	2	8.5	6.5	7)
1 grapefruit
(92	0	0	2	24	2	0)
=200+160+105+162+679.4+20+339.7+10+161+92
=2+10+0+0+38.4+1.5+19.2+0.75+14.5+0
=0+7+0+0+13.7+1+6.85+.5+2+0
=4+12+1+4+26+2+13+1+2+2
=42+2+27+42+63.5+0+31.75+0+8.5+24
=4+0+3+8+5.2+0+2.6+0+6.5+2
=40+380+1+4+862+100+431+50+7+0
</t>
  </si>
  <si>
    <t>grapefruit 
(92	0	0	2	24	2	0)
1/3 bowl of fettucini
(226.47	12.80	4.57	8.67	21.17	1.73	287.33)
3/4 avocado
(241.5	21.75	3	3	12.75	13.5	10.5)
1/2 bowl of fettucini
(339.70	19.20	6.85	13.00	31.75	2.60	431.00)
2 tbs parmesan cheese
(20	1.5	1	2	0	0	100)
1 orange
(81	0	0	2	21	4	2)
1/2 bowl of fettucini
(339.70	19.20	6.85	13.00	31.75	2.60	431.00)
2 tbs parmesan cheese
(20	1.5	1	2	0	0	100)
1 bowl of fettucini
(679.4	38.4	13.7	26	63.5	5.2	862)
2 tbs parmesan cheese
(20	1.5	1	2	0	0	100)
2 tbs cocao 
(20	1	0	2	6	2	0)
1 tbs honey
(60	0	0	0	17	0	0)
1 1/2 cups almond milk
(60	4.5	0	1.5	3	1.5	270)
=92+226.47+241.5+339.7+20+81+339.7+20+679.4+20+20+60+60
=0+12.8+21.75+19.2+1.5+0+19.2+1.5+38.4+1.5+1+0+4.5
=0+4.57+3+6.85+1+0+6.85+1+13.7+1+0+0+0
=2+8.67+3+13+2+2+13+2+26+2+2+0+1.5
=24+21.17+12.75+31.75+0+21+31.75+0+63.5+0+6+17+3
=2+1.73+13.5+2.6+0+4+2.6+0+5.2+0+2+0+1.5
=0+287.33+10.5+431+100+2+431+100+862+100+0+0+270</t>
  </si>
  <si>
    <t>Woke up at 6 am and got out of bed at 630 AM, my mensa is med-light flow almost done. Made my coffee and fed the babies, the roommate just got home at 6 am and cleaned their pet messes. After my coffee had a lg BM then took my measurements. Made my 2nd coffee before taking the measurements. I was reviewing the chemistry lab procedures before my BM because the prelab questions have to be answered before the lap at 6 pm and also I want to do all of the lab technique write down in the lab manual which is required and answer the questions before my 1 pm client in Norco until about 215-220 pm after disinfecting and packing up supplies. Should get home right before 3 pm when lecture starts. Completed the prelab questions by using word instead of printing and adobe app scanning into the upload. Only 2 questions. But I need to write down the lab procedures for 2 parts in my lab notebook and will have to take photos with adobe scan app to upload. I don't recall/remember if we also do that before class starts to show the procedure is written in the notebook before the lab begins or after we complete the lab. I will have to look that up. Ate a grapefruit for breakfast. Then had a third of the fettucini with 3/4 avocado because 1/4 of it was black already or dark by 9 am. Then starting writing the lab procedures for this week's lab into my notebook. Went to my appointment and she paid for this massage in February, and for the monthly membership's weekly massages for all of March except for the 9th. Note to change to 12 pm from 1 pm. Very nice lady. Got back on time to put the linens in and supplies in wash, and prepare for 3-430 pm lecture. While watching lecture had 1/2 bowl of pasta with 2 tbs parmesan cheese towards the end, but my babies wanted some and I shared but wanted more pasta, so made the rest of the pasta about a full bowl with about 3 tbs pasta and then worked on the SOAP notes and receipt for client and took a break until lab at 6 pm. Lecture ended around 430 pm. I had a cup of 1 tbsp cocoa powder with 1 tbs honey in  1 1/2 cups almond milk warmed up on break. Didn't eat anything else the rest of the night, did dishes on break during lab at 725-745. Went to bed after face routine. Went to bed at 10 pm after face routine and looking at the internet before bed to unwind.</t>
  </si>
  <si>
    <t>Woke up at 330 am and changed menstruation pad then laid back down in bed slept till 430 am and then laid in bed until 445 and got out of bed and ready, the flow of mensa this day is medium. Fixed the babies' food no messes to clean because the roommate got them during the night, and made my coffee. Reviewed driving instrucitons and JD of 9am interview in Irvine. Had a lg BM before my 2nd cup of coffee. Showered after eating a banana then 10 minutes later 2 corn tortilla quesadillas with mozzarella cheese. The roommate said he has been feeling nausious lately since last night. I went to the interview leaving at 815 am and got there right on the dot at 9 am through the parking structure and ringing the doorbell at the 2nd floor of the right building. Went by fast and the 2 dudes Tim and John were very nice and asked the standard data science questions for the data engineer job. Along the lines of what you liked and didn't like about last job, your strengths and weaknesses, where I see my self in the next 5 years, and for data questions about modeling, primary function I would suppose is in required for this job, describe handling data objects like validation and cloud and database management experience, etc. I will see how that went. Looks like a cool building a whole floor of call center and tasks associated with this 4 year old business. I then went to Whole Foods and spent $18 and some change on exactly 6 lg grapefruits, 6 large naval organic oranges, and 2 organic regular sized avocados. Then I went to the Winco in Norco and got some groceries and household goods, came home around 1130 am and made a pot of leeks chopped up about 1/3 cup fresh not much of the white leek showing on the stocks but cheap at under $2 the bushel, and a red and green bell pepper, 1 pkg of beyond meat 4.5 servings and 1 package of the Barilla brand gluten free fettucini noodles 6 servings with the Bertolli Alfredo sauce 7 servings and 4 tbs olive oil to cook the plant based meat and veggies in before adding the pasta sauce to simmer while noodles cooking. I had one of the large oranges from whole foods before preparing the pot of fettucini.I had a bowl with 2 tbs parmesan cheese, it is very heavy. The calories are ridiculous. At work not slow, only 1/2 hour not booked, made a bowl of pasta but it was too heavy and filling to eat the whole bowl with a whole avocado and 2 tbsp parmesan cheese in, so I ate half of it and saved the rest for the babies at home, but only Growly ate some. I also had one of those Whole Foods grapefruits and an orange and the orange tasted the same, but the grapefruit was really good and sweet. A ruby red. Worked on my ch1 homework due today before midnight before work, at work on my phone and in the car on my break and the last questions at home. Sig Figs and conversion factors mostly. Turned it in on time but its automated with every question answered using the Pearson Mastering Lab homework. Tired. Bed by 12 am. Did my face skin routine before bed and started that last night and continued this morning before work.</t>
  </si>
  <si>
    <t>prego 3 cheese pasta, 5 servings per jar about 1/2 cup</t>
  </si>
  <si>
    <t>penne red fennel barilla 2 pkgs for 9 servings total/BeyondMeatPkg/orangeGreenPeppers/zucchini/4 tbs olive oil for whole pot</t>
  </si>
  <si>
    <t>zucchini,https://www.eatthismuch.com/food/nutrition/zucchini,2184/</t>
  </si>
  <si>
    <t>1 bowl double penne beyond zuchPeppersPrego, 1 of 6 servings in a pot of penne</t>
  </si>
  <si>
    <t xml:space="preserve">2 grapefruits
(184	0	0	4	48	4	0)
2 oranges
(162	0	0	4	42	8	4)
4 corn tortilla quesadillas
8 corn tortillas Guerrero brand
(400	4	0	8	84	8	80)
3/4 cup mozzarella cheese
(240	15	10.5	18	3	0	570)
1 pear
(57	0	0	0	15	3	1)
1 apple
(62	0.1	0	0.3	14.9	2.5	0)
1 bowl of penne pasta
(649.00	14.43	2.52	36.85	104.13	18.30	401.23)
1/3 cup mozzarella cheese
(80	5	3.5	6	1	0	190)
=184+162+400+240+57+62+649+80
=0+0+4+15+0+0.1+14.43+5
=0+0+0+10.5+0+0+2.52+3.5
=4+4+8+18+0+0.3+36.85+6
=48+42+84+3+15+14.9+104.13+1
=4+8+8+0+3+2.5+18.3+0
=0+4+80+570+1+0+401.23+190
</t>
  </si>
  <si>
    <t>quads/hips+20</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</si>
  <si>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+20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+5
tricep chair dips 3 sets 12 reps no added weight
quads with leg extensions sitting 3 sets 8-10 reps 45 lbs
rhomboids scapula abduction 3 sets 8 reps 30 lbs    
biceps curls 40 lbs 3 sets 8 reps 
bench press 3 sets 6 reps barbell 85 lbs	</t>
  </si>
  <si>
    <t>Woke up at 5 am and got out of bed about 515 am, had a couple cups of coffee then a reg BM. Starting to be spotty for menstruation and throughout yesterday was light, so last day likely for that this cycle. Did some account management and then took measurements at about 610 am. Watching the videos for genetics, plan for working out after work with weight lifting only as its been about a week since last work out of weights but doesn't feel like it. Then going over the virtual tour of the DC program at SCUHS at 6 pm to 730 pm. I should get some printer ink to print out the notes or set up my desk area to look at the lectures and type or draw onto the notes. The whole zoom thing has me reading the ppt file and writing fast the notes and the added lecture notes on top of the notes in ppt and it stresses me out. watched genetics lecture 1 and a few Amoeba Sisters' videos on cell types, functions, organelles, DNA, mitosis, meiosis, etc. Ate a grapefruit and an orange during lecture recorded and the other videos. At work I ate a grapefruit and an orange and 2 corn tortilla quesadillas made when I made my 2 corn tortilla quesadillas for breakfast with mozzarella cheese. Also had a pear for breakfast and an apple after work. The pear gave me a little bit of gas and the apple did too. I worked out before the zoom virtual tour for SCUHS on the DC program from 6-730 pm. And also made dinner a pot of 2 pkgs of red lentil penne pasta, 1 jar of Prego 3 Cheese sauce, 1 orange pepper, 1 green pepper, 1 zucchini, 1 pkg beyond meat. I had a bowl with about 1/3 cup mozzarella cheese. Then watched the virtual video until 750 pm after the Q&amp;A, seems like a cool program, need a general biology after this chemistry for the 10 term track otherwise its the 12 term track. I have Genetics to do with the videos and then Chemistry. We have a quiz tomorrow during lab at 6 pm on proctorio. I got used to being on camera but only showed my top head from eyebrows to scalp with my thin spot in the middle in virtual Q&amp;A.  Looked at the Amoeba Sister videos on Canvas for Bio18 genetics. Also at the chemistry quiz 1 announcement. Feeling tired. Went to bed around 930 pm.</t>
  </si>
  <si>
    <t>bowl of penne
(649.00	14.43	2.52	36.85	104.13	18.30	401.23)
1/3 cup mozzarella cheese
(80	5	3.5	6	1	0	190)
2 tbs parmesan cheese
(20	1.5	1	2	0	0	100)
1 grapefruit
(92	0	0	2	24	2	0)
1 orange
(81	0	0	2	21	4	2)
1 tbs cocoa powder
(10	0.5	0	1	3	1	0)
1 tbs honey
(60	0	0	0	17	0	0)
1 1/2 cups almond milk
(40	3	0	1	2	1	180)
2 eggs
(140	10	3	12	0	0	140)
1 tbs olive oil
(120	14	2	0	0	0	0)
2 quesadillas
4 corn tortillas Guerrero brand
(100	1	0	2	21	2	20)
1/2 cup mozzarella cheese
(80	5	3.5	6	1	0	190)
1 tbs cocoa powder
(10	0.5	0	1	3	1	0)
1 tbs honey
(60	0	0	0	17	0	0)
1/4 cup almond milk
(10	0.75	0	0.25	0.5	0.25	45)
bowl of penne
(649.00	14.43	2.52	36.85	104.13	18.30	401.23)
1/3 cup mozzarella cheese
(80	5	3.5	6	1	0	190)
2 tbs parmesan cheese
(20	1.5	1	2	0	0	100)
1 tbs cocoa powder
(10	0.5	0	1	3	1	0)
1 tbs honey
(60	0	0	0	17	0	0)
1/4 cup almond milk
(10	0.75	0	0.25	0.5	0.25	45)
=649+80+20+92+81+10+60+40+140+120+100+80+10+60+10+649+80+20+10+60+10
=14.43+5+1.5+0+0+0.5+0+3+10+14+1+5+0.5+0+0.75+14.43+5+1.5+0.5+0+0.75
=2.52+3.5+1+0+0+0+0+0+3+2+0+3.5+0+0+0+2.52+3.5+1+0+0+0
=36.85+6+2+2+2+1+0+1+12+0+2+6+1+0+0.25+36.85+6+2+1+0+0.25
=104.13+1+0+24+21+3+17+2+0+0+21+1+3+17+0.5+104.13+1+0+3+17+0.5
=18.3+0+0+2+4+1+0+1+0+0+2+0+1+0+0.25+18.3+0+0+1+0+0.25
=401.23+190+100+0+2+0+0+180+140+0+20+190+0+0+45+401.23+190+100+0+0+45</t>
  </si>
  <si>
    <t xml:space="preserve">Woke up at 4:50 am, got out of bed around 5 am. I also got up around 12 am to pee. I fed the cat outside because I normally feed the cat at night and morning but last few days only in the morning. It was really windy outside. When I peed before making my coffee, it was yellow and no mensa spotting so my menstruation is gone and I need to drink more water. Made my cup of coffee and fed the babies after cleaning up their messes. I cleaned up their messes before feeding the cat outside. They didn't want to go outside to pee at first, but did once I went back out side to unlock the gate to push the wet cat food can away from the gate. I had a reg BM before finishing my first cup of coffee. Then used my tv as a display to help with taking the notes on the ppt files of my genetics course. Got throught the mitosis video and then took my measurements at 615 am approximately. I had finished my 2nd cup of coffee by then. After finishing the lectures of week 2 genetics around 7 am I had a bowl of penne pasta with 1/4 cup mozzarella cheese and 2 tbs parmesan cheese then a grapefruit. Then looked at my Ch1 hw from chemistry 1a responses that could be printed out from mastering. The sigfigs are for sure needing a review they get tricky between responses like div/mult lowest sfs but add/sub w/ dec. lowest dec. No dec in any then drop dec if not lowest sigfig, etc. Tricky problem on prelab questions only 2 earlier this week, because the solution had 1 or 2 sfs and looked at the original sigfig values in the question to get there. She does deduct 100% of the question points if sfs not exact as they should be. Need to review the prefrixes like milli and nano tetra etc or teta? Also the conversions, but we should get that handed to us. The Kelvin scale on mastering is also not the same as what formula is, so the +237.5 for degrees Celsius is actually +237.15 and when I looked at the notes and study guide it did show the latter, did affect responses to sigfigs in hw. Also, look over assignments in both. Ch2 hw in genetics and chemistry, quiz in lab in chemistry today, hw ch2 for chemistry in mastering lab, and prepare for quizzes coming up in both courses. Not sure when, have to review syllabus. I am eating more when I get stressed because of the autonomic nervous system parasympathetic response opening up the sympathetic response instead as I know it controls digestion and can either be one or the other in body. Can't be stressed and relaxed at the same time. The other way is to sleep more, but that is procrastination and not doable this early in the day unless my mind is too tired or weighed down to think. Plus when eating some more added stress because Princess competes with me and makes me feel guilty for not sharing as much of my food. I have to keep giving her a bite, even my grapefruit, because she keeps waving her tail like those people at the kid drop off at am elementary when dropping off neices when they were young, 'move it, move it, hurry up, you can go faster, not fast enough, people are waiting, hurry,...' thats what that nonstop motion of the arm they keep waving 'forward' in circles to each driver, same with her tail. Love her, she is so adorable, but that is also added stress. Started my review of ch1 by 745 am after venting. Not studying straight through, did the dishes from me and the roommate or myself and the roommate and then filled out FAFSA because I do need to do that for the chiropractor program. I didn't fill one out this year, school code 001229. Made a mental note yesterday Dec29. Also made a cup of almond milk with 2 tbs cocoa powder, 1 1/2 tbs honey and 1/4 tbs instant coffee. Around 930 am I had the last orange. I no longer have any grapefruit or oranges, just a few apples and pears that give me gas. Just before 10 am I had another reg BM. Around 1045 am I have really just been procrastinating on studying and didn't read through all the hw to study for quiz 1 in chemistry 1a, but wrote the questions for genetics quiz 1 that is next week. I planned on studying the ch1 worksheet key and powerpoint slides to chemistry 1 a and still have 4 hours until class starts, but decided while doing laundry that I started around 945 am that I was hungry a little after 1030 am and made some fried eggs in the Winco spray canister of olive oil that is darker like motor oil grease and interestingly lists a 1/4 second spray as a serving that has 0 calories, 0 fat, 0 saturated fat, 0 protein, 0 carbs, 0 fiber, 0 sugar and 0 sodium. I know that to not be true and will take a photo. This could be a carcinogen and hopefully not, but I will use the nutrition facts for olive oil in the jar. I have to get more because I used the last of it yesterday making the pasta with 4 tbs olive oil to use the last. Thought about going to Aldis to get more before making my fried eggs 2 of them and 2 corn tortilla quesadillas with 1/2 cup of mozzarella cheese, but then decided not to. Made another cup of coffee with 1/4 tbs instant and water mostly with 1/4 cup almond milk, cocoa powder 1 tbs, and 1 tbs honey added after microwaving the water. Then reviewed the ch1 wkst key or solns with the power point. I took a nap around 1130 am until 12 pm then had a missed call from work to come in tonight if possible and another call that was labeled 'Loraine' but no voicemail and this caller called again after my 2nd nap but I didn't see if the person left a voicemail. I didn't want to answer any questions about the mobile massage business right then and I get weird calls from dudes that don't sound like respectable dudes that I would want to go to their house and massage that call as female caller IDs and this person actually didn't leave a voicemail or I am not getting the voicemail. I called work back to tell them I am going to have class tonight and can't and every Tue/Thur is class. Also, feeling tired again after waking up but not getting out of bed until the phone rang, so I laid back down for a nap a little after 1 pm and slept until 2 pm feeling much more awake. Quiz not fair on time, didn't allow to start exactly at 6 pm, had to refresh after 6 pm, then have time to test proctorio, then irritated while keeping track of sig figs and prefix multipliers. best score was 15 out of 25, missed some for sigfigs and 1 completely passed unaware it was a separate question, then it ended at exactly 625 pm. She is going to grade it on a curve. I hate timed exams with a shit load of calculations and minimal time to do them. She said she would give 5-10 more minutes. That and being scrutinized by camera while taking the exam. Designed to stress you out 100 fold than whether you know the problem. Or the content. She might be 65 or older because she already recieved her 2nd dose of vaccinations, and there is a 3 week wait from first dose and the teachers were only recently allowed to vax She looks at least 10 years younger but the age could be why the style of test taking is to stress test takers. She drops the lowest quiz and replaces lowest exam with best exam score by the end of the term. She said this when coming from the break and forgetting to turn on her mic, then to share her screen in zoom. I need the class though like every other class ever taken. I know for a fact stressing yourself out for grades has 0 rewards in the real world in getting hired. zero. The exams shouldn't be designed to see how you think under pressure as if deactivating a bomb but should be on how well you know the content. I got 11 pts out of 25. I am using this space to vent. She also was corrected on the sigfigs by some other student when reviewing solutions. Bed by 1045 ish. Didn't eat anything since the time before lab started. Not hungry and did have another cup of hot cocoa and honey with almond milk. A regular sized bowl of pasta was the last meal for the day at around 430 pm. Worked on the lab report for an hour after lab. But the HW2 is due Monday while report due Thursday. Good to have it with a realization tabular data emailed as pasted table in outlook didnt copy to Excel and wasted 20 minutes getting it in Excel in bits and pieces. Went to bed by 11 pm and didn't do my face routine all day. I will restart this morning. My face was getting a dry spot by the left nostril and cheek by the nostril. from the toner and product I assume. </t>
  </si>
  <si>
    <t xml:space="preserve">bowl of penne
(649.00	14.43	2.52	36.85	104.13	18.30	401.23)
1/3 cup mozzarella cheese
(80	5	3.5	6	1	0	190)
2 tbs parmesan cheese
(20	1.5	1	2	0	0	100)
bowl of penne
(649.00	14.43	2.52	36.85	104.13	18.30	401.23)
1/3 cup mozzarella cheese
(80	5	3.5	6	1	0	190)
2 tbs parmesan cheese
(20	1.5	1	2	0	0	100)
40 green grapes
(8.5	0	0	0	36	0	1)
bowl of penne
(649.00	14.43	2.52	36.85	104.13	18.30	401.23)
1/3 cup mozzarella cheese
(80	5	3.5	6	1	0	190)
2 tbs parmesan cheese
(20	1.5	1	2	0	0	100)
= 649+80+20+649+80+20+8.5+649+80+20
=14.43+5+1.5+14.43+5+1.5+0+14.43+5+1.5
=2.52+3.5+1+2.52+3.5+1+0+2.52+3.5+1
=36.85+6+2+36.85+6+2+0+36.85+6+2
=104.13+1+0+104.13+1+0+36+104.13+1+0
=18.3+0+0+18.3+0+0+0+18.3+0+0
=401.23+190+100+401.23+190+100+1+401.23+190+100
</t>
  </si>
  <si>
    <t>Woke up at 510 am and got out of bed by 525 am. The roommate got home at that time while I was cleaning up pet messes, made my coffee and fed the babies. Had my first cup of coffee and waiting my BM before taking measurements since the waist line measurements change. I finished my two cups of coffee and no BM, but feel like if I drink more water it will happen. Right after typing that last sentence I felt a BM passing through and had a lg BM that slightly pulled on my insides on the way out with a little cramping and abdomen growling. Took my measurements at 630 AM. I might do my cardio kickboxing today for 45 minutes, but I will see how the homework goes. At lunch some dude has been commenting on my last cardio kickboxing post on instagram to check my messages and asked if I got any for a few days now. The last time I did cardio kickboxing about 6 days ago. I kept forgetting. I saw he messaged me and checked the message, and was shocked to receive a dick pick. It was out of left field as the cliche goes. And I didn't recognize what it was because it was erect and shiny like an oiled arm. I couldn't read the messages. But it was really funny to me. I haven't seen a penis, other than my roommates dangling non-erect one in many years and probably an erect one for like 8 years. It was creepy, but makes me think someone is stalking me from chemistry class, because he asked for my whatsApp number and I don't use whatsApp but I gave my phone number to the chat on Zoom for whatsApp last week and have since had this dude or 'character' hit me up on instagram. He was soliciting himself for free and said he can go 4x and wants to F*ck and girls liked to get F*cked and then sent a picture of that erect penis. Not sure if its his. But I took screen shots and deleted the threads and couldn't stop thinking how weird that someone sent me a dick pick and that the whole time I have been on instagram nobody has ever done that.  I emailed a client I was communicating with in Murrieta to see if she wants to keep her appointment tomorrow because she originally wanted 10 MLD massages post-op but she lives too far and I can't get to her house on week days because an hour massage would take me 3-4 hours in traffic to get to her and to get home after the massage. Only on weekends. She lives a little more than 25 miles from me too about 32 miles on google maps when I looked at their historical data for driving at the times she wanted a massage. I will see if she wants to keep it. I wrote that if I dont' hear anything by 9 pm that I will cancel the massage appointment still scheduled. She never replied to the last email I sent her notifying her of the reason I cannot massage her M-F. At work I had about 40 green grapes, small ones I got a few days ago at Winco, and a bowl of the penne pasta with 1/3 cup mozzarella cheese and 2 tbs parmesan cheese. I heard from the client via email on my lunch break and she does want the massage in Murrieta. So I will be doing that after work tomorrow. I have homework to do this weekend. Two Chapter 2 assignments for both courses due Monday. I worked out today after work about 10-15 minutes after I got home starting at about 515 pm and did 15 3-minute rounds of cardio kickboxing and 1 minute rest intervals between, with the last half of the rounds in somewhat dark lighting as the sun set a few minutes after starting my workout. I didn't eat anything else when I got back home or after my workout but might before bed. I have to get up at 530 am to get ready and be at work before 8 am. Going to start my homework now for both classes. Starting with chemistry first, then genetics. A few questions here or there, then going to eat something and do some more. I got through half the questions while reading the actual text book to see what the questions referred to. The ppt slides weren't really very explanatory to me. I should just read each chapter then use the ppt slides. Tired. I ate the last bowl of penne with the same mozzarella and parmesan cheese. Looked over the genetics homework. A quiz on ch1 next week, not posted only announced in announcements section with a posted study guide. No ch2 worksheet to turn in for chemistry that I could see, but we do have a worksheet for chapter 2 and the key. So not sure why if we turned in ch1 wkst last week with adobe scan of our answers. We also have a quiz next week on this chapter. Going to bed. Its about 945 pm.</t>
  </si>
  <si>
    <t>mandarin orange 1, calorieking.com</t>
  </si>
  <si>
    <t xml:space="preserve">Woke up at 315 am because Goody was barking, then peed, went back to bed and woke up at 530 am by alarm groggy and tired. The rommate got back at that time. Had 2 cups of coffee while making notes on appointment after work today and checking the rommates online action figure orders. Had a reg BM, then took measurements by 625 am. Not going to have time to workout today. So far, the workouts have been once a week of either weight lifting total body or cardio kickboxing for 45 minutes but not on the same day. Today I plan on working more on the last half of the chemistry ch2 mastering lab homework and reading the chapter in bits as needed as well as looking over the worksheet, and also filling in ch2 homework for genetics and looking at the study guide for ch1 genetics for the quiz on Monday. Breakfast was at 630 am 1 corn tortilla quesadilla and 2 scrambled eggs with 1 tbs sourcream and the spray olive oil. I made 3 corn tortilla and mozzarella cheese quesadillas for lunch and brought 40 green grapes approximately and found an orange in my bag of snacks that was good at work on my lunch. A small orange. Full schedule at work then a little traffic on the 91 freeway and some on the 71 before the 91 freeway. Got some olive oil and coconut oil I have been needing to get after work before getting home. Plan on leaving a little after 4 pm for the 5 pm appointment in Murrieta. Needed some coffee so had my 4th cup of coffee, my 3rd cup at lunch time as always. My cups of coffee were 1/4 tbs instant coffee the color of black tea. No keurig yesterday or today from the work community supply in the break room. Keeping track of how much caffiene I have. Also on my lunch break I decided to delete the screen shots of the dude on Instagram who sent me the dick pick, but didn't block him. He reminds me of Borat because his character is middle eastern and the way he talks or text messages. I told him yesterday no thanks and that he's funny. He responded and said he is not funny and that he wants to F*ck. Put that aside, he is muted. I am not sure how to block anybody on instagram I have to google it like I googled checking messages on instagram because I really couldn't find how to. I just wanted to make a note of this. Its very unusual and odd to me. Of all places to comment, on my videos of me cardio kickboxing on my wave master bag outside. Sounds like a stalker and doubtful that guy is a real person but instead a character. Putting that aside, I have an appointment in Murrieta to get to and hopefully no traffic and everything else isn't a problem like parking or hauling my table up a flight or more of stairs. This is a manual lymphatic drainage and she is 10 - 11 days post-op. Went to the new client and ate a couple cups of chex cereal plain that I had in a sandwhich bag in one of my snack bags inside the car a week at the least. It kept me alert digesting the gluten free carbs. Very nice lady. There was some traffic getting there. Got back around 730, stopped by Stater Bros for some avocados, mandarin oranges, bananas, beyond meat patties because thats all they had and some matches for the bathroom. We ran out from last year when we bought a box. Updated this table after making 2 fried eggs in 2 tbs olive oil that I got after work that isn't the spray, and usually only eat about half of however much olive oil I use. And had a whole avocado with it. Then started my chemistry ch2 hw 2nd half of questions. I was able to complete my homework before 10 pm but after 945 pm. I ate 3 mandarin oranges that I got at Stater Bros earlier around 8 pm. Have linens in the dryer. Didn't get a chance to put together tonight's client's receipt and SOAP note but did by 1030 pm. Tired. Bed by 1045 pm. No face routine tonight. Just sticking to mornings. </t>
  </si>
  <si>
    <t xml:space="preserve">4 corn tortilla quesadillas
8 corn tortillas Guerrero brand
(400	4	0	8	84	8	80)
1/2 cup mozzarella cheese
(80	5	3.5	6	1	0	190)
2 eggs
(140	10	3	12	0	0	140)
1 tbs sourcream
(30	10	1.75	0.5	1	0	7.5)
1 tbs olive oil
(120	14	2	0	0	0	0)
40 green grapes
(8.5	0	0	0	36	0	1)
1 orange
(81	0	0	2	21	4	2)
avocado
(322	29	4	4	17	18	14)
2 eggs
(140	10	3	12	0	0	140)
1 tbs olive oil
(120	14	2	0	0	0	0)
3 mandarin oranges
(120	0.6	0.3	1.8	30.3	4.2	6)
2 cups chex cereal
(240	1.6	0	4.8	52.8	3.2	448)
=400+80+140+30+120+8.5+81+322+140+120+120+240
=4+5+10+10+14+0+0+29+10+14+0.6+1.6
=0+3.5+3+1.75+2+0+0+4+3+2+0.3+0
=8+6+12+0.5+0+0+2+4+12+0+1.8+4.8
=84+1+0+1+0+36+21+17+0+0+30.3+52.8
=8+0+0+0+0+0+4+18+0+0+4.2+3.2
=80+190+140+7.5+0+1+2+14+140+0+6+448
</t>
  </si>
  <si>
    <t>Coconut oil Simply Nature organic brand from Aldi, 1 serving is 1 tbs</t>
  </si>
  <si>
    <t>beyond meat 2 pkg burger patties, 2 servings per pkg, for 1 pkg:</t>
  </si>
  <si>
    <t>Rotini red lentil barilla brand 1 pkg is 4.5 servings of 2 oz or 3.5 oz in 2.5 servings</t>
  </si>
  <si>
    <t>pasta rotini with 3 cheese Prego/beyond meat burgers (2)/1 yellow pepper/1 zuchini/2 tbs olive oil, makes about 3 bowls of pasta</t>
  </si>
  <si>
    <t>1 bowl pasta rotini with beyond burger meat</t>
  </si>
  <si>
    <t xml:space="preserve">2 eggs
(140	10	3	12	0	0	140)
1 tbs olive oil
(120	14	2	0	0	0	0)
1 tbs sourcream
(60	5	3.5	1	2	0	15)
1 avocado
(322	29	4	4	17	18	14)
2 corn tortilla quesadillas
4 corn tortillas Guerrero brand
(200	2	0	4	42	4	40)
1/3 cup mozzarella cheese
(106.7	 6.7	4.7	8	1.3	0	253.3)
3 mandarin oranges
(120	0.6	0.3	1.8	30.3	4.2	6)
2 bananas
(210	0	0	2	54	6	2)
1 tbs cocoa powder
(10	0.5	0	1	3	1	0)
1/2 tbs coconut oil
(60	7	6.5	0	0	0	0)
1 tbs honey
(60	0	0	0	17	0	0)
bowl pasta rotini with beyond burger meat prego 3 cheese 
(663.00	25.70	5.95	36.87	76.10	13.10	1035.80)
1 avocado
(322	29	4	4	17	18	14)
4 corn tortillas Guerrero brand
(200	2	0	4	42	4	40)
1/3 cup mozzarella cheese
(106.7	 6.7	4.7	8	1.3	0	253.3)
=140+120+60+322+200+106.7+120+210+10+60+60+663+322+200+106.7
=10+14+5+29+2+6.7+0.6+0+0l5+7+0+25.7+29+2+6.7
=3+2+3.5+4+0+4.7+0.3+0+0+6.5+0+5.95+4+0+4.7
=12+0+1+4+4+8+1.8+2+1+0+0+36.87+4+4+8
=0+0+2+17+42+1.3+30.3+54+3+0+17+76.10+17+42+1.3
=0+0+0+18+4+0+4.2+6+1+0+0+13.10+18+4+0
=140+0+15+14+40+253.3+6+2+0+0+0+1035.8+14+40+253.3
</t>
  </si>
  <si>
    <t>Woke up at 520 am, and felt tired. Had a couple cups of coffee, didn't clean up pet messes because the roommate did when he got home, and I made the babies their food. For breakfast around 7:30 am I had 2 scrambled eggs with 1 tbs sour cream and 1 avocado and 2 corn tortilla and mozzarella cheese quesadillas. I also decided to squeeze my waist trimmer in to the 2nd string of grommets or eyes to fasten which is approximately an inch smaller than the 31" I have been wearing since mid January. It didn't give me any problems at work, and might be another reason not too hungry, but I also ate a big breakfast this morning. For lunch I had a banana and 3 mandarin oranges and my 3rd cup of coffee from the work keurig instead of my instant coffee I didn't pack any carbs for lunch was running late as I did some of my ch2 hw for genetics and on my lunch break while drinking my coffee I went to the Dollar Tree to get some coconut oil and disposable oil bottles and some plates, bowls, and mugs and try out their foot scrub and some battery lit candles. After work had a banana when I got home and made a cup of my 4th cup of coffee with 1/4 tbs instant nescafe cofffe, 1 tbs cocoa powder 1 tbs honey and 1/2 tbs coconut oil. This version tastes better than without coconut oil. I plan on cooking up the beyond beef burger patties but with peppers and the zuchini in the fridge and one of the pastas. Still not sure. Going to sip my cocoa while I work on the rest of the ch2 hw for genetics, then do some studying for both courses. Need to get the rent money order due tomorrow. But will probably get it tommorrow at my bank or at the grocery store. I actually ended up making the pasta then having a bowl of rotini 1 pkg with 1 pkg of beyond meat for 2 burgers, 1 yellow bell pepper, 1 zucchini, and Prego 3 cheese pasta sauce. I had a whole avocado with the pasta and shared some with the babies. No cheese on this bowl. Then started my genetics ch2 hw. The cocoa with coffee sort of gave me the onset of a headache at first so I made the pasta and ate before doing the homework. After completing the genetics week 2 ch2 homework, I reviewed the power point slides for chemistry 1A week 2 and then decided to watch a movie, the first movie trailer looked good, so picked 'Greenland,' a movie about the end of the world but only the best and brightest professions like structural engineers and doctors with their immediate family have to fight to take the plane to the bunkers in Greenland for saving the best of humanity while billions of the others die from a large asteroid and its many parts that kill much of the plant and animal life on Earth. Pretty good movie. The little boy's constant sad, crybaby face of despair was annoying. Because it was like the only face he had on the whole time except when actually saying something about death flashing before your eyes. When you watch other movies with little helpless characters they are usually lively but his emotion the whole time was of a helpless and useless little diabetic kid and I know its mean to say. Its sad really, but he overkills it. Maybe a couple shots of him with that face, but the running around and time constraints weren't really translated to me to make me feel it like in other end of the world movies. And the way the 7 year old boy stayed in the car when he could have unbuckled himself and got out when his mom was forced out so the strangers could have their bracelets is really where the sad and despaired and pathetic face got annoying. He could have at least got out of the car. But the drama had to be a string of events that are obstacles for the family getting saved. Going to do more review tomorrow. Work out the chapter 2 chemistry worksheet with the answers on the slide first thing in the morning and look at the genetics study sheet as well for chapter 1 and see the items to do for week 3. Bed time around 10:15 pm.</t>
  </si>
  <si>
    <t>Silk Almond milk, 1 serving is 1 cup, 1 serving:</t>
  </si>
  <si>
    <t xml:space="preserve">2 bananas
(210	0	0	2	54	6	2)
bowl pasta rotini with beyond burger meat prego 3 cheese 
(663.00	25.70	5.95	36.87	76.10	13.10	1035.80)
1/3 cup mozzarella cheese
(106.7	 6.7	4.7	8	1.3	0	253.3)
2 mandarin oranges
(80	0.4	0.2	1.2	20.2	2.8	4)
1 bowl pasta rotini beyond meat 
(106.7	 6.7	4.7	8	1.3	0	253.3)
2 tbs parmesan cheese
(20	1.5	1	2	0	0	100)
4 mandarin oranges
(160	0.8	0.4	2.4	40.4	5.6	8)
1 serving protein powder pea and mung bean plant based gluten free Olly brand
(130	2	0	18	9	2	320)
1 1/2 cups Almond milk Silk brand unsweet version
(45	3.75	0	1.5	1.5	0	172.5)
=210+663+106.7+80+106.7+20+160+130+45
=0+25.7+6.7+0.4+6.7+1.5+0.8+2+3.75
=0+5.95+4.7+0.2+4.7+1+0.4+0+0
=2+36.87+8+1.2+8+2+2.4+18+1.5
=54+76.10+1.3+20.2+1.3+0+40.4+9+1.5
=6+13.10+0+2.8+0+0+5.6+2+0
=2+1035.8+253.3+4+253.3+100+8+320+172.5
</t>
  </si>
  <si>
    <t>Woke up before my alarm a few minutes before 630 am. I had a weird dream and usually don't but was arguing in it and apparently earlier I had agreed to something about traffic on the PCH to go somewhere while hanging out with my sister and neices with somebody driving and we had a conversation with a guy on the phone like it was a boss of one of us and he said to watch the language, and I took the blame for saying F U repeatedly to the traffic with them agreeing and saying the same, and it turns out whoever was driving not my family but I guess an extension of some earlier dream event I can't recall had everybody look at me with weird expressions on their face like they were confused and as if I was lying and this person asked where I thought we were all going and it was a party. Something I would never go to. And made me wake up like it was somebody trying to manipulate my dreams and thoughts like lucid dreaming or something. Made no sense like most dreams but I actually remembered this one slightly because it woke me up. Anyhow, made my 1st cup of coffee, have to go to the bank or grocery store later to get a money order for rent and put that out front before work. Going to study my CH2 study guide and worksheet for the quizes this week in both courses. Had a lg BM after my 1st cup of coffee and before sipping my 2nd cup of coffee around 720 am. Started a load of laundry before work this afternoon. Started the worksheet around 8 am and had a banana around 830 am, finished the worksheet before 10 am and then had a bowl of rotini pasta with 1/3 cup mozzarella cheese that I shared some with my babies while checking my worked out solutions to the key for worksheet week 2 chapter 2. Went to the bank, then to Target, got some disinfectant wipes, plant based pea protein for work to make my nutrition higher in protein its also gluten free, some actual face moisturizer with sunscreen, generic neutrogena Target brand oil-free face moisturizer non-comedogenic and SPF 15. And more Almond milk, once you open it, plan for only 10 days of it lasting even if a lot in there. I ate the last bowl of the rotini with 2 tbs parmesan cheese and shared some with the babies as usual. Went to work, full schedule. Ate 4 mandarin oranges between the time I got to work and on my break, had a 4th cup of their coffee Keurig Dunkin Donut brand with 2 spoons or a serving of the pea protein powder and 1 1/2 cups almond milk unsweet version. It was not mixing well and was clumpy but was able to drink it. It made me burp a lot that and my waist trimmer at 30" . I wore my 32" waist trimmer to the smallest of the 3 settings at 30" because I washed my other 31" waist trimmer. It was dry by the time I left for work but I didn't put it on because I already had on my 32" one set to 30". I remembered by the time I got through my last massage that I have the lab report due today. She accepts late assignments but not missed quizes or exams. I check regularly the grades but didn't remember. I thought for some reason it was this Thursday. I might be right still and its this Thursday. But not sure. Actually I was originally right, Whew! Because it is due this Thursday. Not a bummer. Good thing. Got an email from Indeed that the data engineer job is on hold, but it is nice for the update that they sent recently. I am too busy to drop everything right now but that place looked like I could have fit in. That happens with data science and data engineer jobs. They did that with the Kaiser Data science job as well and an IEHP data science job. I need to get a smog check on my dodge that I am trying to sell and might do that tomorrow morning. Tred requires it, but also I want to make sure my engine and catalytic converter is still working because I still have a 100k warranty on it and it is only at 74k miles. Tomorrow I have a 12 pm massage client on monthly membership. A very nice, friendly and respectable lady as most my clients are. Its not that far away. I plan on working on my assignments, possibly getting a smog check somewhere close by and also possibly changing the oil in my Ford Transit connect for the first time because it is 3 months since I bought it and almost 3k miles. I looked at the video and its traditional style with the oil filter on the bottom by the oil pan and have to take off the under carriage shield. I have to find my other oil filter tools to remove it or buy one.  Went to bed after 1145 pm about 12 am asleep.</t>
  </si>
  <si>
    <t xml:space="preserve">3 eggs
(210	15	4.5	18	0	0	210)
2 tbs sourcream
(60	5	3.5	1	2	0	15)
2 tbs olive oil
(120	14	2	0	0	0	0)
2 tbs cocoa
(20	1	0	2	6	2	0)
2 tbs honey
(120	0	0	0	34	0	0)
1 tbs coconut oil
(120	14	13	0	0	0	0)
8 corn tortillas Guerrero brand
(400	4	0	8	84	8	80)
4 slices provolone cheese
(280	20	12	20	0	0	680)
5 mandarin oranges
(200	1	0.5	3	50.5	7.0	10)
=210+60+120+20+120+120+400+280+200
=15+5+14+1+0+14+4+20+1
=4.5+3.5+2+0+0+13+0+12+0.5
=18+1+0+2+0+0+8+20+3
=0+2+0+6+34+0+84+0+50.5
=0+0+0+2+0+0+8+0+7
=210+15+0+0+0+0+80+680+10
</t>
  </si>
  <si>
    <t>Jamba Juice med sz PB banana smoothie</t>
  </si>
  <si>
    <t>Red Fennel Penne with Prego 3 cheese sauce plain, whole pot</t>
  </si>
  <si>
    <t>1 bowl penne 3 cheese sauce plain</t>
  </si>
  <si>
    <t>2 bowls penne 3 cheese sauce plain</t>
  </si>
  <si>
    <t>1 pc dark chocolate covered honeycomb Sprouts https://www.fatsecret.com/calories-nutrition/sprouts-farmers-market/dark-chocolate-honeycomb</t>
  </si>
  <si>
    <t>Woke up around 6 AM got out of bed at 630 AM. Made coffee, no messes to clean the roommate cleaned them as he arrived at that time before I got out of bed, made babies their food. While sipping cup of coffee the 1st one filled in the blank on ppt of ch1 from wk1 genetics. I had emailed the instructor about not being able to download her respondus lock down app she stated in her announcement we would need, bc the site says we students get the link from our school instructor. Didn't check this morning, but finished reviewing the slides and answering the quiz 1 study sheet by 8 am. Made some scrambled eggs with 2 tbs sourcream and 2 tbs olive oil, 3 because last of the dozen and need more, didn't want just one egg in there. One was a waste from that dozen. Not sure if I bought it with a hole in it or the roommate did it on accident. He pushes stuff around a lot more aggressively than needed. Had my reg BM before my 2nd cup of coffee. I finished the 2nd cup of coffee around 715 am when studying and filling in worksheet. Took measurements while waiting for eggs to cool. I started the protein powder yesterday and noticed I gained weight and ate less calories yesterday. I also had a different measurement on thighs when lifting it and flexing that was more than having it propped on dog stairs to bed as usual, so left kitchen to take the measurements the exact way I have been in the exact spot for weight scale and using the same relaxed method of measuring to the tightest the tape measure and clippers for fat can go. I ate breakfast 10 minutes later and checked email. I then reviewed some more of the ppt and notes on study guide then took quiz with the link on the site for the quiz. Went to the client's house and everything felt fine, I stopped by autozone and Staples before in Norco, felt great. As soon as I got there, she was very nice as usual but saw a used condom on the street in front of where I parked and was disgusted, then it escalated to the smell of the camphor in her candle. I had two face masks on but felt kind of nauseated or sick to my gut I kept smelling it. I worked on her knee after setting up with the 25% 1MHz RF 3 pronged for the knee R side and ATB that side for her knee surgery wound a few years ago thats tender used the CBD and the lavendar. I had been smelling peppermint from the time I put the 3 aromas eucalyptus, peppermint, or lavendar in my pockets for my scrubs pocket supplies of the gua sha with grooves for face black onyx type bull's horn material, the aromatherapy, rubbing alcohol, wash cloth clean, dish soap in a bottle for hand washing, my wallet and keys. I was able to work on her before knowing something like sickness would take over. I had to excuse myself while she was turned over and go to the restroom. Didn't have a BM, but put cold water on my hands and breathed without mask, I had put rubbing alcohol on it and later peppermint aromatherapy to try and fix the sickness I felt coming. I felt better, she was the same with L leg still uncovered. I started working on the rest of that leg then the R leg and felt it come on again. This time to have a lg BM, not diareah but close, cold water on hands, breath, felt better, went back to client and finished that leg, her husband opened the windows because he closed them before I got sick the first time because client was cold, and it locked the camphor smell in. I was able to work on clients back. She was very understanding this whole time and hospitable. I was doing great then went for deeper pressure on ESM R side, made it to L side, then had to excuse myself. I had diarhea this time. I took off my waist trimmer after the 2nd BR break and this was the 3rd. I also washed my hands with the soap I brought and wiped with washcloth. I put their toilet paper down on the toilet each time I sit on it, and used the last of their TP, I had to wipe with their tissue kleenex and luckily they had it there. I felt better after that round and was able to wash hands spray their freshener and finish the massage. I started at 1215, each BR break took about 5 minutes. I ended at 135. She still tipped me $10 which is super nice of her. She is very understanding, her and her husband and didn't make me feel guilty for being sick. We think its the waist trimmer but maybe the coffee. I didn't have a fever and my allergies upset me with bright lights and smells. I massage her again in 2 weeks because she is a monthly subscriber but out of town next week. Felt better by the time I got home, but when doing my laundry and the linens, think I might have left my wallet in my pants when put in wash and couldn't fish it out. Not in the car either or with my stuff. Hopefully I didn't leave it there on the bathroom sink when I put some stuff on the counter. No working out today, I have class at 3 pm in less than 5 minutes. I bought stuff for my oil change including heavier 16k rhino ramps for the lifting up of van onto ramp for oil change, synthetic oil, a filter, and a filter removing tightening band wrench earlier. Wanted to have time for doing the oil change and working out. Might have to pick one or not do either one. I have a break at 430 pm, but first time changing my Ford's oil. Growly had a terrible seizure right when I got back from the massage. He must have triggered it from a smell, the aromatherapy and the oils were in my clothes and my pockets. I waited with him massaging his back and neck and head and patting his back until he got better. He tried to stand and turn over a couple times. Poor little guy. Thought he might die. Thankfully he didn't. Didn't eat anything until the break after 430 pm a couple corn tortilla quesadillas with provolone cheese. I looked at the filter and it looks like it has some edges on the grooves that are cut, I went over it making sure it is smooth and not going to go on the oil filter site with any problems catching the goove. It was open box with tape, the last oil filter for that kind, and the cashier took it with him to get the correct size oil filter wrench band with a pocket knife to cut the tape that he pulled out at the counter. He had a bad vibe about him, detached and not that friendly. But not mean. I changed my oil and it took me a tiny bit longer than expected, couldn't get the Ford on the ramps, took 4-5 tries, and the 3rd or 4th time it fell off on the right side and I ran over it, but they weren't damaged, which is awesome. I had to join the lab late, and then ate a couple quesadillas with provolone cheese and 3 mandarin oranges. I had a couple of quesadillas the same way before the lecture started as well. In total 4 quesadillas and 5 mandarin oranges, because I ate 2 more on my break at 750. Also had a cup of cocoa with 1/4 tbs instant coffee and 1 tbs honey. We worked on the Excel notebook. Have lots of studying to do, but was able to turn in that assignment. To recap a report from last week due Thursday, and many assignments this week including a quiz on last weeks lectures and homework and memorizing some ionic compound formulas and charges. Not too worried, and a discussion in genetics on describing the photo on mitosis and replying to another student's with less than 3 replies. As well as this week's homework and review of the ch3 and week 3 lecture and ppt slides. After the chemistry zoom course ended, noted the day in this research database and then worked on today's client's notes and receipt. Bed time around 11 pm.</t>
  </si>
  <si>
    <t>kirkland salted roasted almonds snack size pack of almonds</t>
  </si>
  <si>
    <t>sprouts dark chocolate covered cranberries serving size 13 pcs</t>
  </si>
  <si>
    <t xml:space="preserve">2 bowls of red fennel penne Prego 3 cheese plain
(783.33	9.17	2.50	45.00	138.33	21.67	1600.00)
1 slice of provolone cheese
(70	5	3	5	0	0	170)
2 tbs parmesan cheese
(20	1.5	1	2	0	0	100)
1/2 cup mozzarella cheese
(80	5	3.5	6	1	0	190)
1 PB banana smoothier med sz
(570	24	6	37	58	5	480)
1 grapefruit
(92	0	0	2	24	2	0)
1 orange
(81	0	0	2	21	4	2)
dark chocolate covered honeycomb Sprouts
(50.00	2.00	1.17	0.33	8.00	0.00	28.33)
orange
(81	0	0	2	21	4	2)
kirkland almonds salted and roasted 1 pkg
(270	24	2	9	9	6	180)
sprouts chocolate covered cranberries about 1 serving 13 pcs
(130	8	5	2	28	3	1)
=783+70+20+80+570+92+81+50+81+270+130
=9.17+5+1.5+5+24+0+0+2+0+24+8
=2.5+3+1+3.5+6+0+0+1.17+2+5
=45+5+2+6+37+2+2+0.33+2+9+2
=138.33+0+0+1+58+24+21+8+21+9+28
=21.67+0+0+0+5+2+4+0+4+6+3
=1600+170+100+190+480+0+2+28.33+2+180+1
</t>
  </si>
  <si>
    <t>Woke up at 530 am by alarm and laid in bed 20 minutes, then got up. I also got up before that around 345 to pee and went back to bed. Had my 1st cup of coffee, cleaned up the pet messes, and made the babies their breakfast. Watched a couple of the Amoeba Sisters youtube videos for genetics and folded laundry while drinking 2nd cup of coffee. Didn't have a BM, so made a 3rd cup of coffee and had a sm BM before drinking it. I put a little more instant coffee in 2nd cup and about 1/3 tbs in 3rd cup, with about 1/2 tbs in 2nd cup and 1/3 tbs in 1st cup as the usual amount of instant coffee in my cups of coffee. Have to monitor this to make sure I don't get a headache later or drink too much. Took measurements before drinking 3rd cup of coffee. Have pasta on the stove to make for breakfast, red lentil with pasta sauce Prego 3 cheese and parmesan cheese and provolone cheese. No veggies or fruit, have to go grocery shopping and workout with weight lifting later today, then finish the chemistry lab from last week. At work I didn't bring my lunch but I had a jamba juice gift card from work for my birthday in January for $10 that I washed in my wallet that I washed last night. I got a Jamba Juice pea protein in PB Banana smoothie and had the cashier let me take a photo of the medium drink nutrition facts and keep the change as a tip from the gift card. Then after work I went to Winco and bought groceries, but it was a big ordeal today when I paid cash with what I had and the rest on my debit card, because she went ahead and put in cash for the total order and it cashed/closed out the order before I could pay the remaining with my debit card. I had to have two other people figure out what she did, when you would think it wouldn't be that difficult. But the cashier gave me back the $70 I paid of the $102 approximate order where I was supposed to pay the remaining on my debit card. They took me to their money order area and I gave the guy the $70 the cashier gave me and he had to call to make sure she gave me the $70. It was weird but I paid with my debit card the remaining, and he gave me the receipt that said I paid cash and since I had gloves and rubbing alcohol on my hands when I grabbed the receipt and folded it to put in my shirt pocket of my scrub the ink came off most of the receipt instantly. I also let a skinny young guy cut in line ahead of me to buy one canned alcoholic drink. Maybe it was karma or something. He paid cash and was thankful, but no sense in him waiting because the 15 item or less self check out lanes don't allow alcohol purchases. When I got home after unloading the groceries, I had a grapefruit and a bowl of the red fennel penne pasta with Prego 3 cheese sauce and 1/2 cup shredded mozzarella cheese, then an orange. When I removed and moved around stuff in the fridge I saw some chocolate I bought at Sprouts before starting my diet and exercise research back in early January. I still had a chocolate covered honey comb and don't remember what the other chocolate covered things are in the sandwhich bag but maybe almonds. I ate the chocolate covered honey comb before eating the grapefruit and bowl of plain penne pasta with mozzarella cheese. It rained today and was cold, I also have tons of homework to do so not working out today. Tomorrow for sure because it is now 7 days since I lifted weights. Took me a very long time to finish the rest of the lab from week 2, from 5 pm to around 1115 pm, and I already did most of part 1, typing in the formulas and answering the questions. I still need to take a photo of the lab manual procedures and attach them to the word file and save as one pdf file. Bed time around 12 am after doing the dishes from earlier and chewing more ice. I also had an orange around 930 pm. and a pack of kirkland almonds from the work breakroom snack supply, and about a serving or 1/4 cup 13 pcs of dark chocolate covered cranberries that were in the fridge that I thought were dark chocolate covered almonds.</t>
  </si>
  <si>
    <t xml:space="preserve">upper abs cable 10 reps each side in 3 sets 25 lbs 	
lower abs with cable 25 lbs leg lifts each side 	
standing abducturs outer thighs 3 sets 6-8 reps 25 lbs	
standing adductors inner thighs 3 sets 6-8 reps 25 lbs	
squats 3 sets 10 reps barbell 45 lb + 70lbs added weight      
leg lifts standing for abs, 3 sets 12 reps no added weight
dead lifts 3 sets 10-12 reps dumbells 60 lbs	 
tricep extension cable 3 sets 25 lbs
shoulder lifts medial/posterior deltoids/latts 3 sets 6-8 reps 15 lbs	
calves 3 sets 12 reps 60 lbs total with dumbells	
upper trapezius shoulder shrugs 60 lbs dumbells 3 sets 10-12 reps	
tricep extension above head dumbells 30 lbs 3 sets 8 reps	
military press 3 sets 40 lb dumbells 
obliques side extensions 3 sets 10 reps 30 lbs	
hamstrings leg flexion laying prone 3 sets 6 reps 50 lbs    
tricep chair dips 3 sets 12 reps no added weight
quads with leg extensions sitting 3 sets 8-10 reps 45 lbs
rhomboids scapula abduction 3 sets 8 reps 30 lbs    
biceps curls 40 lbs 3 sets 8 reps 
bench press 3 sets 6 reps barbell 85 lbs	</t>
  </si>
  <si>
    <t xml:space="preserve">2 corn tortilla quesadillas with mozzarella cheese
4 corn tortillas Guerrero brand
(200	2	0	4	42	4	40)
1/2 cup mozzarella cheese
(160	10	7	12	2	0	380)
1 grapefruit
(92	0	0	2	24	2	0)
2 eggs
(140	10	3	12	0	0	140)
2 tbs sourcream
(60	5	3.5	1	2	0	15)
2 tbs olive oil
(120	14	2	0	0	0	0)
2 tbs cocoa powder
(10	0.5	0	1	3	1	0)
2 tbs honey
(120	0	0	0	34	0	0)
banana
(105	0	0	1	27	3	1)
pea protein 2 scoops
(130	2	0	18	9	2	320)
almond milk 1 1/2 cups
(60	4.5	0	1.5	3	1.5	270)
2 tbs cocoa 
(10	0.5	0	1	3	1	0)
2 tbs honey
(120	0	0	0	34	0	0)
grapefruit
(92	0	0	2	24	2	0)
2 servings of the chocolate covered cranberries
(260	16	10	4	54	6	2)
bowl of penne plain with prego 3cheese sauce
(391.67	4.58	1.25	22.50	69.17	10.83	800.00)
2 provolone slices in pasta
(140	10	6	10	0	0	340)
banana
(105	0	0	1	27	3	1)
3 corn tortillas
(150	1.5	0	3	32.5	3	30)
1/4 cup mozzarella cheese
(80	5	3.5	6	1	0	190)
=200+160+92+140+60+120+10+120+105+130+60+10+120+92+260+391.67+140+105+150+80
=2+10+0+10+5+14+0.5+0+0+2+4.5+0.5+0+0+16+4.58+10+0+1.5+5
=0+7+0+3+3.5+2+0+0+0+0+0+0+0+0+10+1.25+6+0+0+3.5
=4+12+2+12+1+0+1+0+1+18+1.5+1+0+2+4+22.5+10+1+3+6
=42+2+24+0+2+0+3+34+27+9+3+3+34+24+54+69.17+0+27+32.5+1
=4+0+2+0+0+0+1+0+3+2+1.5+1+0+2+6+10.83+0+3+3+0
=40+380+0+140+15+0+0+0+1+320+270+0+0+0+2+800+340+2+30+190
</t>
  </si>
  <si>
    <t xml:space="preserve">Woke up at 530 AM, but got out of bed around 6 am. Made my coffee and fed the babies, took photos of the lab manual procedures and results I wrote in during the lab last week for this report and uploaded to computer to attach or insert into the word document of the lab report (informal ) to save as one pdf file to turn into canvas thats due today. Finished my 1st cup of coffee, had a lg BM, took my measurements, and made another cup of coffee. The images attached nicely of the lab report as inserted as is. I ordered a new ankle strap for weight lifting with the cables a few days ago on Amazon and signed up for Prime again, and also bought some gold hoop earrings for my mom as her birthday is the 8th on Monday through Amazon. I checked my notifications today. Mom should get her earrings Friday. I had bought some jade hoops for her and a bracelet for Christmas because I felt bad her bracelt wasn't held together like it should be and told her the jade hoops were her birthday gift, but I bought her some gold hoops too. She has been waiting for her stimulus check to get her dental work done. I texted her the photos when I made the order, but she never responded. Probably never checked her phone. No notifications that are new. I won't be getting my workout ankle strap until mid March and the eye pillows with removable covers probably sooner for work. I was considering working out this morning before the genetics class. But not feeling like it. Have more to do for homework. Actually, I got it wrong, the ankle strap comes in today and the eye pillows won't arrive until mid march, and Mom should get her earrings today by 8 pm. I will call her later. We get paid tomorrow because the pay day falls on the weekend. Yay! but only 10 days on the check instead of 11, not a bummer but a few hundred less than normal. The genetics course is using login zoom meetings on Thursdays. Started this week, was going to be Q&amp;A with recorded lectures posted before class. Did the prelab questions then made a banana pea protein cocoa almond milk shake then a nap for 20 minutes from 1 pm to 120 pm, then looked over week 2 wkst solns to study for ch2 quiz at chemistry lab today then worked out at 2 pm for all exercises same as usual no increases or decreases, bench press not done all the way but done. Then joined lecture on zoom for chem1A and did laundry of clothes and bed coverings to keep them clean and covers and pillow cases and fitted sheet. Took some notes on wk 3 lecture. Had a grapefruit. It goes right through Princess, and she only eats it if I feed it directly to her. Only 3 cups of coffee at this point because I had some instant coffee in my cocoa earlier with honey. Ate last bowl of plain penne with 2 slices provolone before lab and while studying then a banana during the break in lab. Tired by the last 40 minutes of lab with nomenclature of all compound types. Took out laundry to put on bed and away. Tired bed time by 10 pm. I wanted a snack before bed so made 1 1/2 corn tortilla quesadillas with mozzarella cheese and drank a little bit of water. Might be dehydrated. I also checked email and saw that my ankle strap was delivered and its awesome, has foam pad on it that keeps the strap from pinching and prevents the aches my other strap has. Will see how sturdy it stays strapped with the velcro. Because the other one releases while in motion if not secured tightly and pressed along the velcro tediously. Happy about it. I forgot I was having it delivered at my home address and not the locker because Amazon doesn't deliver for it as a 3rd party seller on Amazon. </t>
  </si>
  <si>
    <t>rotini 2 pkgs/beyond 1 pkg/prego3cheese 1 jar/3 bell peppers red-green-yellow/3 cups greenbeans/2 tbs olive oil 1 pot makes about 6 bowls the size I eat</t>
  </si>
  <si>
    <t>1 bowl rotini 3-5-2021 recipe</t>
  </si>
  <si>
    <t>2 bowls rotini 3-5-2021 recipe</t>
  </si>
  <si>
    <t xml:space="preserve">rotini red fennel 2 pkgs/prego 3 cheese 1 jar/yellow/red/green bell peppers/1 pkg beyond meat/2 tbs olive oil/3 cups green beans makes 6 2 bowls
(1118.00	34.50	9.00	71.33	140.33	26.67	1274.00)
1/2 cup mozzarella cheese
(80	5	3.5	6	1	0	190)
2 bananas
(210	0	0	2	54	6	2)
4 tbs cocoa
(20	1	0	2	6	2	0)
2 tbs honey
(60	0	0	0	17	0	0)
orange
(81	0	0	2	21	4	2)
grapefruit
(92	0	0	2	24	2	0)
2 servings chocolate covered cranberries
(130	8	5	2	28	3	1)
1 serving 2 scoops pea protein
(130	2	0	18	9	2	320)
1 1/2 cups almond milk Silk brand unsweetened
(30	2.5	0	1	1	0	115)
1 serving walnuts
(200	20	2	5	4	2	0)
=1118+80+210+20+60+81+92+130+130+30+200
=34.5+5+0+1+0+0+0+8+2+2.5+20
=9+3.5+0+0+0+0+0+5+0+0+2
=71.33+1+54+6+17+21+24+28+9+1+4
=140.33+0+6+2+0+4+2+3+2+0+2
=26.67+190+2+0+0+2+0+1+320+115+0
=1274+190+2+0+0+2+0+1+320+115+0
</t>
  </si>
  <si>
    <t xml:space="preserve">Woke up a little after 5 AM and decided to get out of bed by 515 am because of all the hw I have to complete and prepare some more pasta with beyond meat and veggies. Usual routine, clean up pet messes, make coffee and feed the babies. Laundry is done from yesterday and put away so thats good. Made a pot of red fennel rotini 2 pkgs/1 pkg beyond meat, 1 each of yellow/green/red bell peppers, 3 cups of green beans/1 jar of prego 3 cheese pasta sauce, had a bowl for brkfst and lunch with 1/2 cup mozzarella cheese total. Forgot to take measurements this morning, but took them after work and after a protein shake made with a banana/pea protein 1 serving or 2 scoops/1 1/2 cups unsweetened Silk Almond milk/1 handful or serving walnuts/2 tbs cocoa powder. At lunch at work had a grapefruit and a banana and an orange upon arriving at breakfast time before work. Had 3 cups of coffee with little instant coffee 1/3-1/2 tbs each and the 3rd had 2 tbs honey and 2 tbs cocoa before leaving for work. Then at work had one of the donut shop keurig coffees plain around 11 am. My laptop has been freezing up and not letting me use the mouse, after work wanted to do the homework for genetics, but the mouse decided it didn't want to work. Not sure why, but seriously makes me think some fat ugly sex offender pig in the tech department of my community college is in my computer with the lockdown or test taking software that freezes all other functions and has permission to access the mics and video. I was trying to view the rest of the genetics recorded video for the last 10 slides and I couldn't pause the video. Excel froze my version of this and it is possible that maybe there is spy ware in the microsoft apps also, because my last computer broke when using power point slides and now works but I had to replace it with this until I fixed it through a manual reboot and my precious time. And all these power point slides in these online courses could have the same issue. It could also be the 3rd party mouse that doesn't get recognized. But I am convinced its a loser misogynist whore or scumbag pig in my laptop taking hold of my cursor on screen and preventing me from accessing my computer applications. Its reall fucking annoying. Makes me want to break shit and really mad at looking at any piece of shit scumbag that looks like any type of pig or tech loser. Read some genetics ch 3 from lecture on probability and chi squared stats and Mendelian Genetics before bed. Then asleep a little after 10 pm. Ankles are swollen. Lack of sleep, stress, and probably not enough water. </t>
  </si>
  <si>
    <t>Sprouts mild chocolate honeycomb serving 2 pcs</t>
  </si>
  <si>
    <t xml:space="preserve">pea protein 1 serving 2 scoops
(130	2	0	18	9	2	320)
1 banana
(105	0	0	1	27	3	1)
2 tbs cocoa
(10	0.5	0	1	3	1	0)
handful of walnuts or 1 serving
(200	20	2	5	4	2	0)
1 1/2 cups almond milk
(30	2.5	0	1	1	0	115)
bowl of rotini made 3-5-2021
(559.00	17.25	4.50	35.67	70.17	13.33	637.00)
slice of provolone cheese
(70	5	3	5	0	0	170)
orange
(81	0	0	2	21	4	2)
grapefruit
(92	0	0	2	24	2	0)
bowl rotini  3-5-2021 recipe
(559.00	17.25	4.50	35.67	70.17	13.33	637.00)
2 slices provolone cheese
(140	10	6	10	0	0	340)
2 servings chocolate honeycomb
(260	9	5	2	44	0	140)
pea protein 1 serving 2 scoops
(130	2	0	18	9	2	320)
handful of walnuts or 1 serving
(200	20	2	5	4	2	0)
1 1/2 cups almond milk
(30	2.5	0	1	1	0	115)
a avocado
(322	29	4	4	17	18	14)
2 servings chocolate honeycomb
(260	9	5	2	44	0	140)
Pacific Redwood Merlot sulfate free, no nutrition facts, using
generic nutrition facts 3 glasses
(615	0	0	0	20	0	30)
=130+105+10+200+30+559+70+81+92+559+140+260+130+200+30O+322+260+615
=2+0+0.5+20+2.5+17.25+5+0+0+17.25+10+9+2+20+2.5+29+9+0
=0+0+0+2+0+4.5+3+0+0+4.5+6+5+0+2+0+4+5+0
=18+1+1+5+1+35.67+5+2+2+35.67+10+2+18+5+1+4+2+0
=9+27+3+4+1+70.17+0+21+24+70.17+0+44+9+4+1+17+44+20
=2+3+1+2+0+13.33+0+4+2+13.33+0+0+2+2+0+18+0+0
=320+1+0+0+115+637+170+2+0+637+340+140+320+0+115+14+140+30
</t>
  </si>
  <si>
    <t>Woke up by alarm at 530 am. Went to bed around 1030 am. I noticed this morning when setting this observation that the time on my lap top was not synced to the time of the weather. My lap top said 5:46 am but it was actually 551 am, and took 5 minutes to set because the computer was frozen, had to shut the lid and sign on again after reopening the lid to it then sync the time. Again, makes me think some scumbag fat pig whore or male sex offender but either way a misogynist targeting females is in my computer behind the scenes freezing my screen while fishing through it and tweeking stuff like my cursor control and now the time control. I should reset my wifi after every time I log into the proctorio or respondus for exam taking and also keep a note of these occurences. Took measurements after resetting internet at 610 am and also before finishing my 1st cup of coffee and having a slightly lg BM. I have to be at work at 8 am, but I get off of work at 2 pm. Last night I paid my Dodge and Ford vehicles' monthly payments due the 3rd and 9th respectively because we got paid Friday instead of Sunday. I also put $300 on my credit card. I should only have two more payments including this month of the invisalign I bought a few years ago that didn't work as good as it should have. Almost $2500 spent on it and my teeth didn't get as straight as they should have or close the side gap on the left. They even sent me another set to use that had the same problem. Made a protein smoothie for breakfast with 1 serving pea protein, 2 tbs cocoa, 1 banana the last one, 1 1/2 cups almond milk, and a handful of walnuts or 1 serving. I plan on packing a bowl of rotini pasta with a slice of provolone cheese, an orange and a grapefruit for lunch. After work I went to Sprouts and got some bananas organic, grapefruit by the bag, blueberries, milk chocolate honey combe $9 bin, a bottle of organic non-sulfate merlot, 1 honey crisp apple and a bag of raw roasted but not salted cashews for $50. Got home, drank a glass of the wine very tart but just like the $7 bottle I normally buy from Sprouts, then had another glass, still working on. Was going to do some cardio kickboxing, but still haven't eliminated that option. My chem homework is due Monday night and I still have tomorrow and Monday before work. Not worried, but want to relax and destress, might be a movie night. I also ate 1 serving of 2 pieces of the chocolate covered honeycomb. Shared a few bits with the babies Princess and Goody. edited a blog on an event I am planning and might actually see out to completion if I get some responses via email on it. I will advertise on instagram as well, and also have to look at possible event hosts like air bnb rentals for a day, banquet halls of hotels, a convention meeting, etc. I want some local businesses and massage therapists to participate and my guests and others. I want to promote massage and have a new car magnet of hosted the 2021 Greatest Massage Therapist around Corona or was voted the Best massage therapist in Corona 2021 etc as the outcome. I get about 690 page views per week and 3000 per month. So, somehow this might be possible. I ordered Songbird on fandangonow.com and had 2 servings of the milk chocolate honeycomb and the 3rd glass of wine from the bottle or last glass of wine. Decided not to workout . And a bowl of pasta. with 2 slices of provolone cheese. Had another sm BM by the 2nd glass of wine. Rented Songbird and had the last glass of wine during the movie. made a smoothie with avocado and snacked on 4 more chocolate honeycombs. Didnt get pancreatitis or heart burn from too much sugar while eating sugary snacks with wine (Pacific Redwood-USDA organic from Sprouts) observed because i nomally do get that pain in upper abdominal mediastinum area for a few minutes when eating sweets with alcohol or sweet alcohol. Bed by 8 pm. Woke up at 1130 pm, didn't remember going to bed, but checked the blink cam and last action with me before 8 pm but heard talking to the roommate when he went to work by 8 pm out the door 10 minutes before 8 pm. I also checked my email and noticed I ordered some items from Amazon I forgot about after 1130 pm that I needed. Some more 4D mascara and eye liner, the Kabrow eyebrow balm by Benefit, and some RF aquagel for the ultracavitation lipocavitation machine. I made a credit card payment earlier when making my vehicle payments. And charged more to that credit card. Was dehydrated when I woke up and did these notes, drank 1/2 bottle of water, peed and back to bed by 1230 am.</t>
  </si>
  <si>
    <t>Cocoa Powder for baking, Aldis brand, 1 tbs serving</t>
  </si>
  <si>
    <t>Woke up at 11 30 am, couldn't get to sleep got out of bed at 3 am and worked on my mastering ch3 homework in chemistry. A lot of problems that are in depth 31 problems with a-f problems in each problem that aren't part of the same problems as a group, so it was like 31X5 problems in all as a range. I didn't finish until 730 am a few minutes before. Had a reg BM at 430 am, had 2 cups of coffee starting at 6 am and a bowl of rotini at 730 am. I ate fast and then measured my self at 745 am and weighed 141.0 pounds, doing the measures for the rest then get ready for work. At work I had an orange before work, one at lunch, a smoothie with coffee from work break room the Pete's coffee today plain and used in smoothie instead of almond milk, a handful serving of walnuts in smoothie with a serving of pea protein 2 scoops, 2 tbs cocoa powder, and 1/2 banana because the ends were black from being thawed after in the fridge. Ate a grapefruit on break too with only 1 honey comb with chocolate which is 1/3 serving, feeling the lack of sleep but got through the day. Only had 3 cups of coffee today, the smoothie with coffee was the 3rd cup. It tastes better made with almond milk. Ate a bowl of rotini with a serving of the mozzarella cheese or 1/3 cup instead of 1/4 cup serving same as earlier, with 1 lg avocado ripe and whole at 420 pm. Went to bed early after reviewing some of the chemistry terms and looking over some of the genetics terms. Bed time a little after 7 pm. Plan on reading up on the chemistry power point slides and nomenclature as well as chapter 4 of genetics and the slides from last week. Made a few note cards in both courses that made me tired around 6 pm. Had a couple fried eggs in olive oil with 2 corn tortilla quesadillas with mozzarella cheese and paprika before bed at 7 pm.</t>
  </si>
  <si>
    <t xml:space="preserve">bowl rotini 3-5-2021 recipe
(559.00	17.25	4.50	35.67	70.17	13.33	637.00)
1/3 cup mozzarella cheese in pasta
(106.7  6.7	4.7	8	1.3	0	253.3)
2 oranges
(162	0	0	4	42	8	4)
1 grapefruit
(92	0	0	2	24	2	0)
1/2 serving milk chocolate honeycomb from Sprouts
(65	2.25	1.25	0.5	11	0	35)
1/2 banana
(52.5	0	0	0.5	13.5	1.5	0.5)
1 serving or 2 scoops pea protein
(130	2	0	18	9	2	320)
2 tbs cocoa
(20	1	0	2	6	2	0)
1 serving walnuts
(190	18	1.5	4	4	2	0)
bowl rotini 3-5-2021 recipe
(559.00	17.25	4.50	35.67	70.17	13.33	637.00)
1/3 cup mozzarella cheese in pasta
(106.7  6.7	4.7	8	1.3	0	253.3)
1 avocado
(322	29	4	4	17	18	14)
2 eggs
(140	10	3	12	0	0	140)
2 tbs olive oil
(120	14	2	0	0	0	0)
mozzarella cheese 1/3 cup
(106.7  6.7	4.7	8	1.3	0	253.3)
4 corn tortillas Guerrero
(200	2	0	4	42	4	40)
=559+106.7+162+92+65+52.5+130+20+190+559+106.7+322+140+120+106.7+200
=17.25+6.7+0+0+2.25+0+2+1+18+17.25+6.7+29+10+14+6.7+2
=4.5+4.7+0+0+1.25+0+0+0+1.5+4.5+4.7+4+3+2+4.7+0
=35.67+8+4+2+0.5+0.5+18+2+4+35.67+8+4+12+0+8+4
=70.17+1.3+42+24+11+13.5+9+6+4+70.17+1.3+17+0+0+1.3+42
=13.33+0+8+2+0+1.5+2+2+2+13.33+0+18+0+0+0+4
=637+253.3+4+0+35+0.5+320+0+0+637+253.3+14+140+0+253.3+40
</t>
  </si>
  <si>
    <t>cashews unsalted not roasted Sprouts nutrition facts 28.35 grams</t>
  </si>
  <si>
    <t xml:space="preserve">garbanzo beans 1/2 cup </t>
  </si>
  <si>
    <t>pickled beets canned 1/2 cup serving</t>
  </si>
  <si>
    <t>Extra Virgin Olive oil and Canola oil mix to fry falafels in 1 tbs serving</t>
  </si>
  <si>
    <t>lemon juice for the olive oil and lemon juice dressing 1 tbs</t>
  </si>
  <si>
    <t>The red pepper dressing 2 tbs serving</t>
  </si>
  <si>
    <t>falafel dry mix at Hummus Republic Chino, serving is 2 oz they get fried made of chickpeas, fava beans, and spices</t>
  </si>
  <si>
    <t>falfel and hummus bowl with dressing from above ingredients Hummus Republic 3-8-2021 6 pm</t>
  </si>
  <si>
    <t xml:space="preserve">3/4 avocado
(241.5	21.75	3	3	12.75	13.5	10.5)
2 eggs
(140	10	3	12	0	0	140)
2 tbs olive oil
(120	14	2	0	0	0	0)
mozzarella cheese 1/3 cup
(106.7  6.7	4.7	8	1.3	0	253.3)
4 corn tortillas Guerrero
(200	2	0	4	42	4	40)
2 tbs sourcream
(60	5	3.5	1	2	0	15)
pea protein
(130	2	0	18	9	2	320)
banana
(105	0	0	1	27	3	1)
honey crisp apple
(62	0.1	0	0.3	14.9	2.5	0)
2 tbs cocoa
(20	1	0	2	6	2	0)
handful cashews 1/3 cup approximately
(164	13.5	2.5	4.7	8.4	0.9	4)
1 cup almond milk
(30	2.5	0	1	1	0	115)
grapefruit
(92	0	0	2	24	2	0)
bowl falafel with 3 scoops of hummus differnt flavors, beets, and cucumbers and dressing
(1562	46.5	4	91.5	202	74.5	3955)
grapefruit
(92	0	0	2	24	2	0)
=241.5+140+120+106.7+200+60+130+105+62+20+164+30+92+1562+92
=21.75+10+14+6.7+2+5+2+0+0.1+1+13.5+2.5+0+46.5+0
=3+3+2+4.7+0+3.5+0+0+0+0+2.5+0+0+4+0
=3+12+0+8+4+1+18+1+0.3+2+4.7+1+2+91.5+2
=12.75+0+0+1.3+42+2+9+27+14.9+6+8.4+1+24+202+24
=13.5+0+0+0+4+0+2+3+2.5+2+0.9+0+2+74.5+2
=10.5+140+0+253.3+40+15+320+1+0+0+4+115+0+3955+0
</t>
  </si>
  <si>
    <t>bench press -10</t>
  </si>
  <si>
    <t>upper abs cable 10 reps each side in 3 sets 25 lbs 	
lower abs with cable 25 lbs leg lifts each side 10 lbs	
standing abducturs outer thighs 3 sets 10 reps 25 lbs	
standing adductors inner thighs 3 sets 10 reps 25 lbs	
squats 3 sets 10 reps barbell 45 lb + 70lbs added weight      
leg lifts standing for abs, 3 sets 10 reps no added weight
dead lifts 3 sets 10 reps dumbells 60 lbs	 
tricep extension cable 3 sets 10 reps 25 lbs
shoulder lifts medial/posterior deltoids/latts 3 sets 10 reps 15 lbs	
calves 3 sets 10 reps 60 lbs total with dumbells	
upper trapezius shoulder shrugs 60 lbs dumbells 3 sets 10 reps	
tricep extension above head dumbells 30 lbs 3 sets 10 reps	
military press 3 sets 40 lb dumbells 
obliques side extensions 3 sets 10 reps 30 lbs	
hamstrings leg flexion laying prone 3 sets 10 reps 50 lbs    
tricep chair dips 3 sets 20 reps no added weight
quads with leg extensions sitting 3 sets 10 reps 45 lbs
rhomboids scapula abduction 3 sets 10 reps 30 lbs    
biceps curls 40 lbs 3 sets 10 reps 
bench press 3 sets 10 reps barbell 75 lbs 	-10</t>
  </si>
  <si>
    <t>addedPeaProtein</t>
  </si>
  <si>
    <t>napTaken</t>
  </si>
  <si>
    <t>totalNapMinutes</t>
  </si>
  <si>
    <t>cocoaPowder</t>
  </si>
  <si>
    <t>indigestionUnexpectedly</t>
  </si>
  <si>
    <t>Was pea protein added from the Olly or other vegan protein and how many servings, 0 if not and 1,… for each serving in the day. 2 scoops is a serving</t>
  </si>
  <si>
    <t>Was a nap taken, and if so how many naps in the day? 0 is none, 1 is 1 nap, and so on</t>
  </si>
  <si>
    <t>The total number of minutes of napping throughout the day, 0 for none, and cumulative for every nap taken in the day</t>
  </si>
  <si>
    <t>was cocoa powder taken during the day and how many tbs added to food or beverages</t>
  </si>
  <si>
    <t>did you have indigestion or get stomach sickness leading to unexpectedly having vomiting or frequent BMs</t>
  </si>
  <si>
    <t>Woke up at 3 am. Went to the kitchen the roommate had it blocked off from pups to cook and we argued about him wanting me out of his way as he always has to argue about something. I wasn't even in his way. His ignorant male and white privilege. His mom doesn't even want him around because he is ignorant and thinks people are supposed to do what he says and not argue. Such a loser. But any ways. I planned on getting up at 3 am because of my study plans, and went to bed early after not getting any sleep since 11 pm the day before while completing homework due yesterday after work. Made my coffee while he argued and bitched, had a lg BM slightly dehydrated at first around 3:50 am. Looked at the week 3 chemistry powerpoint and made some notes on my notecards, then made a 2nd cup of coffee after feeding the babies, didn't drink it, but took my measurements at 5 am after reviewing the slides on nomenclature. Took a nap at just before 6 am and woke up just before 630 am and stayed in bed until the alarm for 630 am went off. Made breakfast of 3 eggs and 2 tbs sourcream blended in my Ninja bullet blender and pan scrambled in 2 tbs olive oil, and the rest of the Guerrero corn tortillas, had to chop off 1/8 of all of them for the hard crust at the edge on the same side of all, with about 1/2 cup mozzarella cheese and paprika. Shared about a third of that with my babies, Also had a whole lg avocado with the scrambled eggs and quesadillas. I probably ate 2 1/4 quesadillas, 1/3 cup mozzarella cheese, 2 eggs, and 3/4 avocado. Did the dishes, fed the neighborhood cat, that wasn't waiting for me to feed her/him. Meow meow doesn't eat human food. Then started reading genetics ch 4 and looking over the chemistry chapter 4 powerpoint downloaded earlier, and planning to workout or not before work at 3 pm. The computer froze up again on allowing me to use my cursor to click on anything I moved it to and I shut down the computer before the nap of 20 minutes earlier. It might be mechanical, but it was after logging onto the course website host , Canvas. But I was able to move the cursor but not able to use the click to select links or areas I move the cursor to. It could be the laptop cover not fitting well after taking it off a few times in the past for freezing up and not shutting off. Also, its uneven by the mousepad and cracked on the plastic, flimsy case housing of the device. I have enough instant coffee for my 3rd cup of coffee, but I need more instant coffee and to pick up my Amazon package at the hub locker, because it arrived yesterday, my eye liner and mascara. I got my eye pillow with lavendar fennel seeds and removable satin eye pillow covers delivered at my house yesterday, and wasn't expecting them until last week. The driver left it right by the sidewalk and the roommate found it. Fortunately, he was doing yard work yesterday and saw it. It could have been taken by anybody. Especially if anybody would walk by it regularly and see the box everyday in the same spot for a week. Cloudy outside and it makes me tired. It was cloudy all day yesterday too. I read the first 4 sections of chapter 4 in genetics and took another 20 minute nap, but had my work clothes in the wash before taking a nap and spun them to get out excess moisture too. When i woke up the clothes in dryer were still very damp and I couldn't put my laundry in the dryer. I made a smoothie with the frozen banana I had to peel frozen and it didn't peel easily, also a honey crisp apple that I only bought 1 of at Sprouts when I went because I dont' really eat apples, a serving of pea protein or two scoops, 2 tbs cocoa and a handful of raw unroasted cashews. It came out thick. I also put about a cup of almond unsweetened milk the Silk brand in it.  Had to add the banana after mixing it with apple first because too cramped. I had to eat it with a spoon because it was too thick. I have been waiting to eat a grapefruit, I grabbed it and put it on the desk to eat but every time I look at it I don't want to eat it. I think I will work out. The sun is shining a little bit. I need to check my amazon locker on the way to work. I had a potential lymphatic drainage client call that wants to email me the downloaded consent form because her browser isn't letting her fill it out and send it in. Haven't received it, she called before my nap. After swithching out the laundry and reentering my nutrition data and such, I had another BM before working out. The BM was a constipated one. Might be from the protein shakes that have been thick lately, not drinking enough water. That and the waist trimmer, I put it on with my workout clothes before working out and after drinking the protein smoothie. My skin is itching at my lower legs and arms and all over. Maybe need more water. Could be stress.Wearing tights. Also, there more solid than before the protein smoothies. Because the texture before starting the protein shakes was more soft like an actual poop emoji, these are almost turds. I put my face routine of the witch hazel, the skin pigmentation corrector, the revitalift, the face sunscreen, then my makeup, and had some extra time. Felt more movement in lower abs, like more or another BM on the way. But feel like it will be another constipated one. The last one I had was between my face routine after putting on the revitalift (it was small, the one before regular sized and the first one was large) to push hard and hold my breath with the waist trimmer on that it gave me acid reflux and I vomited a little stomach acid. It didn't burn my esophagus thankfully, more like spittal. Was able to do my workout after my 2nd BM and had a little bit of burping and slight acid reflux but no spittal. It took an hour and started at 1110 am and ended about 1210 pm, 62 degrees when I ended the workout. Still cloudy but the sun popped up some, made me worry because I didn't have sunscreen on and might have a hormonal skin condition that makes my face get brown spots like my mom had around my age. I feel like I might have a 4th BM. Not sure. But have to check the amazon locker and see if time to get some instant coffee and coincidentally toilet paper. Before leaving for work I did have a 4th BM, very small the size of what was probably in my rectum that I couldn't squeeze out from last BM. The protein shakes/smoothies make stuff just push right through you, I guess. The digestive tract works by entering the ascending colon on the right after going through the small intestine through a sphincter, then moving right to left through the transverse colon, then through the descending colon, and then to the rectum where it awaits to be vacated. Some people who are dehydrated, stressed, and not operating at a healthy level their autonomous nervous system, the sympathetic part don't have regular BMs and it is a sign your healthy depending on consistency, frequency, changes to diet, health, life, etc like medications. The parasympathetic nervous system is the fight or flight part of autonomous nervous system that shuts down digestion and hence regular BMs, sleep patterns etc. This is why people stress eat without realizing it, to operate the sympathetic nervous system and not let the stress affect their immune systems. At work I wasn't feeling good again. I still felt like I had to crap, and when I got there I did once before the 1 st massage, the first time taking a dump at work. Then again after the 2nd massage, twice, making the total BM for the day 7. Not sure why, but last Tuesday I felt better after loosening my belt and my waist trimmer. I loosened my belt and felt much better, then on my break ate a bowl from Hummus Republic, 5 falafels, feta cheese about 1/4 cup, some lemon oil sauce and red pepper sauce, and the hummus flavors were a red pepper hummus called harrins or something similar, a zesty hummus, and eggplant hummus, with pickles beats cut into tiny cubes and cucumbers, when I asked for the nutrition facts because I am watching my diet, they didn't have the nutrition facts on a sheet like jamba juice, but took photos of the indredient box and jars for the garbanzo beans for the hummus, the falafels about 5 small sized falafels that could fit into 1 cup fried in oil, the photo showed canola oil, and a photo of dry ingredients for the falafel has a serving as 2 oz at 200 calories per 2 oz serving. Google says there are 8 ounces in a cup. So I had four servings of the falafel. It was good, but spicy. Made my sinuses run. I also ate a grapefruit. Before my next two clients I felt like I might have indigestion again and a BM so I took off my waist trimmer after the next one and put back on but on the 31" setting instead of 30" setting and loosened my belt. I felt better. It must be the waist trimmer squeezing my insides and making me get indigestion and BMs. Weird that it only happens on certain days. This could be a part of the next research once concluded with this data set. To see or answer the question of what was causing me flu like indigestion that disappeared after 20 minutes randomly occuring by triggers like scent or new changes to schedule. I should add more features to the data like if pea protein added protein powder taken, how many days since last workout of weight lifting and separately for cardio kickboxing, and others like if cocoa powder used or a new fruit , etc. . I also got a couple private clients, return this Friday and one new one tomorrow morning but not the same one who called earlier in the day to send me photos of the consent form. I picked up my amazon makeup on the way to work and had to reschedule that appointment from 4 pm to 11 am after talking with client for her bday. That could have stressed me out more than I thought and triggered the indigestion at work. I got a text while at work that my other package from Amazon arrived and forgot to pick up the aquagel that I ordered for the RF machine and is waiting to be picked up after work. A couple who let me have the 5 samples of CBD rebooked for this Friday after work during my shift and I didn't get the news until my break at around 530 pm. All my clients are great people. I have an 11 am tomorrow and chemistry at 3 pm, and lab at 6 pm that the procedures need to be written in the lab and turned in before lab tomorrow. There is a lot of sodium in the falafels and garbanzo beans, but also a lot of protein. But wow! the sodium for that bowl of falafel and hummus is a lot. No wonder my ankles get swollen after hummus, so much sodium. Went to bed by 11 pm.</t>
  </si>
  <si>
    <t>mission tortilla mini corn tortillas white corn serving size is 3 tortillas, 1 serving:</t>
  </si>
  <si>
    <t>4 eggs
(280	20	6	24	0	0	280)
2 tbs sourcream
(60	5	3.5	1	2	0	15)
2 tbs olive oil
(120	14	2	0	0	0	0)
1 lg avocado
(322	29	4	4	17	18	14)
24 mini corn tortillas (for 5, 4, 3 mini quesadillas)
(800	8	0	16	160	16	160) 
3/4 cup mozzarella cheese (for 12 mini quesadillas)
(240	15	10.5	18	3	0	570)
1 serving pea protein 2 scoops
(130	2	0	18	9	2	320)
1 banana
(105	0	0	1	27	3	1)
2 tbs cocoa
(20	1	0	2	6	2	0)
1 1/2 cups almond milk
(30	2.5	0	1	1	0	115)
1/2 cup cashews
(164	13.5	2.5	4.7	8.4	0.9	4)
grapefruit
(92	0	0	2	24	2	0)
=280+60+120+322+800+240+130+105+20+30+164+92
=20+5+14+29+8+15+2+0+1+2.5+13.5+0
=6+3.5+2+4+0+10.5+0+0+0+0+2.5+0
=24+1+0+4+16+18+18+1+2+1+4.7+2
=0+2+0+17+160+3+9+27+6+1+8.4+24
=0+0+0+18+16+0+2+3+2+0+0.9+2
=280+15+0+14+160+570+320+1+0+115+4+0</t>
  </si>
  <si>
    <t xml:space="preserve">Woke up at 530 am, cleaned up a pet mess, made my coffee and the babies their food. Had started on this research and the cursor acted up again, reset internet twice, unplugged laptop, and took the bottom cover off while trying to set the settings to the mouse and didn't find anything relevant. Super irritating and unneeded stress to have the laptop behave like infected during school and this data collection for research. Added new features from the addedPeaProtein through indigestionunexpectedly within Excel with search and find looking at BMs high count, the nutrition for cocoa and pea protein, and naps in the notes. Had 2 BMs that were small while drinking my first cup of coffee and after drinking it at 630 and 725 am respectively. Took measurements at 730 am and only lost a half pound or so since yesterday given that I had so many BMs during the day between last measurement of weight and today's measurement. But also did eat quite a bit of calories between. Now to start the course work and write in some procedures in the lab notebook and prelab questions for the lab today before my 11 am massage. Sent in the prelab questions before 9 am and ate breakfast where I blended 4 cage free and organic  eggs with 2 tbs sour cream and 1 lg avocado and scrambled in 2 tbs olive oil that turned them green. And made 5 mini Mission corn tortillas with about 1/2 cup of mozzarella cheese and paprika. Shared some with the babies as usual probably about 20% of my food. Went to the massage on the south side of Corona, and got back around 130 pm, forgot to get my aquagel for lipocavitation at the amazon locker, picked it up and was surprised by how tiny the package was. The bottle was 64 g not 64 oz. I only saved $3 off the $10 bottle that is 10 times the size. I will just try it to see if I can set the machine higher with the right aquagel for RF when I get to it. Had chemistry 1A lecture at 3 pm, but made a protein shake and 4 mini quesadillas the same way. The protein shake had 1 frozen banana, 1/4 tbs instant coffee (for my 4th cup. I had my 3rd cup of coffee after breakfast and before my shower to go to the new client's house), 1/2 cup cashews, 1 1/2 cup almond milk, 2 tbs cocoa, and 1 serving of pea protein or 2 scoops pea protein. I had to eat it with a spoon as well as it was thick. Ate a grapefruit during lecture. Then after lecture at 530 pm ate 3 mini quesadillas the same way. They are easy to snack on. Taste like what Doritos chips would taste like if not powdered cheese. Then lab is by 6 pm. Asleep by 930 pm, didn't eat anything else, but was considering eating some ramen. Need to make more pasta, and ramen isn't gluten free. </t>
  </si>
  <si>
    <t xml:space="preserve">Woke up at 330 am to Mr. Goody barking and went back to bed, it rained hard at that time, but stopped by 530 am when I woke up by alarm. Reviewed Bio18 genetics assignments to check in and saw my Word wasn't working. It worked fine last night writing in the solutions I found for the lab before going to bed, and now I had to see if it was the HW 3 from Bio18 downloaded that wasn't working or the program. Shut it off and waited, then started the other lap top and saw the file is fine. It was my Word program. I pay monthly $9.99 for the whole Office 365 suite of apps and was upset obviously but not too stressed about it. Finished my 1st cup of coffee while waiting for the laptop to reset and had a BM reg sz, then made the 2nd cup of coffee and finished it after printing out HW 3 to work on at work if it is slow or some on my break. Supposed to rain lightly today. I need to get some wet cat food for sure. Last can, and its for the alley cat. Before work or after work. But before I come home for sure I need it. I didn't wear the waist trimmer at all yesterday, and my waistline measurement increased. My weight stayed the same after a BM and 2 cups of coffee. I don't want my abdomen to give indigestion again like last time I was at work so I will wear my waist trimmer but I will put it at 31" instead of 30" using the 32" waist trimmer. I have to do laundry with my work clothes. For lunch at 1 pm, I had one of my coworker's going away or last day cupcakes she brought from her sister in law's cake shop. It was yellow cake with whipped cream frosting, green for st. patrick's day, had a chocolate on top the size of an Andes, and sprinkles. It was good. So had added sugar and gluten. Went to Albertsons on my break and got cat food, toilet paper and paper towels and cupcakes that said happy birthday for the roommate and a 3 layer chocolate diner cake that had the added happy birthday for his birthday next Wednesday. I put that in the freezer at home. For lunch I had some cauliflower red pepper sauce that looked like hummus and same texture somewhat but not as thick with about 2 servings of lime Tostitos chips and my 3rd cup of coffee from work break room the Peet's coffee brand. Tastes like a hint of nail polish remover, no creamer. When I got home I made a cup of noodles, since I already cheated on the gluten free today with the cupcake. Fed the babies their lunch too. I inquired on that business that my new client yesterday told me about, and saw they had no availability in Dos Lagos but did in Corona Hills by my gym. I left an email with them. And rebooked my client, because she repied to my email that I sent her SOAP notes and reciept saying she wants next Monday at 11 am. Got a couple's massage tomorrow after work. Today is for studying and completing homework and labs. Have midterm 1 next week covering chapters 1-3 in chemistry. It rained on and off today, it rained when I was on my break but not the whole time, just when putting the groceries in the car. Watched this week's lectures and videos on non-mendellian inheritance on interdependent, codependent, epistasis alleles, and sex chromosomes. Interesting stuff. But didn't get to the homework due in 5 days for this class by 710 pm. Ate a cupcake I bought for the roommate also yellow cake with a whipped cream type frosting, decorated for st. patrick's day in white and green frosting with green sprinkles. And 2 servings of chips also the last 2 tbs of the cauliflower dip I bought earlier. Going to look at the genetics homework. soon. Most likely at the book to answer those questions in the previous chapter. </t>
  </si>
  <si>
    <t xml:space="preserve">1 serving pea protein 2 scoops
(130	2	0	18	9	2	320)
1 banana
(105	0	0	1	27	3	1)
2 tbs cocoa
(20	1	0	2	6	2	0)
1/2 cups almond milk
(15	1.25	0	0.5	0.5	0	57.5)
1/2 cup cashews
(164	13.5	2.5	4.7	8.4	0.9	4)
blueberries 1 cup
(60	0.5	0	2	11	7	0)
grapefruit
(92	0	0	2	24	2	0)
8 servings of the cauliflower red pepper dip
whole container by end of day
(400	36	4	16	16	8	1840)
2 servings of the Tostitos Lime corn tortilla chips
(300	14	2	4	36	2	260)
1 cupcake bakery with whipped cream frosting yellow cake
dyed green and sprinkles and 1 pc chocolate Andes size
(135	6	1.3	1.5	18	0	155)
cup of shrimp noodles ramen brand hot and spicy
(290	12	6	7	39	3	1150)
yellow cupcake with whipped cream frosting
(135	6	1.3	1.5	18	0	155)
2 servings tortilla lime chips
(300	14	2	4	36	2	260)
=130+105+20+15+164+60+92+400+300+135+290+135+300
=2+0+1+1.25+13.5+0.5+0+36+14+6+12+6+14
=0+0+0+0+2.5+0+0+4+2+1.3+6+1.3+2
=18+1+2+0.5+4.7+2+2+16+4+1.5+7+1.5+4
=9+27+6+0.5+8.4+11+24+16+36+18+39+18+36
=2+3+2+0+0.9+7+2+8+2+0+3+0+2
=320+1+0+57.5+4+0+0+1840+260+155+1150+155+260
</t>
  </si>
  <si>
    <t>yellow cupcake 1 cupcake</t>
  </si>
  <si>
    <t>Tostitos hint of lime white corn tortilla chips, 1 serving is 6 chips, 2 servings:</t>
  </si>
  <si>
    <t>cauliflower dip from Albertsons 1 container has 8 2-tbs servings, container:</t>
  </si>
  <si>
    <t>spaghetti 3-11-2021 recipe 2 pkg Barilla Gluten free spaghetti serves 6, 1 jar Prego 3 cheese serves 5, 1 pkg beyond meat 4.5 servings, 2 bell peppers 1 yellow other green, 2 cups mushrooms, 2tbs olive oil, this makes about 4-5 bowls. I will say it makes 5 bowls, so that each bowl is 1/5th this pot of spaghetti.</t>
  </si>
  <si>
    <t>white sliced mushrooms, calorieking.com, for 1 mushroom</t>
  </si>
  <si>
    <t>bowl of spaghetti 3-11-2021 recipe divided into 5 bowls</t>
  </si>
  <si>
    <t>mozzarella parmesan shredded cheese Good &amp; Gather Target brand, serving sz 1/4 cup:</t>
  </si>
  <si>
    <t xml:space="preserve">3 eggs
(210	15	4.5	18	0	0	210)
2 tbs sourcream
(60	5	3.5	1	2	0	15)
2 tbs olive oil
(240	28	4	0	0	0	0)
1/3 green bell pepper
(13.3	0	0	0.3	3.3	1	0)
1/2 cup mozzarella cheese
(160	10	7	12	2	0	380)
8 mini corn tortillas
(266.67	 2.67	0.00	5.33	53.33	5.33	53.33)
2 yellow cake cupcakes
(270	12	2.6	3	36	0	310)
1 serving Tostitos hint of lime tortilla chips
(150	7	1	2	18	1	130)
2 tbs sourcream
(60	5	3.5	1	2	0	15)
1/4 cup mozzarella cheese
(80	5	3.5	6	1	0	190)
1 serving pea protein
(130	2	0	18	9	2	320)
1 banana
(105	0	0	1	27	3	1)
2 tbs cocoa
(20	1	0	2	6	2	0)
1 tbs honey
(60	0	0	0	17	0	0)
1 serving walnuts
(200	20	2	5	4	2	0)
1/4 cup Silk Amond milk unsweet
(7.5	0.625	0	0.25	0.25	0	28.75)
8 corn tortillas
(266.67	2.67	0.00	5.33	53.33	5.33	53.33)
1/3 cup mozzarella cheese
(80	5	3.5	6	1	0	190)
bowl of spaghetti made 3-11-2021
(614	24.8	6.1	26.1	72.9	5.5	798)
1/4 cup mozzarella Target brand
(100	6	4	8	2	0	280)
2 servings tostitos chips
(300	14	2	4	36	2	260)
5 servings sourcream about 2 tbs
(30	25	17.5	5	10	0	75)
=210+60+240+13.3+160+267+270+150+60+80+130+105+20+60+200+7.5+266.67+80+614+100+300+30
=15+5+28+0+10+2.67+12+7+5+5+2+0+1+0+20+0.625+2.67+5+24.8+6+14+25
=4.5+3.5+4+0+7+0+2.6+1+3.5+3.5+0+0+0+0+2+0+0+3.5+6.1+4+2+17.5
=18+1+0+0.3+12+5.33+3+2+1+6+18+1+2+0+5+0.25+5.33+6+26.1+8+4+5
=0+2+0+3.3+2+53.33+36+18+2+1+9+27+6+17+4+0.25+53.33+1+72.9+2+36+10
=0+0+0+1+0+5.33+0+1+0+0+2+3+2+0+2+0+5.33+0+5.5+0+2+0
=210+15+0+0+380+53.33+310+130+15+190+320+1+0+0+0+28.75+53.33+190+798+280+260+75
</t>
  </si>
  <si>
    <t>Woke up at 5:20 am, got out of bed at 545 am, made coffee and fed the babies after cleaning their messes first thing. Started a few of the remaining chemistry problems on moles produced from combustion and balancing equations, made another cup of coffee for the 2nd cup, and roommate arrived a little before 7 am. Finished my coffee and had a BM reg sz by 720 am, took a break from the last equation that was a long one, and missed 1st of 3 attempts on it. Had to balance an equation of propane given the density of propane in g/mL and find the mass of CO2 in kg as product in combustion after solving mass of propane and converting mole ratios of equation not given but assumed to be C3H3+O2--&gt;CO2+H2O in some balanced coefficient assortment that somewhere and something is wrong with the answer I put for 1st response. Going to work on the Genetics homework before the 9 am lecture after making myself breakfast. Took measurements at 7:22 am, and same weight last 3 days but bloat in belly of waistline could be the cupcakes and gluten ate yesterday and/or the waist trimmer being set to 31" instead of 30" as it made me get indigestion a few days ago. Could also be my gut health from probiotics getting reduced from all the BMs the other day in indigestion. I don't take probiotics, but the bacteria that we have in our guts is supposed to be there for gut health and probiotics is a way to keep it healthy is the current knowledge being passed around. It rained last night, wet outside and most likely not working out today. I have to get more stuff for the house. Did laundry and found $20 in the dryer, because I left a tip from one of my clients in my shirt or pants pocket a few days ago. I ordered some action figures for the roommate earlier and got the email saying they changed pick up time from today to the 24th so I then cancelled the order. His birthday is the 17th. And I ordered them because I could pick them up between now and on the 17th. Thats too bad. Will just get him a gift card, once they refund me my money. They charged my card first because I got the notificiation as soon as I selected the purchase button. Made 3 scrambled eggs with 1/3 green bell pepper and 2 tbs sourcream in a ninja blender then scrambled in 2 tbs olive oil with 4 mini corn tortilla quesadillas with mozzarella cheese. Need more cheese. Making my 3rd cup of coffee too, because starting to feel a headache coming on. I did all studying planned, and the lecture ran 1/2 hour past time with a beginning that kicked out the instructor and froze only her screen the first 10 minutes 2X, I ate 2 of the birthday cupcakes I got Shane and me, because its not his birthday yet not until next Wednesday and thats the frozen cake. He hasn't even touched one. Taste just like the ones I ate yesterday for my coworker's going away. I ate gluten and processed sweets today because of those cupcakes. I also made a smoothie with banana, serving of pea protein, honey 1 tbs, 1 serving walnuts about 13 pcs or 1/3 cup, and bottled water because I didn't have almond milk. Growly didn't eat any must have been the cocoa 2 tbsp and no almond milk. He must like the almond milk. He hasn't been feeling well was under the bed the beginning of the day and when I woke up, he didn't eat his breakfast, and I don't think his lunch but did have some of the scrambled eggs and quesadilla I shared with him earlier. He probably isn't feeling well but looks the same. Acts the same too. Went to get my car smogged for $40 locally and was in and out in 30 minutes tops and passed, uploaded it to Tred, and coincidentally today Tred said was the last day to upload it. It lasts 60 days for new owner if I sell it during that time period. It should pass, because I take great care of it, its new, and its still under warranty. But still great to know it does as expected and passes smog. Its a cute car and priced at 6% below dealers and has low miles that any first time or decent dude or girl with credit could get a car loan for through Tred. I keep dropping the price $400 every month after making the payment. Its selling right now for $18,300 with 74,000 miles. It actually has 100 miles less that 74k. Runs great. I have lecture in chemistry soon, and want to work on the lab and/or homework. No workout today. But the sun is out, and its cloudy but spotted cloudy. Supposed to continue intermittant showers throughout the day. Last time it rained was around 7 am and its almost 2 pm. I had 4 mini mozzarella corn tortilla quesadillas around 2 pm before lecture and about 2 servings of the Tostitos chips with about 10 tbs sourcream, then after lecture made a pot of spaghetti that makes about 5 bowls using 2 pkgs of Barilla gluten free spaghetti noodles, 1 pkg beyond meat, 1 jar prego 3 cheese sauce, 2 cups or about 15 white and sliced mushrooms, 2 bell peppers one yellow and one green, and 2 tbs olive oil. Had a bowl with 1/4 cup mozzarella and parmesan cheese blend from Target the Good &amp; Gather brand shredded cheese. At break time cleaned Growly's butt tail because he was dirty and did dishes before that, because I used the sink then wiped it down afterwards with disinfectant wipes and covered him in a towel after using a separate towel to dry him off. The moisture comes off him very well because he is a poodle. Finished class, got to midway or a third of the problems of lab part II on the unkown and confused by questions. Bed time by 10 pm.</t>
  </si>
  <si>
    <t xml:space="preserve">Woke up a little after 5 AM and got out of bed by 520 AM, cleaned pet messes and the kitty litter box, made coffee and worked on some more of the lab and then some genetics HW. Finished the lab by 6:32 am, and my 2 cups of coffee by 6:25 am, had a lg BM around 6:21 am. Did my measurements at 6:35 AM, then started the genetics ch 3 HW. I am going to work today and have private clients I have massaged before right after work for 90 minutes each. Very nice couple, they have provided me with 5 samples of their CBD brand and gratuity last time I massaged them. From the wife, not the husband. She works for the company. I have only been able to use the product on one elderly client with the RF red light therapy on the knee to aid in arthritis relief. But this could be good if I follow through with the plans for the event that would be like a massage and bodywork convention for the plans outlined in my latest blog at this time. It would have a pageant of LMTs voted best massage therapist by 3 judges and guests and also a bunch of health and wellness promoters describing their products and demonstrating add-on services to guests in robes to have a buffet style or sampling style time slot to try out and learn about the current modes of services and modalities in massage available as well as the up and coming products. There would also be an intro time with food being catered and wine to those able to drink both legally and for planned massage or judging restrictions on contestants. This power point type display would describe the world of massage, how it has grown, its history, the boom in many fields and companies, the largest company in the biz, the small company and large company descriptions, the mobile massage profession, and history, and small biz route and staying compliant, etc. FYI read the latest blog at www.themassagenegotiator.com/blog. Before doing Genetics HW I made a bowl of pasta and added to this database of data measurements. I plan on wearing my waist trimmer at 31" instead of 30" that seems to be giving me indigestion, and not wearing my belt at 5 knotches but 3 or 4 instead. Shared with the babies and Growly was eating. He must not have been feeling well because of his dirty butt/tail yesterday that he tucks his tail in to cover. And uploaded my food images to my nutrition folder of foods. Made a protein shake for lunch, 1 banana, 1 serving pea protein of the chocolate flavor, I bought vanilla yesterday and probably only have 1 serving of chocolate left before using the vanilla flavor, it also had 1/3 cup approximately of cashews, 1 1/2 cups almond milk Silk brand unsweetened, 2 tbs cocoa powder. And packed a grapefruit for lunch too. Did the dishes then showered. Had 3rd cup of coffee before leaving for work and jumping in the shower. I felt like I had more time than I did. Because I washed my hair and got in the shower 10 minutes earlier, but the roommate keeps dropping his soap chunks in the shower drain and not picking them out. It was almost completely blocked by 3 pieces of soap. He cleaned them out after I threw a fit, but by jamming them into the shower pipe below the tub, not by picking them out. He is such an idiot, so the water in the tub backed up a little obviously. I went to work, made it on time, ate the protein shake or smoothie but more like a pudding because I had to eat it with a spoon, and the grapefruit and had my 4th cup of coffee, the work breakroom keurig. Noticed a new LMT to replace the other one that left no doubt and a new front desk. I noticed one of the other ones they just hired hasn't been there for a few weeks now.  I didn't get their names. I know another LMT left probably to go back to Glen Ivy as it reopened, and another one is planning on leaving. He has been there the longest at 10 years but has kidney disease he manages and doesn't stay booked, in the break room a lot. He probably isn't able to do deep tissue like he could before and isn't getting booked because of it. After work, some traffic as always on Fridays and on the way found a grapefruit in the passenger seat that was still good from last week and ate it and also had to call the client to inform her that I would be a few minutes late. It rained really hard between 420 and 445 pm taking the 71 and following along Green River Rd to the 15 to South Corona. Very nice couple, she gave me business cards I can forward to my other client if she would like to buy any of her products. I got home and washed the linens and had a bowl of pasta with the mozzarella/parmesan shredded cheese blend and shared with the babies. Bed time at 921 pm planned for 1030 pm at this point, after spinning the wash and putting it in the dryer and finishing up some notes and possibly doing a couple hw problems. I have a couple exams early this week. I think the genetics exam is this Monday and hw is due Monday as well, and the chemistry exam is this Tuesday I think during lecture. </t>
  </si>
  <si>
    <t xml:space="preserve">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grapefruit
(92	0	0	2	24	2	0)
grapefruit
(92	0	0	2	24	2	0)
bowl of pasta 3-11-2021 recipe
(614	24.8	6.1	26.1	72.9	5.5	798)
1/4 cup mozzarella/parmesan cheese
(100	6	4	8	2	0	280)
=614+100+105+130+20+45+164+92+92+614+100
=24.8+6+0+2+1+3.75+13.5+0+0+24.8+6
=6.1+4+0+0+0+0+2.5+0+0+6.1+4
=26.1+1+18+4.53+1.5+4.7+2+2+26.1+8
=72.9+2+27+9+2+1.5+8.4+24+24+72.9+2
=5.5+0+3+2+0+0+0.9+2+2+5.5+0
=798+280+1+320+0+178+4+0+0+798+280
</t>
  </si>
  <si>
    <t>bowl of pasta 3-11-2021 recipe
(614	24.8	6.1	26.1	72.9	5.5	798)
1/4 cup mozzarella/parmesan cheese
(100	6	4	8	2	0	280)
1 banana
(105	0	0	1	27	3	1)
1 serving pea protein
(130	2	0	18	9	2	320)
2 tbs cocoa
(20	1	0	4.53	2	0)
1 1/2 cups almond milk Silk unsweet
(45	3.75	0	1.5	1.5	0	178)
1/3 cup cashews
(164	13.5	2.5	4.7	8.4	0.9	4)
bowl of pasta 3-11-2021 recipe
(614	24.8	6.1	26.1	72.9	5.5	798)
1/4 cup mozzarella/parmesan cheese
(100	6	4	8	2	0	280)
6 mini corn tortilla quesadillas
12 mini corn tortillas
(400	4	0	8	80	8	80)
1/2 cup mozzarella/parmesan cheese
(200    12    8    16   4    560)
=614+100+105+130+20+45+164+614+100+400+200
=24.8+6+0+2+1+3.75+13.5+24.8+6+4+12
=6.1+4+0+0+0+0+2.5+6.1+4+0+8
=26.1+8+1+18+4.53+1.5+4.7+26.1+8+8+4
=72.9+2+27+9+2+1.5+8.4+72.9+2+80+560
=5.5+0+3+2+0+0+0l9+5.5+0+8+4
=798+280+1+320+178+4+798+280+80+560</t>
  </si>
  <si>
    <t>Woke up at 5 am by alarm. Did the usual routine of pet mess cleanup, making babies their food and my fist cup of coffee, prepped study materials and worksheets and plans for this weekend's available time today after work and tomorrow after work. Exam in Genetics Mon expires Tue and Tue an exam, both on chapters 1-3. Homework in chemistry will take a while and also need to verify and complete the genetics HW. Had a BM after 2nd cup of coffee, and running out of time, have to fold linens from yesterday and eat breakfast and make lunch for later. No worries, Took measurements after 1st BM and 2nd cup of coffee. I also need to do weight lifting today, I might just reduce the exercises to legs and arms day, still haven't done that. I went to work on time but actually keeps getting later and later. The roommate didn't come home by the time I left, he probably stayed late and I didn't drink my 3rd cup of coffee by that time. It made me feel unmotivated but seeing my return clients that see me regularly picked me up and motivated me. I had my 3rd cup from their Keurig a Dunkin Donuts k-cup, and it picked me up as a stimulant its an early day. Had to be there at 8 am felt like everything was an impediment like slipping into my slippers and it getting caught I couldn't pull the back heel lip up and also dropped my face cream wrinkle reducer lid on the ground. I was able to eat a bowl of pasta with cheese before work and make a protein smoothie the usual way for lunch with the last grapefruit and the last of the chocolate pea protein powder. The last bunch of oranges and grapefruit have been subpar and dry in some spots, especially the oranges purchased at Winco last week and used up by the beginning of the week. I found out on lunch I got my scheduled deposit for the 17th of my $1400 stimulus check but thought it would be $2800 for me and the roommate, but since we both filed our taxes I got only mine and I checked his and he didn't have anything prepending as we bank at the same place. He did his taxes at the same place he gets his auto insurance at a little Mexican shop at the corner of a bunch of crime activity for Corona with homeless, drug dealers, and prostitutes. He is really a medically diagnosed idiot, he has to be. I told him about the stimulus and he told me to file his taxes by giving me his w-2 but saying to do it even though the lady he got them done with already filed them. He told me he didn't get any paperwork and said he filed them and gave her his bank statements and his w-2s but then that he didn't pay her and couldn't say if he agreed to take the money out of his refund but has to always be the one talking, he was yelling, upset, told me to file turbotax just do it and I told him calmly and repeatedly that he has to tell me his tax return info for this year because the IRS portal will need that to check the stimulus and refund. The place that did his taxes sounds like a crook blackmarket fraud place. The same type of people who stole my identity when I did a livescan at a place off magnolia and the 15 freeway. His place is also targeting poor people and hispanics. The lady isn't available to reach, the business won't give him his information, and previously the DMV said he had no auto insurance even though he has been paying for it, because they wanted to take back his registration on a vehicle. He went to the DMV and then to the store. But anyways, he really stressed me out and I had to yell about dealing with him and his mind, he did not understand that I couldn't check unless he could give me the details of his refund. He threw a chair at the wall away from me and didn't clean it up. He is really an idiot. Going to be 47 years old next Wednesday and never going to grow up. He should be on social security for being so far below mental competency to take care of himself. His aunt who raised him as his mom never taught him or her own son how to live according to survival and finanaces or doing well in schoool. She had her own bail bonds business that thrived up until a year before he met me and she got sick and the business was sold and she lost her home. She is now taking care of her 50 year old son and daughter approximate age range. They will be lost if she dies. And then if I leave Shane and she dies, wow! They will all be lost. How can anybody raise their kids to be losers?! So selfish. Anyways. I unchecked the alcohol, because after finishing my chemistry homework at about 7 pm, with only 76% correct, as they were not easy but some seemed to make me feel confident but also didn't read the chapter and used the lectures, labs, and power point from memory and example problems in the textbook and reading of the section for the specific problem/exercise as I got the first attempt wrong. Got 4/14 wrong but some were only partially wrong. I had a bottle of $4 vodka the image will be uploaded, it was strong, and inputting the data for the day while it gives me a buzz, and keeps my mind off the stress that will follow from rommate drama (everyday) and exams coming up in week 5 of 16 and the work as well, but keep work at work. Took myself off schedule this weekend because of the exams I need to study for, skipped my Saturday 1x wk workout, rescheduled my Monday client for tomorrow at 530 pm and am about to start my genetics homework and studying for the exam on Monday. I had the bowl of pasta in the morning, protein smoothie for lunch at around 12 pm, the other bowl of pasta when I got home around 3 pm, argued with the roommate at around 330-4 pm, he left for the gym, did my chemistry homework until just before 7 pm, had 6 mini quesadillas usual style, and the gulp from the bottle of the vodka, very strong taste like Bacardi 151. Went to bed around 930 pm. Tomorrow is day light savings time and we lose an hour.</t>
  </si>
  <si>
    <t>Starbucks tall nitro cold brew with sweet cream, https://www.starbucks.com/menu/product/2122237/iced?parent=%2Fdrinks%2Fcold-coffees%2Fnitro-cold-brews</t>
  </si>
  <si>
    <t>Olly pea protein plant based protein powder gluten free (Vanilla), 2 rounded scoops is 1 serving:</t>
  </si>
  <si>
    <t>Olly pea protein plant based protein powder gluten free (chocolate), 2 rounded scoops is 1 serving:</t>
  </si>
  <si>
    <t>Mission Tortilla triangles,serving is 10 chips</t>
  </si>
  <si>
    <t xml:space="preserve">bowl of spaghettie 3-11-2021 recipe
(614	24.8	6.1	26.1	72.9	5.5	798)
1/4 cup mozzarella/parmesan cheese Good &amp; Gather brand
(100	6	4	8	2	0	280)
2 servings Pea Protein vanilla
(240	4	0	36	12	2	720)
2 tbs cocoa powder
(20	1	0	2	6	2	0)
3 cups almond milk
(90	7.5	0	3	3	0	345)
1/4-1/2 cup cashews 
(164	13.5	2.5	4.7	8.4	0.9	4)
1/2 cup blueberries
(42	0	0	1	13	2	1)
banana
(105	0	0	1	27	3	1)
nitro cold brew coffee with sweet cream tall size
(70.00	5.00	3.50	1.00	4.00	0.00	15.00)
1 avocado
(322	29	4	4	17	18	14)
3 tbs sourcream
(90	7.5	5.25	1.5	3	0	22.5)
1 mandarin orange
(40	0.2	0.1	0.6	10.1	1.4	2)
2 servings (20 chips) Mission tortilla triangles
(280	14	2	4	36	4	180)
=614+100+240+20+90+164+42+105+70+322+90+40+280
=24.8+6+4+1+7.5+13.5+0+0+5+29+7.5+0.2+14
=6.1+4+0+0+0+2.5+0+0+3.5+4+5.25+0.1+2
=26.1+8+36+2+3+4.7+1+1+1+4+1.5+0.6+4
=72.9+2+12+6+3+8.4+13+27+17+3+10.1+36
=5.5+0+2+2+0+0.9+2+3+0+18+0+1.4+4
=798+280+720+0+345+4+1+1+15+14+22.5+2+180
</t>
  </si>
  <si>
    <t>Woke up at 530 am and got out of bed a few minutes afterwards, not by alarm. Alarm went off at 630 pm. Stove said 430 when I got up to make my coffee and clean up pet messes and make the babies their food. I started and finished the genetics tutorials with the worksheets on punnit squares and non-mendellian fork-line methods and punnet squares by 710 am. I had my 2nd cup of coffee by then and an additional bottle of water, felt my LB tell me I am dehydrated and my lower left gums inside felt dry and almost like canker sores when I was laying in bed before getting up, but the feeling went away. The roommate was home all night, and not at work. Had a BM after finishing the worksheet and the bottled water, made my 3rd cup of coffee and took my measurements. For breakfast I had the last bowl of pasta with 1/4 cup mozz/parm. cheese, made a protein smoothie out of the vanilla Olly protein mix with 1 serving of 2 scoops, 1 banana the last one from fridge, 2 tbs cocoa, 1/4 cup cashews or serving cashews, and 1 1/2 cup almond milk. I didn't eat anything else for lunch, but had to put fuel in the work truck on my lunch, eat the smoothie because its thick so more like pudding, not bad either. And looked at the Sola spa location in Chino hills behind Sprouts, many beauty and nail shops closed and space for lease there, but many health, beauty, and wellness therapeutics located at that hotspot. I drove to get gas after exploring it. Never seen it before because you would only see if from the freeway if coming from Pomona or the 60/57/210/10 freeways along the 71, not from the other direction. My client at ME told me about it. But I can't rent the space there it would compete with my ME job. Too close. I found out from my private client her 2nd appointment today after work that her rate for the weekly was 150 for a smaller room, 250 for a medium room, and a larger room for 350 a week. Luckily for her she didn't sign a lease because it was right before quarantine last year early and she would have lost money or ruined her credit. As nobody was allowed to operate a beauty/spa service solely for esthetics and beauty needs. Yet their bills would still have to be paid to upkeep it. If they were lucky enough to get a Personal Paycheck Protection or PPP loan they would have been ok if granted enough money.Too many shops were closed right there, but there was a chiropractor's office right above the Sola salon. Its a shopping center with two stories like an outdoor mall. She was nice like all clients, couldn't see the time but gave full time, her grandma and aunt expect to run until exactly 90 minutes not over, so I think she prioritizes their needs before getting full time. For her it is best to keep the time as is including set up of massage equipment. Wow, if Sola salons had a child care they would be all set for business, right? To myself. Not drinking but decided to make it a 5th cup of coffee to study, do laundry notes and study for both courses. My genetics exam is first I believe it opens tomorrow am and expires Tuesday am, then my chemistry exam is in the lab section of my Tuesday lab after a one hour review of ch 1-3. We weren't quizzed on the nomenclature, but I need to for sure study that and the way the combustion equations, aqueous, binary acids, ions, non-metal covalent bonding, etc. is named and the polyatomic ions' charges. My roommate was nice today, because I got him the only thing he wants on his birthday, action figures. I saw some dope ass Predator 6" figureines and was like, shocked, and blurted out 'dope!' when at Best Buy, because even I thought they would be fun to make wearing scrubs and giving massages in Barbie massage clothes or dressed up like security in 6" action figures in a mockumentary of action figures of the massage and bodywork convention that is way too expensive and requires marketing and promotions experts to get going, so the idea has been reduced to a mockumentary pageant of action figures competing, with barbies as the judges and participants, or other action figure characters like the GI joes the roommate has, and have the whole things in a timed quick film 1 minute type series to add to Tick Tock to get viewers watching and spread the word about massage and bodywork needs. That would be way cooler than having my clients show up and mingle with other clients, because some are similar and all actually are, but this would be way cheaper as far as money is concerned, now time and keeping this coffee buzz going to keep it rolling is another story. So, I actually had enough time to make myself another protein smoothie before going to my private client's appointment in south Corona, and it was the same except that I substituted a 1/2 cup of blueberries fresh for the banana. I also went grocery shopping at the Vons outside client's house as I was 1/2 hour too early. Got avocados, mandarin orange cuties, tortilla chips, the Guerrero brand corn tortillas as I ran out of the mini and any corn tortillas, and a large box of strawberries. Studied and paid the truck payment and added to this database of research until 1 am was bed time. Filled out the exam worksheet, but need to go over the steps to mitosis and meiosis and review more before I sit down for exam tomorrow under respondus recording before work. Or after work. Ate a blended unripe tough avocado with 3 tbs sourcream and paprika and 1 mandarin orange (shared with the babies and they loved it, but didn't give them a lot of it) and 2 servings of Mission tortilla triangles chips at around 10 pm. Went to bed at 1:30 am  after taking the babies outside to pee.</t>
  </si>
  <si>
    <t xml:space="preserve">2 eggs
(140	10	3	12	0	0	140)
2 tbs olive oil
(120	14	2	0	0	0	0)
3/4 avocado from whole avocado 1/4 used in protein smoothie
1 whole avocado
(322	29	4	4	17	18	14)
4 corn tortillas Guerrero brand
(200	2	0	4	42	4	40)
1/2 cup mozz/parm blend cheese
(100	6	4	8	2	0	280)
1 serving vanilla pea protein Olly brand 2 scoops
(120	2	0	18	6	1	360)
2 tbs cocoa powder
(20	1	0	2	6	2	0)
1 1/2 cups almond milk
(45	3.75	0	1.5	1.5	0	177.5)
3/4 cup strawberries
(37.5	0	0	0	9	1.5	0)
1/3 the protein shake made for lunch taken out already:
1 serving vanilla pea protein
(40	.67	0	6	2	.3	120)
1 1/2 cups almond milk
(15	1.25	0	.5	.5	0	59.2)
1 banana
(35	0	.33	9	1	.33)
1/4 cup cashews
(27.3	2.25	.42	.78	.26	0.15	.67)
falafel bowl Hummus Republic, left about 10% in bowl too spicy and stuffed
(1406	41.85	3.6	82.35	181.8	67.05	3559.5)
3 mandarin oranges
(120	0.6	0.3	1.8	30.3	4.2	6)
=140+120+322+200+100+120+20+45+37.5+40+15+35+27.3+1404+120
=10+14+29+2+6+2+1+3.75+0+.67+1.25+0+2.25+41.85+0.6
=3+2+4+0+4+0+0+0+0+0+0+0.33+0.42+3.6+0.3
=12+0+4+4+8+18+2+1.5+0+6+0.5+9+0.78+82.35+1.8
=0+0+17+42+2+6+6+1.5+9+2+0.5+1+0.26+181.8+30.3
=0+0+18+4+0+1+2+0+1.5+0.3+0+0.33+0.15+67.05+4.2
=140+0+14+40+280+360+0+177.5+0+120+59.2+0.33+0.67+3559.5+6
</t>
  </si>
  <si>
    <t>Woke up at 6 am and got out of bed just before 630 am, wanted to study for the exam in genetics, had a little more work to do before reviewing. I made my coffee, did the dishes from last night, was tired and went to bed instead last night around 1:30 am after filling in worksheet, fed the babies their food and switched out the laundry from yesterday to the dryer. I had to relax first so had to do some items like shop for massage supplies on amazon when my stimulus gets deposited into my account, look at the actual salon suites dos lagos into google and was notified they are labeled temporarily closed so probably why no call or email received in reply to my initial inquiry Tuesday after massaging my client the 1st time. Also tried to see if I could find out if the lady at the roommates tax/auto insurance place filed his taxes or took the paperwork, because he didn't get back any papers from her, didn't pay her, and doesn't know if he agreed to pay out of his return. He said he gave her bank statements to look at too and now she is gone and has been 'sick' for weeks and almost months without the business knowing if he filed taxes through her because they are separate agents with separate computers. I wasn't able to find out that information, the IRS froze his transcript request for 24 hours with his personal identification, but something made it get flagged as a security threat to his identification and tax history. Gave his auto loan account, SSN, DOB, address of the tax return we filed together. But they might have asked something else that I don't remember because I only got 4.5 hours of sleep maybe up to 5 hours of sleep. I did the studying finally for genetics by scribbling responses and mapping out the mitosis and meiosis stages and phases of cell cycle on the worksheet, but didn't review it. I also logged into the dashboard for the genetics course and she made the exam for this Thursday at 12pm through Friday at 11:59 pm with a review session at our 9 am lecture and prerecorded chapter 5 lectures. Thats a relief. Now I have extra time, but also I have a chemistry exam that a lot of studying is needed for, especially on the nomenclature and formulas. We will get a review of this for an hour before the exam tomorrow during the first hour of the lab. But still need to be ready. I feel like the homework on masteringLab can be reviewed with incorrect ones first, and notes for questions in notebooks, and lectures and nomenclature worksheet, should scribble in the formulas for combustion, acids, etc. But do have some notes in my notebook before printing out the worksheet. Need to memorize those polyatomic ions and the hypo-ite-ate-per but remembered for oxyanions in polyatomic ions, stuff like that. Took measurements before 830 am and after 2 cups of coffee and had a lg BM after 1st cup of coffee around 730 am about an hour and a half after waking up. Will eat breakfast now. Fried eggs and avocado, or guacomole in the ninja blender, then study after possibly folding the laundry. And might be able to workout before work today at 3 pm or nap. Which ever feels more important at the time, possibly both. The gym will be opening back up indoors this Wednesday, cool, but another $30 out my account and should make time to go. Yay! The outdoor gym has uneven flooring, and I strained my knee trying to do a lift from knees to shoulders to put a 75 lb barbell with 15 lbs each side up onto the squat setting from the bench setting last workout that I don't think I noted, but felt it yesterday when kneeling to stretch clients occipitals and neck muscles as it felt swollen. I could also be intuitive, by setting mental timers that make my body ache. I know one of my clients probably aches in that knee too and she skipped a week to go on vacation but gets weekly massages for her arthritis and Right knee. My throat hurting Thursday could have been intuition about knowing a client at ME was having neck surgery through the throat and I thought my sore throat could have been from cheating on my gluten free diet with a cupcake at work Wednesday and then a few cupcakes from the bakery Wed/Thurs. It went away after not eating the cupcakes. Still haven't eaten breakfast will do that now. I ate 2 eggs fried in 2 tbs olive oil, 3/4 avocado and 2 corn tortilla quesadillas with the Guerrero brand tortillas and 1/2 cup the mozzarella and parmesan cheese blend, then made a smoothie for later with the remaining 1/4 avocado, about 3/4 cup strawberries after taking 5 strawberries that were large and average sized and taking the white and weird part of seeds off of them as well as green leaves and stem of strawberries off, with 2 tbs cocoa powder, 1 serving vanilla protein powder 2 scoops, 1 1/2 cups almond milk. The powder didn't dissolve all the way and stuck to the sides and bottom edges of ninja blender cup. It started raining around 930 am, more intense rain at around 940 am. Then looked around at shelves and cabinets on IKEA just in case get the salon room to rent. Haven't even talked, but developing ideas. It would be great to rent and since they have wifi do my homework and wait for new clients or offer new referrals a place to get a massage if not mobile, fill out paper work, ask questions, develop a monthly plan, get to know other spa owners and services for referrals, etc. Also, the Corona location is close to the gym where I could work out if I need to. Let me look at the nomenclature scribble notes first to at least get that brewing for exam tomorrow. Then IKEA for clear glass cabinets a carpet to cover cords some photos, while looking at hydrocollator hot packs and an electric massage table professional type on amazon with basalt pro massage stones. I like those products if I do get the salon spa for rent. That stimulus is already spent. The cart is full. Took a half hour nap at 10 am and then felt groggy, eyes feel foggy to see. Rainy outside, but stopped, wet outside, not working out today, My body is looking soft. It always does but more so. The plumber of the landlord came by, both named Dave or David, his bug guy is named Dave. I don't think his electrician is named Dave though. He fixed the outside leak because Shane complained about it to him and he is going to be fixing up the next door and needs a parking spot. I think he is upset with Shane for having him come fix it. I went to work but used a wash rag to wash instead of the shower. He turned it on in time, but wanted to save time, I would have been rushed, and the water was spurting while brushing my teeth and washing my face at the kitchen sink and didn't stop completely when running. I made a protein shake for lunch and brought 2 mandarin oranges. I had a mandarin orange earlier in the day as well I think before my nap. I also took a 20 minute nap right when the plumber came by until 1 pm. So about 1230 to 1 pm, because tired. So I can add another hour to my sleep with 2 naps. My protein smoothie had 6 slices of banana I froze which is about 1 banana, because I sliced them all about 1-1 1/2" slices and put all in a lg ziploc bag in the freezer. I also added the last of cashews about 1/4 cup, 1 serving protein powder and 1 1/2 cups almond milk. It rained earlier in the day between 3pm and 6 pm because there was fresh water on the outside of work before taking my last client before my lunch break and the outside was still light out. Daylight savings time. I only ate about 1/3 the smoothie on my lunch because I wanted a falafel bowl instead. It was not as good as the first bowl, still spicy, but the falafels weren't fresh, I got there 10 minutes before they closed all the shops close at 8 pm and the store I am looking at tomorrow at 8 am also closes at 8 pm. It must be part of the quarantine hours or maybe always has been those times. After work I was really thirsty and drank a whole bottle of water in the car that I didn't have to force down, and a little over half of another bottle at home of water. Must be the hummus sodium in the hummus and falafels. Got home around 1030 pm from work and went to bed around 1115 pm with dishes in the sink. We need more paper towels already and other supplies. Got a new client that booked for 630 pm in Yorba Linda for an hour on Wednesday and my regular tomorrow at 12 pm. But also, and most importantly, my exam in chemistry is tomorrow. I studied nomenclature some more before adding to this database. The power point was open directly on the nomenclature chart.</t>
  </si>
  <si>
    <t>strawberry poptarts walmart generic brand, serving is 2 poptarts</t>
  </si>
  <si>
    <t xml:space="preserve">2 servings mission tortilla triangles 
(280	14	2	4	36	4	180)
1 serving pea protein vanilla
(120	2	0	18	6	1	360)
2 tbs cocoa
(20	1	0	2	6	2	0)
1 1/2 cups almond milk
(45	3.75	0	1.5	1.5	0	172.5)
2 avocados
(644	58	8	8	34	36	28)
3 corn tortilla quesadillas
6 corn tortillas
(300	3	0	6	63	6	60)
1/2 cup mozz/parm. cheese blend
(200	12	8	16	4	0	560)
2 of the roommate's strawberry poptarts
(400    10       5       4       74      1       240)
1 tbs cocoa
(10	0.5	0	1	3	1	0)
1 tbs honey
(60	0	0	0	17	0	0)
1/4 cup almond milk
(7.5	0.625	0	0.25	0.25	0	28.75)
=280+120+20+45+644+300+200+400+10+60+7.5
=14+2+1+3.75+58+3+12+10+0.5+0+0.625
=2+0+0+0+8+0+8+5+0+0+0
=4+18+2+1.5+8+6+16+4+1+0+0.25
=36+6+6+1.5+34+63+4+74+3+17+0.25
=4+1+2+0+36+6+0+1+0+0
=180+360+0+172.5+28+60+560+0+0+28.75
</t>
  </si>
  <si>
    <t>Woke up at around 620 am, its my day off, but have to leave by 730 am to meet a Sala Studios property manager at the Riverside location. The roommate got home at that time and I got up from bed before 630, made my coffee and fed the babies. He cleaned their messes. Had to pay gas bill didn't know they changed it or that I didn't pay it, the closing bill. I changed it to the roommate's name before but then cancelled, now they reinstated him into this address on the bill and said mine is past due, I will be billed past due fees and also its the closing bill. It wouldn't let me pay the past due fee because it didn't even show it. I don't even know if it will now show up on my credit history. Then I had a reg BM after finishing my 1st cup of coffee. Took my weight at 141.2 lbs and did the measurements at 7 am. Made my 2nd cup of coffee at 710 am and got ready to leave by 730 am, no shower, have to do the dishes too. I went to the studio and saw the suites. Many of them, they look cool, but pricey. I don't have enough clientel to work there and pay the rent there and my personal rent and bills and 2 car payments. But would consider it if I had someone to split the hours and rent of the studio with and also if I knew that Sola salons provides enough clients to make a reasonable income from and not just take rents from small, female business owners renting space from them. I then went to Winco and got much needed supplies for the house, then home to unload them and off to IKEA to get the kitchen rolling cart for my lipocavitation machine if I decide to stress my self out a ton with aquiring a new studio space to rent that is twice my own personal share of rent and has no way of keeping guests waiting in a lobby, or a place to watch kids while mommy pampers herself. It could be great for those moms and ladies who get everything done at once and have the money for a spa day, like their nails, hair, lashes, massage, facial, etc. They have all of the above business owners there. I was out the door by 935 am and got to IKEA at about 1015 am because of slight traffic out of Corona before the 71. Got back home by 1120 pm and changed to scrubs for private client, gave her the CBD referral card and treated her knee with CBD only from other client's samples she gave me. I still haven't given her SOAP notes at 1033 pm recap of the day. I just turned in my lab from last week due tomorrow and finished he exam, tough and not enough time to work out the word problems, started easy enough at the beginning 10 or so problems, but then there were 30 of them and 90 minutes seems like a long time until you work out all the problems and want to copy them down to look at later by hand. Also, my laptop camera for proctorio wasn't allowing me to take the exam for 6-7 tries until I notified the instructor and she was going to have me take the exam in front of the web cam in front of her, but then my laptop proctorio camera started working. Of course that makes sense and is dumb that it happened, but what doesn't make sense about a test and the proctoring equipment or some pig behind it fucking with the video feed or exam monitoring software. Not unlikely at all, ever, or anywhere, or any time. But did terrible before she grades it of course, didn't finish last 5 problems, moved on to next one before completing others and didn't write any answer because I realized I should look for less time consuming problems before going into the word problems and couldn't write down the last problems from 28-30 to look at later. The significant figures could have thrown off some answers, and also her chemical formulas had the subscripts disabled or not in that software, so the chemical formula had to be written out different. Its likely the others did just as bad as me. I am as confident in my test taking skills as theirs in this scenario. Don't think there is anybody who answered all questions and sigfigs in time allowed unless they knew the questions before hand. Going to make the SOAP notes and receipt for client and send them to her before I go to bed. In the morning I am going to celebrate with cake I bought earlier in the week my roommate's birthday. And maybe put together the cart for the lipocavitation machine that rolls from IKEA. Bed time planned for 11 pm and it is 1040 pm.</t>
  </si>
  <si>
    <t>slice of chocolate cake, similar to a chocolate cupcake, https://www.fatsecret.com/calories-nutrition/generic/cake-cupcake-chocolate</t>
  </si>
  <si>
    <t xml:space="preserve">chocolate birthday cake similar to a chocolate cupcake with chocolate frosting
(164	5.4	1.2	1.7	29.2	0.7	176)
1 serving pea protein
(120	2	0	18	6	1	360)
2 tbs cocoa
(20	1	0	2	6	2	0)
1 1/2 cups almond milk
(45	3.75	0	1.5	1.5	0	173)
1 banana
(105	0	0	1	27	3	1)
2 avocados
(644	58	8	8	34	36	28)
1 serving Mission tortilla chips triangles
(140	7	1	2	18	2	90)
6 corn tortillas
(300	3	0	6	63	6	60)
1/2 cup mozz/parm blend cheese
(200	12	8	16	4	0	560)
=164+120+20+45+105+644+140+300+200
=5.4+2+1+3.75+0+58+7+3+12
=1.2+0+0+0+0+8+1+0+8
=1.7+18+2+1.5+1+8+2+6+16
=29.2+6+6+1.5+27+34+18+63+4
=0.7+1+2+0+3+36+2+6+0
=176+360+0+173+1+28+90+60+560
</t>
  </si>
  <si>
    <t xml:space="preserve">Woke up at 520 am and made coffee, cleaned few pet messes first, and fed the babies. Then looked at stuff online while drinking 1st cup of coffee. I felt dyhydrated and drank 1/2 a bottle of water before the coffee, and slept with waist trimmer on last night and had pain around 2 am that went away in LB and lower Right abdomen and I took off the waist trimmer at that time before waking at 520 am. It went away after drinking the water and coffee. Had a reg BM after drinking the 1st cup of coffee. Then logged onto canvas for the dashboard and to look at BIO18 documents and plans for this week. Yesterday there wasn't any lectures in BIO18 available to download and watch for this morning, for some reason it isn't available even though she placed the announcement and had the information on the exam this Thursday. This morning I put together the kitchen rolling cart from IKEA-RASKOG brand and my ultracavitation machine fit perfectly into it and the cords could lay perfectly somewhat into the bottom bins, can put oils and RF gel in there as well as an extension cord to roll around the room. Had the birthday song with the roommate and my little boy Mr. Goody the other two were sleeping. Then did the dishes and got ready for work. Plan on washing my hair today. Did that, ran late again but always get there on time. Out the door by 730 and a few minutes. Lost an earring in the shower. Saw the back to it on the carpet, but the earring wasn't to be found. A pair of the silver diamond ones that I got from Macy's for $30 for spending more than $50 last year. Sent an order through on Amazon that I was making yesterday at lunch time and ate a protein smoothie I made at home with a banana, 1 serving vanilla pea protein, 2 tbs cocoa, 1 1/2 cups almond milk. Had my 3rd cup of coffee, had a little bit of instant coffee in the smoothie but not all the smoothie gets in my belly from the sides. I had my 4th cup of coffee after work and at home budgeting my amazon order of massage supplies and after eating 3 corn tortilla quesadillas with the mozz/parm blend and paprika and 1 avocado. For lunch at work had an avocado with 1 serving approximately of the Mission tortilla chip triangles as guacamole from a cup smashed like so. I have a new client today in Yorba Linda. My massage supplies included 3 different and separate hair covers of paisley, black, and a neat looking painted type print each $11 each, a mini hydrocollator that looks the same as the $300-$600 ones but is only up to 8" high and 6"X4"X8". So I will likely be dissappointed to its size but it comes with 4 hot packs. I also ordered a neck hot pack and  a 12" hot pack that probably won't fit in the unit, but it was $190 for the hydrocollator and $11-$13 each for the separate hot packs. Ordered 3 separate silky short robes $22 each and 2 wire handled baskets for the idea that I would rent a spa studio and have the client put her/his things in the basket and wear the silky robe between visits. Just an idea. A black, teal, and purple robe all medium sized, and the basket looks from the picture like it would hold their shoes and stuff $10 each, but will likely also be much smaller and a disappointment. I also ordered a duffel bag from Wrangler that looks more durable than the one I got at Burlington that scuffs and got holes from resting on the black top when rolling my machine or massage spa supplies to clients from vehicle street parking. That was about $43 for the bag. Also ordered some tubes of bio freeze only 2 and will take the longest about 2 weeks to arrive and cost about $24. And 4 microfiber dark grey twin sheet sets at $15 each and a 6 package compression sock with different prints on the image but says black on the color for $20. Plus tax for all but free shipping with Prime. Tomorrow I get most of the supplies, but the hydrocollator in 1-2 weeks and biofreeze in 2-3 weeks, and the other stuff by Sunday. The hair covers are something I think will save me the annoyance of having my flyaway hairs hit me in the eyes or tickle/scratch my face while massaging someone and they have buttons to the sides for face masks' handles to cover your ears and prevent flyaway hairs from hitting the inside of the ears as well. Got to the new client's house early 20 minutes, she was nice, she scheduled another massage for Friday with her husband and the lipocavitation machine to try and tighten up her abdominal liposuction mark under the skin that left an indent 3 months post-op with 5-10 treatments and lymphatic drainage massage. I got home around 8 pm and reviewed the genetics material for today, didn't eat anything. Knees and low legs swollen even with compression socks, the knees makes sense but not the ankles. Stress and added sugar earlier, not enough water, and too much sodium in diet and not doing my regular workouts. The gym is open now and I should go there as the ground outside isn't level and I twisted my R knee a few weeks ago or last workout. Went to bed a little after 9 pm, work up at 12:30 am stress, pee. Reviewed the answers I got wrong again, she corrected them. No curve, said everybody did good overall. One of her written formulas is wrong, I emailed her earlier about the chemical equation for ammonium phosphate, she wrote as Al for aluminum. I got one wrong that was answered due to not writing the units 'amu' and another I thought was wrong, because it was the molecular weight of Nitrogen when asked to find the molecular weight of 1.00 moles of N in ammonia NH3, was actually right, but wrong because the answer should have included 'g' for grams and 3 sigfigs for 14.01 as 14.0 g. Another I answered was wrong because I didn't use the correct conversion in 1.06 qt = 1L and left it as 1 qt when rushing through the dimensional analysis of a simple conversion. One problem I wrote down as asking the micrometers um, but didn't see that it asked in mm not meters. I thought it was easy and got it wrong because rushed I didn't notice it asked mm instead. I got all the chemical formulas wrong. I thought I would get some right, but mistakenly wrote Fe for lead instead of Pb and perchloric acid I know is the highest oxyanion but I didn't write the right chemical formula for it and wrote HClO3 instead of HClO4, potassium manganate I knew I would miss K2MnO4 but wrote KMgO4, and iron(II) sulfide I wrote as Fe2(SO3)3 instead of Fe2S. Many wrong that I answered were typos or missed units or sigfigs. There were 4 in total not answered. That and the chemical formulas from the name of the substance. Stayed up an hour reviewing the exam just taken. My score was a 94% before the exam and now it is 79%. If my final is better it can replace this exam score. </t>
  </si>
  <si>
    <t xml:space="preserve">I went to bed at about 920 pm and woke up at 1230 am from stress to review Chemistry exam just taken answers posted to see where I went wrong and what was missed until about 1:30 am. Went to sleep around 2 am and woke up around 530 am and got out of bed around 545 am. In total about 6 1/2 hours of sleep. My ankles are swollen this morning at 6 am, they were last night too. My instructor emailed me that she fixed the problem on the exam that showed aluminum chemical formula to ammonia's NH4 and gave me a point. And that the one I thought was bicarbonate was bisulfate so no point there. I need to study those chemical equations. But first genetics to study. My health is declining. I fucking hate test and exam studying and preparing, and memorizing and exhausting my hands and time with reviewing and memorizing. I really fucking hate it. But drew some charts of meiosis and mitosis to help me as well as studied genetics. Some instructors give fair problems in a fair amount of time, and others make the whole test taking a nazi/japanese concentration camp. I want to do well, so I must make sacrifices with my health and time to get there, seems like such a nuissance that needs to be monitored. Of course when I have to find time to study and relieve stress somebody new wants a massage and I want to grow my business and yet not a lot of them are return clients. Only a few. That is why I shut off my weekends to do the work I need to do. Extra money helps and should make me less stressed, but my bills are covered, I need the time to commit to studying and doing homework and reading. I had a reg-lg BM after my 1st cup of coffee right when the roommate was unloading his work gear around 610 am or so. Then a 2nd cup and studied. Took measurements around 830 am, and lost some possible bloat from yesterday. Ankles still swollen and neck cramps up note taking and looking down to note take and read. Class starts or lecture for BIO18 at 9 am in 20 minutes or less. Going to eat a couple quesadillas and scrambled eggs with sourcream. Took the exam and had a snack before my chemistry lecture. The automated grade seemed low on the genetics exam,but probably the instructor has to go in and look at the type in answers. Helped the roommate with his taxes online on my lab break at 730 pm instead of having a snack. I didn't keep track of this data until the end of the day but the food I ate was 2 eggs scrambled with 2 tbs sourcream and in 2 tbs olive oil with 2 corn tortilla mozz/parm quesadillas before the genetics lecture around 830 am, then had lunch of a protein smoothie with 1 banana, 1 serving pea protein, 1/2 cup almond milk because it was the last of it and some of my 3rd cup of coffee, 2 tbs cocoa and later a couple of mandarin oranges along side the smoothie. At 4 pm after the exam and in the middle of my chemistry lecture I had another 2 mandarin oranges. I had some packages delivered to the amazon hub locker and picked those up after lecture around 445 pm, then at 530 pm after making penne red fennel 1 pkg with a red bell pepper, a green bell pepper, and 1 cup of mushrooms white sliced, 2 tbs olive oil, and 1 jar of prego 3 cheese sauce, had a bowl with 1/2 cup of mozz/parm blend cheese. Before I left to get the packages of hot stones and hair caps for healthcare to keep flyaways out of face I had a lg piece of the chocolate cake about 2 cupcakes worth. I also started my rag today with spotty light noticed around the time of starting my genetics exam at around 1 pm. No workouts and tons of homework and studying. I have a few return clients tomorrow and 1 booked with me Saturday morning at ME because she found me on yelp and lives in Chino and able to drive and wants specifically a lymphatic drainage massage with a sequence of them. And ME is better suited for this, due to their discounted rates after the first massage after each month's dues used. </t>
  </si>
  <si>
    <t>bowl of pasta recipe 3-18-2021 penne red fennel</t>
  </si>
  <si>
    <t>pot of pasta penne red fennel red/green bell peppers 2 total/2 tbs olive oil/1 cup white mushrooms sliced/prego 3 cheese, makes about 4 bowls</t>
  </si>
  <si>
    <t xml:space="preserve">2 eggs
(140	10	3	12	0	0	140)
4 corn tortillas Guerrero brand
(200	2	0	4	42	4	40)
1/3 cup mozz/parm cheese
(133.3	 8	5.3	10.7	2.7	0	373.3)
1 serving vanilla pea protein
(120	2	0	18	6	1	360)
1 banana
(105	0	0	1	27	3	1)
1/2 cup almond milk
(15	1.25	0	0.5	0.5	0	57.5)
2 tbs cocoa
(20	1	0	2	6	2	0)
4 mandarin oranges
(160	0.8	0.4	2.4	40.4	5.6	8)
lg piece of chocolate cake with frosting or 2 cupcakes similarly
(328	10.8	2.4	3.4	58.4	1.4	352)
1 bowl of pasta penne 3/18/2021 recipe
(458.5	11.2125	2.2125	23.575	71.675	12.275	602.75)
1/2 cup mozz/parm cheese
(200	12	8	16	4	0	560)
=140+200+133.3+120+105+15+20+160+328+458.5+200
=10+2+8+2+0+1.25+1+0.8+10.8+11.2+12
=3+0+5.3+0+0+0+0+0.4+2.4+2.2+8
=12+4+10.7+18+1+0.5+2+2.4+3.4+23.6+16
=0+42+2.7+6+27+0.5+6+40.4+58.4+71.7+4
=0+4+0+1+3+0+2+5.6+1.4+12.3+0
=140+40+373+360+1+57.5+0+8+352+603+560
</t>
  </si>
  <si>
    <t>Starbucks grande nitro cold brew with sweet cream, https://www.starbucks.com/menu/product/2122237/iced?parent=%2Fdrinks%2Fcold-coffees%2Fnitro-cold-brews</t>
  </si>
  <si>
    <t xml:space="preserve">1 serving pea protein
(120	2	0	18	6	1	360)
2 tbs cocoa
(20	1	0	2	6	2	0)
1/2 cup frozen blueberries
(42	0	0	1	13	2	1)
1 banana
(105	0	0	1	27	3	1)
bowl of pasta Lunch
(458.5	11.2125	2.2125	23.575	71.675	12.275	602.75)
starbucks grande nitro cold brew sweet cream
(70.00	5.00	3.50	1.00	4.00	0.00	20.00)
bowl of pasta dinner
(458.5	11.2125	2.2125	23.575	71.675	12.275	602.75)
1/3 cup winco mozzarella cheese
(80	5	3.5	6	1	0	190)
3 tbs sourcream
(90	7.5	5.25	1.5	3	0	22.5)
=120+20+42+105+458.5+458.5+70+80+90
=2+1+0+0+11.2+11.2+5+5+7.5
=0+0+0+0+2.2+2.2+3.5+3.5+5.25
=18+2+1+1+23.6+23.6+1+6+1.5
=6+6+13+27+71.7+71.7+4+1+3
=1+2+2+3+12.3+12.3+0+0+0
=360+0+1+1+602.8+602.8+20+190+22.5
</t>
  </si>
  <si>
    <t xml:space="preserve">Went to bed at 1030 last night, got up at 430 am this morning and made coffee, cleaned up pet messes, fed the babies, made notecards on ch4 chemistry ppt slides with examples, and only 1 formula for percent yeild, quiz Tue on ch4. Also organized my notebooks with tabs for the information to study on homework scratch paper, used with the solns of the masteringLab, the lecture notes and things important like where to find redox, and stuff to memorize etc. Need more flash/note cards. Also went over yields. Theoretical, limiting and excess reagents, combustion stoichiometry, etc. Had a BM reg-lg size around 530 am after 1st cup of coffee. I don't feel tired. I have some clients after work today and using my RF machine. Hopefully, my duffel bag arrives soon. I have some more items to pick up at the hub locker for amazon possibly before work. I need to use my time wisely even on lunch breaks or down time at work to study chemistry. Going to look over the ppt and lectures for genetics. Have a discussion post due Monday night in BIO18 with thought. Also, hw for chemistry ch5 not due till Wed nor the lab till Friday, its a lengthy one too, a worksheet. Had a starbucks for lunch grande nitro cold brew w/ sweet cream. After work, the bowl of pasta was smaller, but had to add the Winco shredded mozzarella cheese and 3 tbs sourcream for more flavor. Went to the massage and they are a great couple. Super nice and love their cat. I used the RF tool on her abs and the aqua-gel but she said it could still feel the burn if set higher than 40% RF power and also on the vacuum, on lowest setting for vacuum and 20%-25% power. Laundry, notes, emails, database research input, and bed around 1115 pm. </t>
  </si>
  <si>
    <t>ahi tunu, serving 2 pcs sushi, https://www.calorieking.com/us/en/foods/f/calories-in-japanese-raw-tuna-sushi-nigiri/dRH0pXbUTO-_tklypq6u1Q</t>
  </si>
  <si>
    <t>salmon, serving 2 pcs sushi,  https://www.calorieking.com/us/en/foods/f/calories-in-japanese-raw-salmon-sushi-nigiri/Q3eMQgVHRfOct_GXeY9aog</t>
  </si>
  <si>
    <t>spicy mayo, serving 2 oz 1 pkg condiment, https://www.calorieking.com/us/en/foods/f/calories-in-condiments-spicy-mayo/XKs-hi5UQcmDmdyUttVVwg</t>
  </si>
  <si>
    <t>teriyaki sauce, serving 1 tbs 0.6 oz, https://www.calorieking.com/us/en/foods/f/calories-in-sauces-teriyaki-sauce/31p8AsaFT7q7WEs1X9AO1A</t>
  </si>
  <si>
    <t>pineapple_1cup, 5.8 oz, https://www.calorieking.com/us/en/foods/f/calories-in-fresh-fruits-pineapple-raw/m4JttugzRT2KyGMkrrZkzQ</t>
  </si>
  <si>
    <t>pinapple poki bowl 1/4 cup</t>
  </si>
  <si>
    <t>brown rice, 1 cup 6.9 oz, https://www.calorieking.com/us/en/foods/f/calories-in-rice-long-grain-brown-rice-cooked/_W12T-lpSI-Nm25pKDkvrw</t>
  </si>
  <si>
    <t>poki brown rice 1 1/2 cups</t>
  </si>
  <si>
    <t>cucumbers, serving 1 cup 3.7 oz, https://www.calorieking.com/us/en/foods/f/calories-in-fresh-or-dried-vegetables-cucumber-with-peel-raw/nKvHV3A9TamX5TW2U8mjdA</t>
  </si>
  <si>
    <t xml:space="preserve">cucumbers poki 1/4 cup </t>
  </si>
  <si>
    <t>sesame seeds serving 1 tbs 0.3 oz, https://www.calorieking.com/us/en/foods/f/calories-in-seeds-whole-sesame-seeds-roasted-toasted/FyvsC9v-QiOYvcWSJCvszw</t>
  </si>
  <si>
    <t>ginger root poki bowl 1 teaspoon 0.1 oz seving, https://www.calorieking.com/us/en/foods/f/calories-in-fresh-or-dried-vegetables-ginger-root-raw/-TXI3lP0RCav-6oUYlV6Ww</t>
  </si>
  <si>
    <t>wasabi 1 teaspoon serving, https://www.calorieking.com/us/en/foods/f/calories-in-japanese-wasabi-root-raw/hcWfFF5TRE63dEPlZbo-iA</t>
  </si>
  <si>
    <t xml:space="preserve">1 serving pea protein
(120	2	0	18	6	1	360)
2 tbs cocoa
(20	1	0	2	6	2	0)
1/2 cup frozen blueberries
(42	0	0	1	13	2	1)
1 banana
(105	0	0	1	27	3	1)
Poki Bowl
1/4 cup salmon 
(134	3.9	0.9	7.1	16.7	0.6	193)
1/4 cup tuna bluefin ahi
(106	0.4	0.1	8	16.7	0.6	186)
2 tbs spicy mayo
(80	9	2	0	0	0	80)
2 tbs teriyaki sauce
(32	0.2	0	2.2	5.6	0.2	1380)
1/4 cup pineapple
(20.5	0.05	0.025	0.225	5.4	0.575	0.5)
1/4 cup cucumbers
(4	0.025	0.025	0.175	0.95	0.125	0.5)
1 tbs sesame seeds
(51	4.3	0.6	1.5	2.3	1.3	1)
1 1/2 cups brown rice
(324	2.7	0.6	7.5	67.2	5.25	15)
2 tbs ginger
(2	0.1	0.1	0.1	0.4	0.1	1)
1/4 tbs wasabi
(5	0.1	0	0.2	1.2	0.4	1)
6 corn tortillas Guerrero brand
(300	3	0	6	63	6	60)
1/2 cup mozzarella winco brand
(160	10	7	12	2	0	380)
2 chocolate cupcakes
(164	5.4	1.2	1.7	29.2	0.7	176)
=120+20+42+105+134+106+80+32+20.5+4+51+324+2+5+300+160+164
=2+1+0+0+3.9+0.4+9+0.2+0.005+0.025+4.3+2.7+0.1+0.1+3+10+5.4
=0+0+0+0+0.9+0.1+2+0+0.025+0.025+0.6+0.6+0.1+0+0+7+1.2
=18+2+1+1+7.1+8+0+2.2+0.225+0.175+1.5+7.5+0.1+0.2+6+12+1.7
=6+6+13+27+16.7+16.7+0+5.6+5.4+0.95+2.3+67.2+0.4+1.2+63+2+29.2
=1+2+2+3+0.6+0.6+0.2+0.575+0.125+1.3+5.25+0.1+0.4+6+0+0.7
=360+0+1+1+193+186+80+1380+0.5+0.5+1+15+1+1+60+380+176
</t>
  </si>
  <si>
    <t>Woke up at 530 am by alarm, reviewed the discussion and power point slides in genetics and folded laundry from yesterday after cleaning up one pet mess, making my coffee, and feeding the babies, had 2nd cup of coffee after folding the laundry. I bought some French press from IKEA when I went earlier in the week and had some coffee grounds from Starbucks ground French press style, but haven't had time to clean the item and follow instructions for cold brew of french press coffee. Had a lg BM after 2nd cup of coffee. Then took measurements crunched for time. Had a banana, frozen blueberry, pea protein and cocoa powder smoothie for breakfast with a little bit of coffee for 3rd cup in it. For lunch I had a poki bowl and violated meat free but its fish, so not the vegetarian I have been for almost 4 years now. with 1 scoop of salmon, one of the tuna, the spicy crab meat that I didn't really eat, over brown rice about 1 1/2 cups with spicy mayo 2 tbs and teriyaki sauce about 2 tbs with ginger 1 tbs, pineapples 1 scoop about 1 slice chopped, sesame seeds toasted about 1/2 tbs, about 1/4 cup chopped cucumbers too. And my 4th cup of coffee from work's keurig the Donut Shop one today. After work ate 3 quesadillas normal style and shared with the babies, later had a large piece of chocolate cake about 2 cupcakes worth in size. My amazon order arrived of the duffel bag after doing some writing of nomenclature for each individual compound from the week 3 worksheet with polyatomic charges and fixed or variable metal charges as well as other notes on notecards. Then completed the week 5 power point fill in for genetics. We have a chapter 4 quiz in chemistry Tuesday, homework due Wednesday but the masteringLab was froze earlier and couldn't look at the 3 hours they estimate to complete it, also a lab dry lab worksheet on ionization and oxidation from the chapter 5 slides I need to go over and make flashcards for. I need to get more flashcards and maybe some of those little notecard boxes they sell at Michael's craft store by my work. My ankle is still swollen and my right knee. I wanted to workout but I didn't due to catching up on prepping for stuying and studying while preparing the note cards. I got some plastic bags for laundered linens after watching them in gallon size and the sandwhich bag size for food or small work items for private clients and dryer sheets when picking up one of the other robes I ordered at the hub spot. And another one is waiting for me to pick it up there tomorrow morning before work, that and another little basket. Not bad size. Probably sell the same thing at the dollar tree but convenient to order it on Amazon for $10 and use my monthly prime subscription for free delivery. Still need the biofreeze order and especially the hydrocollator that hasn't shipped yet. I don't plan on using it any time soon, but want it here and ready. Tired. Been tired. Have a discussion I need to do before the end of the weekend. Rag my 3rd day and only medium. yesterday was medium light, and the first day was light. Usually its spotty-light, med-light, heavy, med-heavy, med-light, light for 6 days approximately. It might be the red fennel pasta and not eating it with cheese and having the peppers because of the phytohormones in fennel. I had my 5th cup of coffee while eating the quesadillas and making the flashcards for chemistry on nomenclature. Went to bed at 1030 pm</t>
  </si>
  <si>
    <t xml:space="preserve">Woke up just before 530 am around 527 am and got out of bed at 530 am. Made coffee, cleaned up the pet mess in living room, and fed the babies after taking them outside to pee. The computer froze up wasted time for file exporer not working after looking at AMazon shopping, I think the wifi tv from Amazon has spyware in it, I reset the wifi and tried other laptop but didn't have the study material for week 4 or week 5. I finally unplugged the amazon tv and the laptop worked. I don't trust it. my laptop froze after shopping on Amazon for infrared spas and lights just curious on what to add to my mobile services for massage. Didn't get anything. I did some notes once up on ch5 ppt slides after having my 2nd cup of coffee and a reg lg BM. Took measurements at 6:45 am. The roommate was home about 630 am. I had laundry I put in earlier I need washed and told him I would put his in the wash after mine and not to add to my wash load. I don't have to get ready until 730 am for work to leave by 830 at latest. My menstruation seemed to skip the heavy phase all together. Today from last night only changed my mensa pad before bed and in am without heavy flow. So would say medium flow now. yesterday med-heavy but more medium, before that light-med, and then before that straight light without spotty.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</si>
</sst>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sz val="9"/>
      <color indexed="81"/>
      <name val="Tahoma"/>
      <family val="2"/>
    </font>
    <font>
      <b/>
      <sz val="9"/>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2" fontId="0" fillId="0" borderId="0" xfId="0" applyNumberFormat="1" applyAlignment="1">
      <alignment horizontal="center"/>
    </xf>
    <xf numFmtId="2" fontId="0" fillId="0" borderId="0" xfId="0" applyNumberFormat="1" applyAlignment="1">
      <alignment horizontal="center" vertical="top"/>
    </xf>
    <xf numFmtId="0" fontId="0" fillId="0" borderId="0" xfId="0" applyFill="1"/>
    <xf numFmtId="1" fontId="0" fillId="0" borderId="0" xfId="0" applyNumberFormat="1" applyFill="1"/>
    <xf numFmtId="2" fontId="0" fillId="0" borderId="0" xfId="0" applyNumberFormat="1" applyFill="1" applyAlignment="1">
      <alignment horizontal="center"/>
    </xf>
    <xf numFmtId="2" fontId="0" fillId="0" borderId="0" xfId="0" applyNumberFormat="1" applyFill="1" applyAlignment="1">
      <alignment horizontal="center" vertical="top"/>
    </xf>
    <xf numFmtId="1" fontId="0" fillId="0" borderId="0" xfId="0" applyNumberFormat="1" applyFill="1" applyAlignment="1">
      <alignment horizontal="center" vertical="top"/>
    </xf>
    <xf numFmtId="14" fontId="0" fillId="0" borderId="0" xfId="0" applyNumberFormat="1" applyFill="1"/>
    <xf numFmtId="18" fontId="0" fillId="0" borderId="0" xfId="0" applyNumberFormat="1" applyFill="1"/>
    <xf numFmtId="0" fontId="0" fillId="0" borderId="0" xfId="0" applyFill="1" applyAlignment="1">
      <alignment wrapText="1"/>
    </xf>
    <xf numFmtId="2" fontId="0" fillId="0" borderId="0" xfId="0" applyNumberFormat="1" applyFill="1"/>
    <xf numFmtId="2" fontId="0" fillId="0" borderId="0" xfId="0" applyNumberFormat="1" applyFill="1" applyAlignment="1">
      <alignment horizontal="center" wrapText="1"/>
    </xf>
    <xf numFmtId="0" fontId="0" fillId="0" borderId="0" xfId="0" applyFill="1" applyAlignment="1">
      <alignment horizontal="left" vertical="top"/>
    </xf>
    <xf numFmtId="1" fontId="0" fillId="0" borderId="0" xfId="0" applyNumberFormat="1" applyFill="1" applyAlignment="1">
      <alignment horizontal="left" vertical="top"/>
    </xf>
    <xf numFmtId="2" fontId="0" fillId="0" borderId="0" xfId="0" applyNumberFormat="1" applyFill="1" applyAlignment="1">
      <alignment horizontal="left" vertical="top"/>
    </xf>
    <xf numFmtId="0" fontId="0" fillId="0" borderId="0" xfId="0" applyAlignment="1">
      <alignment horizontal="left" vertical="top"/>
    </xf>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I181"/>
  <sheetViews>
    <sheetView tabSelected="1" topLeftCell="AT1" zoomScale="85" zoomScaleNormal="85" workbookViewId="0">
      <pane ySplit="1" topLeftCell="A60" activePane="bottomLeft" state="frozen"/>
      <selection activeCell="O1" sqref="O1"/>
      <selection pane="bottomLeft" activeCell="BB66" sqref="BB66"/>
    </sheetView>
  </sheetViews>
  <sheetFormatPr defaultRowHeight="15" x14ac:dyDescent="0.25"/>
  <cols>
    <col min="1" max="2" width="17.7109375" style="3" customWidth="1"/>
    <col min="3" max="3" width="16.28515625" style="3" customWidth="1"/>
    <col min="4" max="4" width="10" style="3" customWidth="1"/>
    <col min="5" max="5" width="21.5703125" style="4" customWidth="1"/>
    <col min="6" max="9" width="32.5703125" style="3" customWidth="1"/>
    <col min="10" max="10" width="9.140625" style="3"/>
    <col min="11" max="11" width="25.5703125" style="3" customWidth="1"/>
    <col min="12" max="12" width="25.5703125" style="11" customWidth="1"/>
    <col min="13" max="13" width="28.5703125" style="11" customWidth="1"/>
    <col min="14" max="14" width="34" style="11" customWidth="1"/>
    <col min="15" max="16" width="32" style="11" customWidth="1"/>
    <col min="17" max="17" width="26.85546875" style="11" customWidth="1"/>
    <col min="18" max="18" width="29.85546875" style="11" customWidth="1"/>
    <col min="19" max="19" width="31.7109375" style="11" customWidth="1"/>
    <col min="20" max="20" width="22.5703125" style="11" customWidth="1"/>
    <col min="21" max="21" width="22.28515625" style="11" customWidth="1"/>
    <col min="22" max="22" width="19.28515625" style="11" customWidth="1"/>
    <col min="23" max="23" width="16.7109375" style="11" customWidth="1"/>
    <col min="24" max="24" width="21.7109375" style="11" customWidth="1"/>
    <col min="25" max="25" width="20" style="11" customWidth="1"/>
    <col min="26" max="27" width="21.5703125" style="3" customWidth="1"/>
    <col min="28" max="28" width="25.140625" style="5" customWidth="1"/>
    <col min="29" max="29" width="20.28515625" style="6" customWidth="1"/>
    <col min="30" max="30" width="21.5703125" style="6" customWidth="1"/>
    <col min="31" max="32" width="20.85546875" style="6" customWidth="1"/>
    <col min="33" max="33" width="25.85546875" style="6" customWidth="1"/>
    <col min="34" max="40" width="21.42578125" style="6" customWidth="1"/>
    <col min="41" max="43" width="20.85546875" style="7" customWidth="1"/>
    <col min="44" max="46" width="25.42578125" style="3" customWidth="1"/>
    <col min="47" max="47" width="29.42578125" style="7" customWidth="1"/>
    <col min="48" max="48" width="32.7109375" style="3" customWidth="1"/>
    <col min="49" max="49" width="16.28515625" style="3" customWidth="1"/>
    <col min="50" max="50" width="23.140625" style="3" customWidth="1"/>
    <col min="51" max="51" width="15.5703125" style="5" customWidth="1"/>
    <col min="52" max="56" width="9.140625" style="3"/>
    <col min="57" max="57" width="17" style="3" customWidth="1"/>
    <col min="58" max="58" width="11" style="3" customWidth="1"/>
    <col min="59" max="59" width="16.7109375" style="3" customWidth="1"/>
    <col min="60" max="60" width="13.28515625" style="3" customWidth="1"/>
    <col min="61" max="61" width="24.140625" style="3" customWidth="1"/>
    <col min="62" max="62" width="18" style="3" customWidth="1"/>
    <col min="63" max="16384" width="9.140625" style="3"/>
  </cols>
  <sheetData>
    <row r="1" spans="1:61" x14ac:dyDescent="0.25">
      <c r="A1" s="3" t="s">
        <v>0</v>
      </c>
      <c r="B1" s="3" t="s">
        <v>125</v>
      </c>
      <c r="C1" s="3" t="s">
        <v>1</v>
      </c>
      <c r="D1" s="3" t="s">
        <v>2</v>
      </c>
      <c r="E1" s="4" t="s">
        <v>25</v>
      </c>
      <c r="F1" s="3" t="s">
        <v>126</v>
      </c>
      <c r="G1" s="3" t="s">
        <v>127</v>
      </c>
      <c r="H1" s="3" t="s">
        <v>88</v>
      </c>
      <c r="I1" s="3" t="s">
        <v>251</v>
      </c>
      <c r="J1" s="3" t="s">
        <v>22</v>
      </c>
      <c r="K1" s="3" t="s">
        <v>3</v>
      </c>
      <c r="L1" s="11" t="s">
        <v>95</v>
      </c>
      <c r="M1" s="11" t="s">
        <v>94</v>
      </c>
      <c r="N1" s="11" t="s">
        <v>4</v>
      </c>
      <c r="O1" s="11" t="s">
        <v>118</v>
      </c>
      <c r="P1" s="11" t="s">
        <v>5</v>
      </c>
      <c r="Q1" s="11" t="s">
        <v>6</v>
      </c>
      <c r="R1" s="11" t="s">
        <v>7</v>
      </c>
      <c r="S1" s="11" t="s">
        <v>8</v>
      </c>
      <c r="T1" s="11" t="s">
        <v>9</v>
      </c>
      <c r="U1" s="11" t="s">
        <v>10</v>
      </c>
      <c r="V1" s="11" t="s">
        <v>11</v>
      </c>
      <c r="W1" s="11" t="s">
        <v>12</v>
      </c>
      <c r="X1" s="11" t="s">
        <v>13</v>
      </c>
      <c r="Y1" s="11" t="s">
        <v>14</v>
      </c>
      <c r="Z1" s="3" t="s">
        <v>31</v>
      </c>
      <c r="AA1" s="3" t="s">
        <v>87</v>
      </c>
      <c r="AB1" s="5" t="s">
        <v>30</v>
      </c>
      <c r="AC1" s="6" t="s">
        <v>26</v>
      </c>
      <c r="AD1" s="6" t="s">
        <v>27</v>
      </c>
      <c r="AE1" s="6" t="s">
        <v>28</v>
      </c>
      <c r="AF1" s="6" t="s">
        <v>89</v>
      </c>
      <c r="AG1" s="6" t="s">
        <v>90</v>
      </c>
      <c r="AH1" s="6" t="s">
        <v>185</v>
      </c>
      <c r="AI1" s="6" t="s">
        <v>186</v>
      </c>
      <c r="AJ1" s="6" t="s">
        <v>187</v>
      </c>
      <c r="AK1" s="6" t="s">
        <v>188</v>
      </c>
      <c r="AL1" s="6" t="s">
        <v>189</v>
      </c>
      <c r="AM1" s="6" t="s">
        <v>190</v>
      </c>
      <c r="AN1" s="6" t="s">
        <v>272</v>
      </c>
      <c r="AO1" s="7" t="s">
        <v>47</v>
      </c>
      <c r="AP1" s="7" t="s">
        <v>119</v>
      </c>
      <c r="AQ1" s="7" t="s">
        <v>86</v>
      </c>
      <c r="AR1" s="3" t="s">
        <v>21</v>
      </c>
      <c r="AS1" s="7" t="s">
        <v>92</v>
      </c>
      <c r="AT1" s="7" t="s">
        <v>93</v>
      </c>
      <c r="AU1" s="7" t="s">
        <v>99</v>
      </c>
      <c r="AV1" s="7" t="s">
        <v>100</v>
      </c>
      <c r="AW1" s="3" t="s">
        <v>24</v>
      </c>
      <c r="AX1" s="3" t="s">
        <v>83</v>
      </c>
      <c r="AY1" s="5" t="s">
        <v>106</v>
      </c>
      <c r="AZ1" s="3" t="s">
        <v>101</v>
      </c>
      <c r="BA1" s="3" t="s">
        <v>102</v>
      </c>
      <c r="BB1" s="3" t="s">
        <v>103</v>
      </c>
      <c r="BC1" s="3" t="s">
        <v>104</v>
      </c>
      <c r="BD1" s="3" t="s">
        <v>105</v>
      </c>
      <c r="BE1" s="3" t="s">
        <v>382</v>
      </c>
      <c r="BF1" s="3" t="s">
        <v>383</v>
      </c>
      <c r="BG1" s="3" t="s">
        <v>384</v>
      </c>
      <c r="BH1" s="3" t="s">
        <v>385</v>
      </c>
      <c r="BI1" s="3" t="s">
        <v>386</v>
      </c>
    </row>
    <row r="2" spans="1:61" ht="24.95" customHeight="1" x14ac:dyDescent="0.25">
      <c r="A2" s="3" t="s">
        <v>19</v>
      </c>
      <c r="B2" s="3">
        <v>0</v>
      </c>
      <c r="C2" s="8">
        <v>44219</v>
      </c>
      <c r="D2" s="9">
        <v>0.6875</v>
      </c>
      <c r="E2" s="4">
        <v>50</v>
      </c>
      <c r="F2" s="3">
        <v>5</v>
      </c>
      <c r="G2" s="3">
        <v>6</v>
      </c>
      <c r="H2" s="3">
        <v>30</v>
      </c>
      <c r="I2" s="3">
        <v>1</v>
      </c>
      <c r="J2" s="9">
        <v>0.21875</v>
      </c>
      <c r="K2" s="3">
        <v>144.19999999999999</v>
      </c>
      <c r="L2" s="11">
        <v>0.8</v>
      </c>
      <c r="M2" s="5">
        <f>160+322+80+105+120+81+8.5+57+80+160+100+80</f>
        <v>1353.5</v>
      </c>
      <c r="N2" s="11">
        <v>32</v>
      </c>
      <c r="O2" s="11" t="s">
        <v>20</v>
      </c>
      <c r="P2" s="11">
        <v>11.5</v>
      </c>
      <c r="Q2" s="11">
        <v>11.5</v>
      </c>
      <c r="R2" s="11">
        <v>22.5</v>
      </c>
      <c r="S2" s="11">
        <v>22.5</v>
      </c>
      <c r="T2" s="11">
        <v>20</v>
      </c>
      <c r="U2" s="11">
        <v>22</v>
      </c>
      <c r="V2" s="11">
        <v>18</v>
      </c>
      <c r="W2" s="11">
        <v>18</v>
      </c>
      <c r="X2" s="11">
        <v>12</v>
      </c>
      <c r="Y2" s="11">
        <v>10</v>
      </c>
      <c r="Z2" s="3" t="s">
        <v>96</v>
      </c>
      <c r="AA2" s="10" t="s">
        <v>84</v>
      </c>
      <c r="AB2" s="5">
        <f>100+80+70+12.75+57+105+107+81+240+200+160+310+80+81+200+90</f>
        <v>1973.75</v>
      </c>
      <c r="AC2" s="6">
        <f>1+5+5+6+2+10+3.5+5+1+3.5</f>
        <v>42</v>
      </c>
      <c r="AD2" s="6">
        <f>3.5+1.5+4+7+0.5+3.5+1</f>
        <v>21</v>
      </c>
      <c r="AE2" s="6">
        <f>2+6+6+1+2+12+4+12+16+6+2+4+3</f>
        <v>76</v>
      </c>
      <c r="AF2" s="6">
        <f>21+1+13.5+15+27+28+21+38+42+2+52+44+12+1+21</f>
        <v>338.5</v>
      </c>
      <c r="AG2" s="6">
        <f>2+3+4+4+8+6+2+1+3</f>
        <v>33</v>
      </c>
      <c r="AH2" s="6">
        <f>20+190+70+2+1+3+3+2+660+40+380+1630+190+2+460</f>
        <v>3653</v>
      </c>
      <c r="AI2" s="6">
        <f>$AC2/$AB2</f>
        <v>2.1279290690310322E-2</v>
      </c>
      <c r="AJ2" s="6">
        <f>$AD2/$AB2</f>
        <v>1.0639645345155161E-2</v>
      </c>
      <c r="AK2" s="6">
        <f>$AE2/$AB2</f>
        <v>3.8505383153894873E-2</v>
      </c>
      <c r="AL2" s="6">
        <f>$AF2/$AB2</f>
        <v>0.1715009499683344</v>
      </c>
      <c r="AM2" s="6">
        <f>$AG2/$AB2</f>
        <v>1.6719442685243825E-2</v>
      </c>
      <c r="AN2" s="6">
        <f>$AH2/$AB2</f>
        <v>1.8507916402786573</v>
      </c>
      <c r="AO2" s="7">
        <v>3</v>
      </c>
      <c r="AP2" s="7">
        <v>1</v>
      </c>
      <c r="AQ2" s="7">
        <v>1</v>
      </c>
      <c r="AR2" s="10" t="s">
        <v>73</v>
      </c>
      <c r="AS2" s="10">
        <v>0</v>
      </c>
      <c r="AT2" s="10" t="s">
        <v>98</v>
      </c>
      <c r="AU2" s="7">
        <v>0</v>
      </c>
      <c r="AV2" s="10">
        <f>-10</f>
        <v>-10</v>
      </c>
      <c r="AW2" s="3">
        <v>31</v>
      </c>
      <c r="AX2" s="3">
        <v>1</v>
      </c>
      <c r="AY2" s="5">
        <v>7</v>
      </c>
      <c r="AZ2" s="3">
        <v>1</v>
      </c>
      <c r="BA2" s="3">
        <v>1</v>
      </c>
      <c r="BB2" s="3">
        <v>1</v>
      </c>
      <c r="BC2" s="3">
        <v>1</v>
      </c>
      <c r="BD2" s="3">
        <v>1</v>
      </c>
      <c r="BE2" s="3">
        <v>0</v>
      </c>
      <c r="BF2" s="3">
        <v>0</v>
      </c>
      <c r="BG2" s="3">
        <v>0</v>
      </c>
      <c r="BH2" s="3">
        <v>0</v>
      </c>
      <c r="BI2" s="3">
        <v>0</v>
      </c>
    </row>
    <row r="3" spans="1:61" ht="24.95" customHeight="1" x14ac:dyDescent="0.25">
      <c r="A3" s="3" t="s">
        <v>23</v>
      </c>
      <c r="B3" s="3">
        <v>1</v>
      </c>
      <c r="C3" s="8">
        <v>44220</v>
      </c>
      <c r="D3" s="9">
        <v>0.58333333333333337</v>
      </c>
      <c r="E3" s="4">
        <v>58</v>
      </c>
      <c r="F3" s="3">
        <v>0</v>
      </c>
      <c r="G3" s="3">
        <v>0</v>
      </c>
      <c r="H3" s="3">
        <v>0</v>
      </c>
      <c r="I3" s="3">
        <v>0</v>
      </c>
      <c r="J3" s="9">
        <v>0.86805555555555547</v>
      </c>
      <c r="K3" s="3">
        <v>143.80000000000001</v>
      </c>
      <c r="L3" s="11">
        <f t="shared" ref="L3:L4" si="0">K3-K2</f>
        <v>-0.39999999999997726</v>
      </c>
      <c r="M3" s="5">
        <f>AB2</f>
        <v>1973.75</v>
      </c>
      <c r="N3" s="11">
        <v>32</v>
      </c>
      <c r="O3" s="11" t="s">
        <v>20</v>
      </c>
      <c r="P3" s="11">
        <v>11.5</v>
      </c>
      <c r="Q3" s="11">
        <v>11.5</v>
      </c>
      <c r="R3" s="11">
        <v>22.5</v>
      </c>
      <c r="S3" s="11">
        <v>22.5</v>
      </c>
      <c r="T3" s="11">
        <v>22</v>
      </c>
      <c r="U3" s="11">
        <v>22</v>
      </c>
      <c r="V3" s="11">
        <v>22</v>
      </c>
      <c r="W3" s="11">
        <v>22</v>
      </c>
      <c r="X3" s="11">
        <v>12</v>
      </c>
      <c r="Y3" s="11">
        <v>14</v>
      </c>
      <c r="Z3" s="3" t="s">
        <v>97</v>
      </c>
      <c r="AA3" s="10" t="s">
        <v>85</v>
      </c>
      <c r="AB3" s="5">
        <f>200+90+20+200+38.25+57+107+81+240+200+90+20+200+81+57</f>
        <v>1681.25</v>
      </c>
      <c r="AC3" s="6">
        <f>1+3.5+1.5+9+1.6+1+3.5+1.5+9</f>
        <v>31.6</v>
      </c>
      <c r="AD3" s="6">
        <f>1+1+9+1+1+9</f>
        <v>22</v>
      </c>
      <c r="AE3" s="6">
        <f>4+3+2+12+1+2+4.8+4+3+2+12+2</f>
        <v>51.8</v>
      </c>
      <c r="AF3" s="6">
        <f>44+12+40.5+15+28+21+33+44+12+21+15</f>
        <v>285.5</v>
      </c>
      <c r="AG3" s="6">
        <f>1+3+3+3+4+3.2+1+3+4+3</f>
        <v>28.2</v>
      </c>
      <c r="AH3" s="6">
        <f>460+100+340+6+1+3+2+448+460+100+340+2+1</f>
        <v>2263</v>
      </c>
      <c r="AI3" s="6">
        <f t="shared" ref="AI3:AI66" si="1">$AC3/$AB3</f>
        <v>1.8795539033457251E-2</v>
      </c>
      <c r="AJ3" s="6">
        <f t="shared" ref="AJ3:AJ66" si="2">$AD3/$AB3</f>
        <v>1.3085501858736059E-2</v>
      </c>
      <c r="AK3" s="6">
        <f t="shared" ref="AK3:AK66" si="3">$AE3/$AB3</f>
        <v>3.0810408921933083E-2</v>
      </c>
      <c r="AL3" s="6">
        <f t="shared" ref="AL3:AL66" si="4">$AF3/$AB3</f>
        <v>0.16981412639405205</v>
      </c>
      <c r="AM3" s="6">
        <f t="shared" ref="AM3:AM66" si="5">$AG3/$AB3</f>
        <v>1.6773234200743493E-2</v>
      </c>
      <c r="AN3" s="6">
        <f t="shared" ref="AN3:AN66" si="6">$AH3/$AB3</f>
        <v>1.3460223048327138</v>
      </c>
      <c r="AO3" s="7">
        <v>3</v>
      </c>
      <c r="AP3" s="7">
        <v>1</v>
      </c>
      <c r="AQ3" s="7">
        <v>1</v>
      </c>
      <c r="AR3" s="10">
        <v>0</v>
      </c>
      <c r="AS3" s="10">
        <v>0</v>
      </c>
      <c r="AT3" s="10">
        <v>0</v>
      </c>
      <c r="AU3" s="7">
        <v>0</v>
      </c>
      <c r="AV3" s="10">
        <v>0</v>
      </c>
      <c r="AW3" s="3">
        <v>31</v>
      </c>
      <c r="AX3" s="3">
        <v>1</v>
      </c>
      <c r="AY3" s="5">
        <v>7</v>
      </c>
      <c r="AZ3" s="3">
        <v>1</v>
      </c>
      <c r="BA3" s="3">
        <v>1</v>
      </c>
      <c r="BB3" s="3">
        <v>1</v>
      </c>
      <c r="BC3" s="3">
        <v>1</v>
      </c>
      <c r="BD3" s="3">
        <v>1</v>
      </c>
      <c r="BE3" s="3">
        <v>0</v>
      </c>
      <c r="BF3" s="3">
        <v>0</v>
      </c>
      <c r="BG3" s="3">
        <v>0</v>
      </c>
      <c r="BH3" s="3">
        <v>0</v>
      </c>
      <c r="BI3" s="3">
        <v>0</v>
      </c>
    </row>
    <row r="4" spans="1:61" ht="24.95" customHeight="1" x14ac:dyDescent="0.25">
      <c r="A4" s="3" t="s">
        <v>15</v>
      </c>
      <c r="B4" s="3">
        <v>2</v>
      </c>
      <c r="C4" s="8">
        <v>44221</v>
      </c>
      <c r="D4" s="9">
        <v>0.58333333333333337</v>
      </c>
      <c r="E4" s="4">
        <v>54</v>
      </c>
      <c r="F4" s="3">
        <v>0</v>
      </c>
      <c r="G4" s="3">
        <v>0</v>
      </c>
      <c r="H4" s="3">
        <v>0</v>
      </c>
      <c r="I4" s="3">
        <v>0</v>
      </c>
      <c r="J4" s="9">
        <v>0.58333333333333337</v>
      </c>
      <c r="K4" s="3">
        <v>141.6</v>
      </c>
      <c r="L4" s="11">
        <f t="shared" si="0"/>
        <v>-2.2000000000000171</v>
      </c>
      <c r="M4" s="5">
        <f>AB3</f>
        <v>1681.25</v>
      </c>
      <c r="N4" s="11">
        <v>31.5</v>
      </c>
      <c r="O4" s="11" t="s">
        <v>20</v>
      </c>
      <c r="P4" s="11">
        <v>11.25</v>
      </c>
      <c r="Q4" s="11">
        <v>11.25</v>
      </c>
      <c r="R4" s="11">
        <v>22.5</v>
      </c>
      <c r="S4" s="11">
        <v>22.5</v>
      </c>
      <c r="T4" s="11">
        <v>20</v>
      </c>
      <c r="U4" s="11">
        <v>20</v>
      </c>
      <c r="V4" s="11">
        <v>20</v>
      </c>
      <c r="W4" s="11">
        <v>20</v>
      </c>
      <c r="X4" s="11">
        <v>10</v>
      </c>
      <c r="Y4" s="11">
        <v>10</v>
      </c>
      <c r="Z4" s="3" t="s">
        <v>113</v>
      </c>
      <c r="AA4" s="10" t="s">
        <v>108</v>
      </c>
      <c r="AB4" s="5">
        <f>90+200+20+200+81+75+322+200+100+75+200+290+105.6+322+200+175</f>
        <v>2655.6</v>
      </c>
      <c r="AC4" s="6">
        <f>3.5+1+1.5+9+5+1+9+29+5+12+13+4.62+29+9+11.4</f>
        <v>143.02000000000001</v>
      </c>
      <c r="AD4" s="6">
        <f>1+1+9+4.5+4+9+4.5+6+12+1.32+4+9+0+10.5</f>
        <v>75.819999999999993</v>
      </c>
      <c r="AE4" s="6">
        <f>3+4+2+12+0.75+2+12+4+0.75+7+2+1.32+4+12+2+1.75</f>
        <v>70.569999999999993</v>
      </c>
      <c r="AF4" s="6">
        <f>12+44+1+21+8.25+21+1+17+8.25+39+22+13.86+17+1+24+19.25</f>
        <v>269.61</v>
      </c>
      <c r="AG4" s="6">
        <f>3+1+4+0.75+2+18+0.75+3+2+1.32+18+2+1.75</f>
        <v>57.57</v>
      </c>
      <c r="AH4" s="6">
        <f>460+100+340+2+7.5+20+340+14+7.5+1150+20+14+340+17.5</f>
        <v>2832.5</v>
      </c>
      <c r="AI4" s="6">
        <f t="shared" si="1"/>
        <v>5.3856002410001512E-2</v>
      </c>
      <c r="AJ4" s="6">
        <f t="shared" si="2"/>
        <v>2.8550986594366619E-2</v>
      </c>
      <c r="AK4" s="6">
        <f t="shared" si="3"/>
        <v>2.6574032233770143E-2</v>
      </c>
      <c r="AL4" s="6">
        <f t="shared" si="4"/>
        <v>0.10152507907817443</v>
      </c>
      <c r="AM4" s="6">
        <f t="shared" si="5"/>
        <v>2.1678716674197924E-2</v>
      </c>
      <c r="AN4" s="6">
        <f t="shared" si="6"/>
        <v>1.0666139478837176</v>
      </c>
      <c r="AO4" s="7">
        <v>3</v>
      </c>
      <c r="AP4" s="7">
        <v>2</v>
      </c>
      <c r="AQ4" s="7">
        <v>1</v>
      </c>
      <c r="AR4" s="10">
        <v>0</v>
      </c>
      <c r="AS4" s="10">
        <v>0</v>
      </c>
      <c r="AT4" s="10">
        <v>0</v>
      </c>
      <c r="AU4" s="7">
        <v>0</v>
      </c>
      <c r="AV4" s="3">
        <v>0</v>
      </c>
      <c r="AW4" s="3">
        <v>31</v>
      </c>
      <c r="AX4" s="3">
        <v>1</v>
      </c>
      <c r="AY4" s="5">
        <v>7</v>
      </c>
      <c r="AZ4" s="3">
        <v>0</v>
      </c>
      <c r="BA4" s="3">
        <v>1</v>
      </c>
      <c r="BB4" s="3">
        <v>0</v>
      </c>
      <c r="BC4" s="3">
        <v>1</v>
      </c>
      <c r="BD4" s="3">
        <v>1</v>
      </c>
      <c r="BE4" s="3">
        <v>0</v>
      </c>
      <c r="BF4" s="3">
        <v>0</v>
      </c>
      <c r="BG4" s="3">
        <v>0</v>
      </c>
      <c r="BH4" s="3">
        <v>0</v>
      </c>
      <c r="BI4" s="3">
        <v>0</v>
      </c>
    </row>
    <row r="5" spans="1:61" ht="24.95" customHeight="1" x14ac:dyDescent="0.25">
      <c r="A5" s="3" t="s">
        <v>16</v>
      </c>
      <c r="B5" s="3">
        <v>3</v>
      </c>
      <c r="C5" s="8">
        <v>44222</v>
      </c>
      <c r="D5" s="9">
        <v>0.59375</v>
      </c>
      <c r="E5" s="4">
        <v>57</v>
      </c>
      <c r="F5" s="3">
        <v>12</v>
      </c>
      <c r="G5" s="3">
        <v>3</v>
      </c>
      <c r="H5" s="3">
        <v>36</v>
      </c>
      <c r="I5" s="3">
        <v>1</v>
      </c>
      <c r="J5" s="3" t="s">
        <v>20</v>
      </c>
      <c r="K5" s="3" t="s">
        <v>20</v>
      </c>
      <c r="L5" s="11" t="s">
        <v>20</v>
      </c>
      <c r="M5" s="5">
        <f t="shared" ref="M5:M23" si="7">AB4</f>
        <v>2655.6</v>
      </c>
      <c r="N5" s="11" t="s">
        <v>20</v>
      </c>
      <c r="O5" s="11" t="s">
        <v>20</v>
      </c>
      <c r="P5" s="11" t="s">
        <v>20</v>
      </c>
      <c r="Q5" s="11" t="s">
        <v>20</v>
      </c>
      <c r="R5" s="11" t="s">
        <v>20</v>
      </c>
      <c r="S5" s="11" t="s">
        <v>20</v>
      </c>
      <c r="T5" s="11" t="s">
        <v>20</v>
      </c>
      <c r="U5" s="11" t="s">
        <v>20</v>
      </c>
      <c r="V5" s="11" t="s">
        <v>20</v>
      </c>
      <c r="W5" s="11" t="s">
        <v>20</v>
      </c>
      <c r="X5" s="11" t="s">
        <v>20</v>
      </c>
      <c r="Y5" s="11" t="s">
        <v>20</v>
      </c>
      <c r="Z5" s="3" t="s">
        <v>117</v>
      </c>
      <c r="AA5" s="10" t="s">
        <v>121</v>
      </c>
      <c r="AB5" s="5">
        <f>200+150+60+161+330+260+31+37+40+161+20+81+330+260+31+37+40+20+100+92+57+140</f>
        <v>2638</v>
      </c>
      <c r="AC5" s="6">
        <f>2+6.75+1+14.5+2.5+18+0.34+14.5+1.5+2.5+18+0.34+1.5+4.5+10</f>
        <v>97.93</v>
      </c>
      <c r="AD5" s="6">
        <f>0+6.75+0+2+0.5+5+0.04+0+0+2+1+0+0.5+5+0.04+0+0+1+4.5+0+0+3</f>
        <v>31.33</v>
      </c>
      <c r="AE5" s="6">
        <f>4+9+2+2+23+20+3+1+1+2+2+2+23+20+3+1+1+2+6+2+0+12</f>
        <v>141</v>
      </c>
      <c r="AF5" s="6">
        <f>42+0.75+12+8.5+61+5+6+7+10+8.5+0+21+61+5+6+7+10+0+0.5+24+15+0</f>
        <v>310.25</v>
      </c>
      <c r="AG5" s="6">
        <f>4+0+2+6.5+11+2+2+2+3+6.5+0+4+11+2+2+2+3+0+0+2+3+0</f>
        <v>68</v>
      </c>
      <c r="AH5" s="6">
        <f>40+255+420+7+0+350+30.03+5+0+7+100+2+0+350+30.03+5+0+100+170+0+1+140</f>
        <v>2012.06</v>
      </c>
      <c r="AI5" s="6">
        <f t="shared" si="1"/>
        <v>3.7122820318423053E-2</v>
      </c>
      <c r="AJ5" s="6">
        <f t="shared" si="2"/>
        <v>1.1876421531463229E-2</v>
      </c>
      <c r="AK5" s="6">
        <f t="shared" si="3"/>
        <v>5.3449583017437449E-2</v>
      </c>
      <c r="AL5" s="6">
        <f t="shared" si="4"/>
        <v>0.11760803639120546</v>
      </c>
      <c r="AM5" s="6">
        <f t="shared" si="5"/>
        <v>2.5777103866565579E-2</v>
      </c>
      <c r="AN5" s="6">
        <f t="shared" si="6"/>
        <v>0.76272175890826377</v>
      </c>
      <c r="AO5" s="7">
        <v>3</v>
      </c>
      <c r="AP5" s="7">
        <v>1</v>
      </c>
      <c r="AQ5" s="7">
        <v>1</v>
      </c>
      <c r="AR5" s="10" t="s">
        <v>114</v>
      </c>
      <c r="AS5" s="10">
        <v>0</v>
      </c>
      <c r="AT5" s="10">
        <v>0</v>
      </c>
      <c r="AU5" s="7">
        <v>0</v>
      </c>
      <c r="AV5" s="10">
        <v>0</v>
      </c>
      <c r="AW5" s="3">
        <v>31</v>
      </c>
      <c r="AX5" s="3">
        <v>1</v>
      </c>
      <c r="AY5" s="5">
        <v>8.5</v>
      </c>
      <c r="AZ5" s="3">
        <v>1</v>
      </c>
      <c r="BA5" s="3">
        <v>1</v>
      </c>
      <c r="BB5" s="3">
        <v>1</v>
      </c>
      <c r="BC5" s="3">
        <v>1</v>
      </c>
      <c r="BD5" s="3">
        <v>1</v>
      </c>
      <c r="BE5" s="3">
        <v>0</v>
      </c>
      <c r="BF5" s="3">
        <v>0</v>
      </c>
      <c r="BG5" s="3">
        <v>0</v>
      </c>
      <c r="BH5" s="3">
        <v>0</v>
      </c>
      <c r="BI5" s="3">
        <v>0</v>
      </c>
    </row>
    <row r="6" spans="1:61" ht="20.100000000000001" customHeight="1" x14ac:dyDescent="0.25">
      <c r="A6" s="3" t="s">
        <v>17</v>
      </c>
      <c r="B6" s="3">
        <v>4</v>
      </c>
      <c r="C6" s="8">
        <v>44223</v>
      </c>
      <c r="D6" s="9">
        <v>0.6875</v>
      </c>
      <c r="E6" s="4">
        <v>52</v>
      </c>
      <c r="F6" s="3">
        <v>0</v>
      </c>
      <c r="G6" s="3">
        <v>0</v>
      </c>
      <c r="H6" s="3">
        <v>0</v>
      </c>
      <c r="I6" s="3">
        <v>0</v>
      </c>
      <c r="J6" s="9">
        <v>0.6875</v>
      </c>
      <c r="K6" s="3">
        <v>142.4</v>
      </c>
      <c r="L6" s="11" t="s">
        <v>20</v>
      </c>
      <c r="M6" s="5">
        <f t="shared" si="7"/>
        <v>2638</v>
      </c>
      <c r="N6" s="11">
        <v>31</v>
      </c>
      <c r="O6" s="11">
        <v>33</v>
      </c>
      <c r="P6" s="11">
        <v>11.75</v>
      </c>
      <c r="Q6" s="11">
        <v>11.5</v>
      </c>
      <c r="R6" s="11">
        <v>22.5</v>
      </c>
      <c r="S6" s="11">
        <v>22.5</v>
      </c>
      <c r="T6" s="11">
        <v>20</v>
      </c>
      <c r="U6" s="11">
        <v>20</v>
      </c>
      <c r="V6" s="11">
        <v>20</v>
      </c>
      <c r="W6" s="11">
        <v>20</v>
      </c>
      <c r="X6" s="11">
        <v>10</v>
      </c>
      <c r="Y6" s="11">
        <v>10</v>
      </c>
      <c r="Z6" s="3" t="s">
        <v>128</v>
      </c>
      <c r="AA6" s="10" t="s">
        <v>129</v>
      </c>
      <c r="AB6" s="3">
        <f>330+260+60+31+37+40+20+160+208+57+200+160+180+322+81+330+260+60+31+37+40+20+160+150+60+200+615+200+160+120</f>
        <v>4589</v>
      </c>
      <c r="AC6" s="3">
        <f>2.5+18+1+0.34+0+0+1.5+10+0+0+2+10+4.5+29+0+2.5+18+1+0.34+0+0+1.5+10+10+5+0+0+2+10+3</f>
        <v>142.18</v>
      </c>
      <c r="AD6" s="3">
        <f>0.5+5+0+0.04+0+0+1+7+0+0+0+7+3+4+0+0.5+5+0+0.04+0+0+1+7+1.5+3.5+0+0+0+7+2</f>
        <v>55.08</v>
      </c>
      <c r="AE6" s="3">
        <f>23+20+2+3+1+1+2+12+2+0+4+12+9+4+2+23+20+2+3+1+1+2+12+1+1+0+0+4+12+6</f>
        <v>185</v>
      </c>
      <c r="AF6" s="3">
        <f>61+5+12+6+7+10+0+2+54+15+42+2+28.5+17+21+61+5+12+6+7+10+0+2+15+2+50+20+42+2+19</f>
        <v>535.5</v>
      </c>
      <c r="AG6" s="3">
        <f>11+2+2+2+2+3+0+0+2+3+4+0+3+18+4+11+2+2+2+2+3+0+0+1+0+4+0+4+0+2</f>
        <v>89</v>
      </c>
      <c r="AH6" s="3">
        <f>0+350+420+30.03+5+0+100+380+6+1+40+380+495+14+2+0+350+420+30.03+5+0+100+380+140+15+0+30+40+380+330</f>
        <v>4443.0599999999995</v>
      </c>
      <c r="AI6" s="6">
        <f t="shared" si="1"/>
        <v>3.0982784920461977E-2</v>
      </c>
      <c r="AJ6" s="6">
        <f t="shared" si="2"/>
        <v>1.2002614948790586E-2</v>
      </c>
      <c r="AK6" s="6">
        <f t="shared" si="3"/>
        <v>4.0313793854870342E-2</v>
      </c>
      <c r="AL6" s="6">
        <f t="shared" si="4"/>
        <v>0.11669208977990847</v>
      </c>
      <c r="AM6" s="6">
        <f t="shared" si="5"/>
        <v>1.9394203530180867E-2</v>
      </c>
      <c r="AN6" s="6">
        <f t="shared" si="6"/>
        <v>0.96819786445848754</v>
      </c>
      <c r="AO6" s="7">
        <v>3</v>
      </c>
      <c r="AP6" s="7">
        <v>3</v>
      </c>
      <c r="AQ6" s="7">
        <v>1</v>
      </c>
      <c r="AR6" s="10">
        <v>0</v>
      </c>
      <c r="AS6" s="10">
        <v>0</v>
      </c>
      <c r="AT6" s="10">
        <v>0</v>
      </c>
      <c r="AU6" s="7">
        <v>0</v>
      </c>
      <c r="AV6" s="3">
        <v>0</v>
      </c>
      <c r="AW6" s="3">
        <v>31</v>
      </c>
      <c r="AX6" s="3">
        <v>1</v>
      </c>
      <c r="AY6" s="5">
        <v>7</v>
      </c>
      <c r="AZ6" s="3">
        <v>1</v>
      </c>
      <c r="BA6" s="3">
        <v>0</v>
      </c>
      <c r="BB6" s="3">
        <v>1</v>
      </c>
      <c r="BC6" s="3">
        <v>1</v>
      </c>
      <c r="BD6" s="3">
        <v>1</v>
      </c>
      <c r="BE6" s="3">
        <v>0</v>
      </c>
      <c r="BF6" s="3">
        <v>0</v>
      </c>
      <c r="BG6" s="3">
        <v>0</v>
      </c>
      <c r="BH6" s="3">
        <v>0</v>
      </c>
      <c r="BI6" s="3">
        <v>0</v>
      </c>
    </row>
    <row r="7" spans="1:61" ht="20.100000000000001" customHeight="1" x14ac:dyDescent="0.25">
      <c r="A7" s="3" t="s">
        <v>18</v>
      </c>
      <c r="B7" s="3">
        <v>5</v>
      </c>
      <c r="C7" s="8">
        <v>44224</v>
      </c>
      <c r="D7" s="9">
        <v>0.39583333333333331</v>
      </c>
      <c r="E7" s="4">
        <v>54</v>
      </c>
      <c r="F7" s="3">
        <v>9</v>
      </c>
      <c r="G7" s="3">
        <v>5</v>
      </c>
      <c r="H7" s="3">
        <v>45</v>
      </c>
      <c r="I7" s="3">
        <v>1</v>
      </c>
      <c r="J7" s="9">
        <v>0.21875</v>
      </c>
      <c r="K7" s="3">
        <v>140.6</v>
      </c>
      <c r="L7" s="11">
        <f>K7-K6</f>
        <v>-1.8000000000000114</v>
      </c>
      <c r="M7" s="5">
        <f t="shared" si="7"/>
        <v>4589</v>
      </c>
      <c r="N7" s="11">
        <v>32.5</v>
      </c>
      <c r="O7" s="11">
        <v>33.5</v>
      </c>
      <c r="P7" s="11">
        <v>11.5</v>
      </c>
      <c r="Q7" s="11">
        <v>11.5</v>
      </c>
      <c r="R7" s="11">
        <v>23</v>
      </c>
      <c r="S7" s="11">
        <v>23</v>
      </c>
      <c r="T7" s="11">
        <v>22</v>
      </c>
      <c r="U7" s="11">
        <v>22</v>
      </c>
      <c r="V7" s="11">
        <v>20</v>
      </c>
      <c r="W7" s="11">
        <v>20</v>
      </c>
      <c r="X7" s="11">
        <v>10</v>
      </c>
      <c r="Y7" s="11">
        <v>10</v>
      </c>
      <c r="Z7" s="3" t="s">
        <v>132</v>
      </c>
      <c r="AA7" s="10" t="s">
        <v>133</v>
      </c>
      <c r="AB7" s="3">
        <f>330+260+60+31+37+40+20+200+160+140+322+200+270+300+81+920+100+80+120</f>
        <v>3671</v>
      </c>
      <c r="AC7" s="3">
        <f>2.5+18+1+0.34+0+0+1.5+2+10+10+29+0+7+2+0+0+1+5+3</f>
        <v>92.34</v>
      </c>
      <c r="AD7" s="3">
        <f>0.5+5+0+3+0+0+1+0+7+3+4+0+1+0+0+2+0+3.5+2</f>
        <v>32</v>
      </c>
      <c r="AE7" s="3">
        <f>23+20+2+3+1+1+2+4+12+12+4+0+6+6+2+24+2+6+6</f>
        <v>136</v>
      </c>
      <c r="AF7" s="3">
        <f>61+5+12+6+7+10+0+42+2+0+17+50+46+66+21+24+21+1+19</f>
        <v>410</v>
      </c>
      <c r="AG7" s="3">
        <f>11+2+2+2+2+3+0+4+0+0+18+4+3+4+4+2+2+0+2</f>
        <v>65</v>
      </c>
      <c r="AH7" s="3">
        <f>0+350+420+30.03+5+0+100+40+380+140+14+0+55+560+2+0+20+190+330</f>
        <v>2636.0299999999997</v>
      </c>
      <c r="AI7" s="6">
        <f t="shared" si="1"/>
        <v>2.5153909016616727E-2</v>
      </c>
      <c r="AJ7" s="6">
        <f t="shared" si="2"/>
        <v>8.7169708526287117E-3</v>
      </c>
      <c r="AK7" s="6">
        <f t="shared" si="3"/>
        <v>3.7047126123672024E-2</v>
      </c>
      <c r="AL7" s="6">
        <f t="shared" si="4"/>
        <v>0.11168618904930537</v>
      </c>
      <c r="AM7" s="6">
        <f t="shared" si="5"/>
        <v>1.770634704440207E-2</v>
      </c>
      <c r="AN7" s="6">
        <f t="shared" si="6"/>
        <v>0.7180686461454644</v>
      </c>
      <c r="AO7" s="7">
        <v>3</v>
      </c>
      <c r="AP7" s="7">
        <v>1</v>
      </c>
      <c r="AQ7" s="7">
        <v>1</v>
      </c>
      <c r="AR7" s="10" t="s">
        <v>130</v>
      </c>
      <c r="AS7" s="3" t="s">
        <v>131</v>
      </c>
      <c r="AU7" s="7">
        <f>5+10+10</f>
        <v>25</v>
      </c>
      <c r="AV7" s="10">
        <v>0</v>
      </c>
      <c r="AW7" s="3">
        <v>31</v>
      </c>
      <c r="AX7" s="3">
        <v>1</v>
      </c>
      <c r="AY7" s="5">
        <v>6</v>
      </c>
      <c r="AZ7" s="3">
        <v>1</v>
      </c>
      <c r="BA7" s="3">
        <v>1</v>
      </c>
      <c r="BB7" s="3">
        <v>1</v>
      </c>
      <c r="BC7" s="3">
        <v>1</v>
      </c>
      <c r="BD7" s="3">
        <v>1</v>
      </c>
      <c r="BE7" s="3">
        <v>0</v>
      </c>
      <c r="BF7" s="3">
        <v>1</v>
      </c>
      <c r="BG7" s="3">
        <v>120</v>
      </c>
      <c r="BH7" s="3">
        <v>0</v>
      </c>
      <c r="BI7" s="3">
        <v>0</v>
      </c>
    </row>
    <row r="8" spans="1:61" ht="20.100000000000001" customHeight="1" x14ac:dyDescent="0.25">
      <c r="A8" s="3" t="s">
        <v>138</v>
      </c>
      <c r="B8" s="3">
        <v>6</v>
      </c>
      <c r="C8" s="8">
        <v>44225</v>
      </c>
      <c r="D8" s="9">
        <v>0.58333333333333337</v>
      </c>
      <c r="E8" s="4">
        <v>50</v>
      </c>
      <c r="F8" s="3">
        <v>0</v>
      </c>
      <c r="G8" s="3">
        <v>0</v>
      </c>
      <c r="H8" s="3">
        <v>0</v>
      </c>
      <c r="I8" s="3">
        <v>0</v>
      </c>
      <c r="J8" s="9">
        <v>0.29166666666666669</v>
      </c>
      <c r="K8" s="3">
        <v>141.4</v>
      </c>
      <c r="L8" s="11">
        <f>K8-K7</f>
        <v>0.80000000000001137</v>
      </c>
      <c r="M8" s="5">
        <f t="shared" si="7"/>
        <v>3671</v>
      </c>
      <c r="N8" s="11">
        <v>31.5</v>
      </c>
      <c r="O8" s="11">
        <v>33</v>
      </c>
      <c r="P8" s="11">
        <v>11.25</v>
      </c>
      <c r="Q8" s="11">
        <v>11.25</v>
      </c>
      <c r="R8" s="11">
        <v>21.75</v>
      </c>
      <c r="S8" s="11">
        <v>21.75</v>
      </c>
      <c r="T8" s="11">
        <v>20</v>
      </c>
      <c r="U8" s="11">
        <v>20</v>
      </c>
      <c r="V8" s="11">
        <v>20</v>
      </c>
      <c r="W8" s="11">
        <v>20</v>
      </c>
      <c r="X8" s="11">
        <v>14</v>
      </c>
      <c r="Y8" s="11">
        <v>14</v>
      </c>
      <c r="Z8" s="3" t="s">
        <v>147</v>
      </c>
      <c r="AA8" s="10" t="s">
        <v>145</v>
      </c>
      <c r="AB8" s="3">
        <f>140+322+200+160+162+92+150+240+42+100+22.1+190+200+5+75</f>
        <v>2100.1</v>
      </c>
      <c r="AC8" s="3">
        <f>10+29+2+10+0+0+1+6+0.4+8+0.2+18+0+0+0.5</f>
        <v>85.100000000000009</v>
      </c>
      <c r="AD8" s="3">
        <f>3+4+0+7+0+0+0+4+0+5+0+1.5+0+0+0</f>
        <v>24.5</v>
      </c>
      <c r="AE8" s="3">
        <f>12+4+4+12+4+2+3+12+1+7+1.1+4+0+0+1.5</f>
        <v>67.599999999999994</v>
      </c>
      <c r="AF8" s="3">
        <f>0+17+42+2+42+24+32+38+10+0+4.8+4+50+1+16</f>
        <v>282.8</v>
      </c>
      <c r="AG8" s="3">
        <f>0+18+4+0+8+2+2+4+2.2+0+1.5+2+4+0+1</f>
        <v>48.7</v>
      </c>
      <c r="AH8" s="3">
        <f>140+14+40+380+4+0+280+660+412+170+6.2+0+0+0+140</f>
        <v>2246.1999999999998</v>
      </c>
      <c r="AI8" s="6">
        <f t="shared" si="1"/>
        <v>4.0521879910480459E-2</v>
      </c>
      <c r="AJ8" s="6">
        <f t="shared" si="2"/>
        <v>1.1666111137564878E-2</v>
      </c>
      <c r="AK8" s="6">
        <f t="shared" si="3"/>
        <v>3.2188943383648395E-2</v>
      </c>
      <c r="AL8" s="6">
        <f t="shared" si="4"/>
        <v>0.13466025427360603</v>
      </c>
      <c r="AM8" s="6">
        <f t="shared" si="5"/>
        <v>2.3189371934669779E-2</v>
      </c>
      <c r="AN8" s="6">
        <f t="shared" si="6"/>
        <v>1.0695681158040093</v>
      </c>
      <c r="AO8" s="7">
        <v>3</v>
      </c>
      <c r="AP8" s="7">
        <v>1</v>
      </c>
      <c r="AQ8" s="7">
        <v>0</v>
      </c>
      <c r="AR8" s="10">
        <v>0</v>
      </c>
      <c r="AS8" s="10">
        <v>0</v>
      </c>
      <c r="AT8" s="10">
        <v>0</v>
      </c>
      <c r="AU8" s="7">
        <v>0</v>
      </c>
      <c r="AV8" s="3">
        <v>0</v>
      </c>
      <c r="AW8" s="3">
        <v>31</v>
      </c>
      <c r="AX8" s="3">
        <v>1</v>
      </c>
      <c r="AY8" s="5">
        <v>6.5</v>
      </c>
      <c r="AZ8" s="3">
        <v>1</v>
      </c>
      <c r="BA8" s="3">
        <v>1</v>
      </c>
      <c r="BB8" s="3">
        <v>1</v>
      </c>
      <c r="BC8" s="3">
        <v>1</v>
      </c>
      <c r="BD8" s="3">
        <v>1</v>
      </c>
      <c r="BE8" s="3">
        <v>0</v>
      </c>
      <c r="BF8" s="3">
        <v>0</v>
      </c>
      <c r="BG8" s="3">
        <v>0</v>
      </c>
      <c r="BH8" s="3">
        <v>0</v>
      </c>
      <c r="BI8" s="3">
        <v>0</v>
      </c>
    </row>
    <row r="9" spans="1:61" ht="20.100000000000001" customHeight="1" x14ac:dyDescent="0.25">
      <c r="A9" s="3" t="s">
        <v>19</v>
      </c>
      <c r="B9" s="3">
        <v>7</v>
      </c>
      <c r="C9" s="8">
        <v>44226</v>
      </c>
      <c r="D9" s="9">
        <v>0.29166666666666669</v>
      </c>
      <c r="E9" s="4">
        <v>40</v>
      </c>
      <c r="F9" s="3">
        <v>12</v>
      </c>
      <c r="G9" s="3">
        <v>3</v>
      </c>
      <c r="H9" s="3">
        <v>36</v>
      </c>
      <c r="I9" s="3">
        <v>1</v>
      </c>
      <c r="J9" s="9">
        <v>0.29166666666666669</v>
      </c>
      <c r="K9" s="3">
        <v>141.4</v>
      </c>
      <c r="L9" s="11">
        <f t="shared" ref="L9:L23" si="8">K9-K8</f>
        <v>0</v>
      </c>
      <c r="M9" s="5">
        <f t="shared" si="7"/>
        <v>2100.1</v>
      </c>
      <c r="N9" s="5">
        <v>32.5</v>
      </c>
      <c r="O9" s="11">
        <v>33.5</v>
      </c>
      <c r="P9" s="11">
        <v>11.25</v>
      </c>
      <c r="Q9" s="11" t="s">
        <v>141</v>
      </c>
      <c r="R9" s="11">
        <v>22.5</v>
      </c>
      <c r="S9" s="11">
        <v>22.5</v>
      </c>
      <c r="T9" s="11">
        <v>20</v>
      </c>
      <c r="U9" s="11">
        <v>20</v>
      </c>
      <c r="V9" s="11">
        <v>20</v>
      </c>
      <c r="W9" s="11">
        <v>20</v>
      </c>
      <c r="X9" s="11">
        <v>12</v>
      </c>
      <c r="Y9" s="11">
        <v>10</v>
      </c>
      <c r="Z9" s="3" t="s">
        <v>146</v>
      </c>
      <c r="AA9" s="10" t="s">
        <v>142</v>
      </c>
      <c r="AB9" s="3">
        <f>42+100+22.1+190+150+200+260+60+42+100+22.1+190+20</f>
        <v>1398.1999999999998</v>
      </c>
      <c r="AC9" s="3">
        <f>0.4+8+0.2+18+1+1+18+1+0.4+8+0.2+18+1.5</f>
        <v>75.7</v>
      </c>
      <c r="AD9" s="3">
        <f>0+5+0+1.5+0+0+0+5+0+0+5+0+1.5+1</f>
        <v>19</v>
      </c>
      <c r="AE9" s="3">
        <f>1+7+1.1+4+3+4+20+2+1+7+1.1+4+2</f>
        <v>57.2</v>
      </c>
      <c r="AF9" s="3">
        <f>10+0+4.8+4+33+44+5+12+10+0+4.8+4+0</f>
        <v>131.6</v>
      </c>
      <c r="AG9" s="3">
        <f>2.2+0+1.5+2+2+1+2+2+2.2+0+1.5+2+0</f>
        <v>18.399999999999999</v>
      </c>
      <c r="AH9" s="3">
        <f>412+170+6.2+0+280+0+350+420+412+170+6.2+0+100</f>
        <v>2326.3999999999996</v>
      </c>
      <c r="AI9" s="6">
        <f t="shared" si="1"/>
        <v>5.4141038478043205E-2</v>
      </c>
      <c r="AJ9" s="6">
        <f t="shared" si="2"/>
        <v>1.3588900014304107E-2</v>
      </c>
      <c r="AK9" s="6">
        <f t="shared" si="3"/>
        <v>4.0909741095694473E-2</v>
      </c>
      <c r="AL9" s="6">
        <f t="shared" si="4"/>
        <v>9.4121012730653708E-2</v>
      </c>
      <c r="AM9" s="6">
        <f t="shared" si="5"/>
        <v>1.315977685595766E-2</v>
      </c>
      <c r="AN9" s="6">
        <f t="shared" si="6"/>
        <v>1.6638535259619511</v>
      </c>
      <c r="AO9" s="7">
        <v>3</v>
      </c>
      <c r="AP9" s="7">
        <v>3</v>
      </c>
      <c r="AQ9" s="7">
        <v>0</v>
      </c>
      <c r="AR9" s="10" t="s">
        <v>140</v>
      </c>
      <c r="AS9" s="3" t="s">
        <v>139</v>
      </c>
      <c r="AT9" s="10">
        <v>0</v>
      </c>
      <c r="AU9" s="7">
        <v>0</v>
      </c>
      <c r="AV9" s="10">
        <v>0</v>
      </c>
      <c r="AW9" s="3">
        <v>31</v>
      </c>
      <c r="AX9" s="3">
        <v>1</v>
      </c>
      <c r="AY9" s="5">
        <v>7.5</v>
      </c>
      <c r="AZ9" s="3">
        <v>1</v>
      </c>
      <c r="BA9" s="3">
        <v>1</v>
      </c>
      <c r="BB9" s="3">
        <v>1</v>
      </c>
      <c r="BC9" s="3">
        <v>1</v>
      </c>
      <c r="BD9" s="3">
        <v>1</v>
      </c>
      <c r="BE9" s="3">
        <v>0</v>
      </c>
      <c r="BF9" s="3">
        <v>1</v>
      </c>
      <c r="BG9" s="3">
        <v>30</v>
      </c>
      <c r="BH9" s="3">
        <v>0</v>
      </c>
      <c r="BI9" s="3">
        <v>0</v>
      </c>
    </row>
    <row r="10" spans="1:61" ht="20.100000000000001" customHeight="1" x14ac:dyDescent="0.25">
      <c r="A10" s="3" t="s">
        <v>19</v>
      </c>
      <c r="B10" s="3">
        <v>7</v>
      </c>
      <c r="C10" s="8">
        <v>44226</v>
      </c>
      <c r="D10" s="9">
        <v>0.83333333333333337</v>
      </c>
      <c r="E10" s="4">
        <v>53</v>
      </c>
      <c r="F10" s="3">
        <v>12</v>
      </c>
      <c r="G10" s="3">
        <v>3</v>
      </c>
      <c r="H10" s="3">
        <v>36</v>
      </c>
      <c r="I10" s="3">
        <v>1</v>
      </c>
      <c r="J10" s="9">
        <v>0.83333333333333337</v>
      </c>
      <c r="K10" s="3">
        <v>144</v>
      </c>
      <c r="L10" s="11">
        <f t="shared" si="8"/>
        <v>2.5999999999999943</v>
      </c>
      <c r="M10" s="5">
        <f t="shared" si="7"/>
        <v>1398.1999999999998</v>
      </c>
      <c r="N10" s="5">
        <v>31</v>
      </c>
      <c r="O10" s="11">
        <v>33.5</v>
      </c>
      <c r="P10" s="11">
        <v>11.25</v>
      </c>
      <c r="Q10" s="11" t="s">
        <v>141</v>
      </c>
      <c r="R10" s="11">
        <v>22.5</v>
      </c>
      <c r="S10" s="11">
        <v>22.5</v>
      </c>
      <c r="T10" s="11">
        <v>20</v>
      </c>
      <c r="U10" s="11">
        <v>20</v>
      </c>
      <c r="V10" s="11">
        <v>20</v>
      </c>
      <c r="W10" s="11">
        <v>20</v>
      </c>
      <c r="X10" s="11">
        <v>12</v>
      </c>
      <c r="Y10" s="11">
        <v>10</v>
      </c>
      <c r="Z10" s="3" t="s">
        <v>146</v>
      </c>
      <c r="AA10" s="10" t="s">
        <v>142</v>
      </c>
      <c r="AB10" s="3">
        <f>42+100+22.1+190+150+200+260+60+42+100+22.1+190+20</f>
        <v>1398.1999999999998</v>
      </c>
      <c r="AC10" s="3">
        <f>0.4+8+0.2+18+1+1+18+1+0.4+8+0.2+18+1.5</f>
        <v>75.7</v>
      </c>
      <c r="AD10" s="3">
        <f>0+5+0+1.5+0+0+0+5+0+0+5+0+1.5+1</f>
        <v>19</v>
      </c>
      <c r="AE10" s="3">
        <f>1+7+1.1+4+3+4+20+2+1+7+1.1+4+2</f>
        <v>57.2</v>
      </c>
      <c r="AF10" s="3">
        <f>10+0+4.8+4+33+44+5+12+10+0+4.8+4+0</f>
        <v>131.6</v>
      </c>
      <c r="AG10" s="3">
        <f>2.2+0+1.5+2+2+1+2+2+2.2+0+1.5+2+0</f>
        <v>18.399999999999999</v>
      </c>
      <c r="AH10" s="3">
        <f>412+170+6.2+0+280+0+350+420+412+170+6.2+0+100</f>
        <v>2326.3999999999996</v>
      </c>
      <c r="AI10" s="6">
        <f t="shared" si="1"/>
        <v>5.4141038478043205E-2</v>
      </c>
      <c r="AJ10" s="6">
        <f t="shared" si="2"/>
        <v>1.3588900014304107E-2</v>
      </c>
      <c r="AK10" s="6">
        <f t="shared" si="3"/>
        <v>4.0909741095694473E-2</v>
      </c>
      <c r="AL10" s="6">
        <f t="shared" si="4"/>
        <v>9.4121012730653708E-2</v>
      </c>
      <c r="AM10" s="6">
        <f t="shared" si="5"/>
        <v>1.315977685595766E-2</v>
      </c>
      <c r="AN10" s="6">
        <f t="shared" si="6"/>
        <v>1.6638535259619511</v>
      </c>
      <c r="AO10" s="7">
        <v>3</v>
      </c>
      <c r="AP10" s="7">
        <v>3</v>
      </c>
      <c r="AQ10" s="7">
        <v>0</v>
      </c>
      <c r="AR10" s="10" t="s">
        <v>140</v>
      </c>
      <c r="AS10" s="3" t="s">
        <v>139</v>
      </c>
      <c r="AT10" s="10">
        <v>0</v>
      </c>
      <c r="AU10" s="7">
        <v>0</v>
      </c>
      <c r="AV10" s="3">
        <v>0</v>
      </c>
      <c r="AW10" s="3">
        <v>31</v>
      </c>
      <c r="AX10" s="3">
        <v>1</v>
      </c>
      <c r="AY10" s="5">
        <v>7.5</v>
      </c>
      <c r="AZ10" s="3">
        <v>1</v>
      </c>
      <c r="BA10" s="3">
        <v>1</v>
      </c>
      <c r="BB10" s="3">
        <v>1</v>
      </c>
      <c r="BC10" s="3">
        <v>1</v>
      </c>
      <c r="BD10" s="3">
        <v>1</v>
      </c>
      <c r="BE10" s="3">
        <v>0</v>
      </c>
      <c r="BF10" s="3">
        <v>0</v>
      </c>
      <c r="BG10" s="3">
        <v>0</v>
      </c>
      <c r="BH10" s="3">
        <v>0</v>
      </c>
      <c r="BI10" s="3">
        <v>0</v>
      </c>
    </row>
    <row r="11" spans="1:61" ht="20.100000000000001" customHeight="1" x14ac:dyDescent="0.25">
      <c r="A11" s="3" t="s">
        <v>23</v>
      </c>
      <c r="B11" s="3">
        <v>8</v>
      </c>
      <c r="C11" s="8">
        <v>44227</v>
      </c>
      <c r="D11" s="9">
        <v>0.58333333333333337</v>
      </c>
      <c r="E11" s="4">
        <v>73</v>
      </c>
      <c r="F11" s="3">
        <v>0</v>
      </c>
      <c r="G11" s="3">
        <v>0</v>
      </c>
      <c r="H11" s="3">
        <v>0</v>
      </c>
      <c r="I11" s="3">
        <v>0</v>
      </c>
      <c r="J11" s="9">
        <v>0.25694444444444448</v>
      </c>
      <c r="K11" s="3">
        <v>139.4</v>
      </c>
      <c r="L11" s="11">
        <f t="shared" si="8"/>
        <v>-4.5999999999999943</v>
      </c>
      <c r="M11" s="5">
        <f t="shared" si="7"/>
        <v>1398.1999999999998</v>
      </c>
      <c r="N11" s="5">
        <v>31.5</v>
      </c>
      <c r="O11" s="11">
        <v>33.5</v>
      </c>
      <c r="P11" s="11">
        <v>11.5</v>
      </c>
      <c r="Q11" s="11">
        <v>11.5</v>
      </c>
      <c r="R11" s="11">
        <v>21.5</v>
      </c>
      <c r="S11" s="11">
        <v>21.5</v>
      </c>
      <c r="T11" s="11">
        <v>20</v>
      </c>
      <c r="U11" s="11">
        <v>20</v>
      </c>
      <c r="V11" s="11">
        <v>20</v>
      </c>
      <c r="W11" s="11">
        <v>20</v>
      </c>
      <c r="X11" s="11">
        <v>10</v>
      </c>
      <c r="Y11" s="11">
        <v>10</v>
      </c>
      <c r="Z11" s="3" t="s">
        <v>144</v>
      </c>
      <c r="AA11" s="10" t="s">
        <v>143</v>
      </c>
      <c r="AB11" s="5">
        <f>200+260+60+42+100+22.1+190+20+200+260+60+42+100+22.1+190+81+92+200+260+60+42+100+22.1+190+100+20+107</f>
        <v>3042.2999999999997</v>
      </c>
      <c r="AC11" s="6">
        <f>1+18+1+0.4+8+0.2+18+1.5+1+18+1+0.4+8+0.2+18+0+0+1+18+1+0.4+8+0.2+18+8+1.5+0</f>
        <v>150.80000000000001</v>
      </c>
      <c r="AD11" s="6">
        <f>0+5+0+5+0+1.5+1+0+5+0+0+5+0+1.5+0+0+0+5+0+0+5+0+1.5+4.5+1+0</f>
        <v>41</v>
      </c>
      <c r="AE11" s="6">
        <f>4+20+2+1+7+1.1+4+2+2+4+20+2+2+1+7+1.1+4+2+2+4+20+2+1+7+1.1+4+5+2+1</f>
        <v>135.29999999999998</v>
      </c>
      <c r="AF11" s="6">
        <f>44+5+12+10+0+4.8+4+0+44+5+12+10+0+4.8+4+21+24+44+5+12+10+0+4.8+4+2+0+28</f>
        <v>314.40000000000003</v>
      </c>
      <c r="AG11" s="6">
        <f>1+2+2+2.2+0+1.5+2+0+1+2+2+2.2+0+1.5+2+4+2+1+2+2+2.2+0+1.5+2+0+0+3</f>
        <v>41.1</v>
      </c>
      <c r="AH11" s="6">
        <f>0+350+420+412+170+6.2+0+100+0+350+420+412+170+6.2+0+2+0+0+350+420+412+170+6.2+0+360+100+3</f>
        <v>4639.5999999999995</v>
      </c>
      <c r="AI11" s="6">
        <f t="shared" si="1"/>
        <v>4.9567761233277462E-2</v>
      </c>
      <c r="AJ11" s="6">
        <f t="shared" si="2"/>
        <v>1.3476645958649707E-2</v>
      </c>
      <c r="AK11" s="6">
        <f t="shared" si="3"/>
        <v>4.4472931663544026E-2</v>
      </c>
      <c r="AL11" s="6">
        <f t="shared" si="4"/>
        <v>0.10334286559510898</v>
      </c>
      <c r="AM11" s="6">
        <f t="shared" si="5"/>
        <v>1.3509515826841536E-2</v>
      </c>
      <c r="AN11" s="6">
        <f t="shared" si="6"/>
        <v>1.5250304046280774</v>
      </c>
      <c r="AO11" s="7">
        <v>3</v>
      </c>
      <c r="AP11" s="7">
        <v>1</v>
      </c>
      <c r="AQ11" s="7">
        <v>0</v>
      </c>
      <c r="AR11" s="10">
        <v>0</v>
      </c>
      <c r="AS11" s="10">
        <v>0</v>
      </c>
      <c r="AT11" s="10">
        <v>0</v>
      </c>
      <c r="AU11" s="7">
        <v>0</v>
      </c>
      <c r="AV11" s="10">
        <v>0</v>
      </c>
      <c r="AW11" s="3">
        <v>31</v>
      </c>
      <c r="AX11" s="3">
        <v>1</v>
      </c>
      <c r="AY11" s="5">
        <v>7</v>
      </c>
      <c r="AZ11" s="3">
        <v>1</v>
      </c>
      <c r="BA11" s="3">
        <v>1</v>
      </c>
      <c r="BB11" s="3">
        <v>1</v>
      </c>
      <c r="BC11" s="3">
        <v>1</v>
      </c>
      <c r="BD11" s="3">
        <v>1</v>
      </c>
      <c r="BE11" s="3">
        <v>0</v>
      </c>
      <c r="BF11" s="3">
        <v>0</v>
      </c>
      <c r="BG11" s="3">
        <v>0</v>
      </c>
      <c r="BH11" s="3">
        <v>0</v>
      </c>
      <c r="BI11" s="3">
        <v>0</v>
      </c>
    </row>
    <row r="12" spans="1:61" ht="20.100000000000001" customHeight="1" x14ac:dyDescent="0.25">
      <c r="A12" s="3" t="s">
        <v>15</v>
      </c>
      <c r="B12" s="3">
        <v>9</v>
      </c>
      <c r="C12" s="8">
        <v>44228</v>
      </c>
      <c r="D12" s="9">
        <v>0.66666666666666663</v>
      </c>
      <c r="E12" s="4">
        <v>68</v>
      </c>
      <c r="F12" s="3">
        <v>9</v>
      </c>
      <c r="G12" s="3">
        <v>5</v>
      </c>
      <c r="H12" s="3">
        <v>45</v>
      </c>
      <c r="I12" s="3">
        <v>1</v>
      </c>
      <c r="J12" s="9">
        <v>0.32291666666666669</v>
      </c>
      <c r="K12" s="3">
        <v>140.80000000000001</v>
      </c>
      <c r="L12" s="11">
        <f t="shared" si="8"/>
        <v>1.4000000000000057</v>
      </c>
      <c r="M12" s="5">
        <f t="shared" si="7"/>
        <v>3042.2999999999997</v>
      </c>
      <c r="N12" s="5">
        <v>32.25</v>
      </c>
      <c r="O12" s="11">
        <v>34</v>
      </c>
      <c r="P12" s="11">
        <v>11.375</v>
      </c>
      <c r="Q12" s="11">
        <v>11.375</v>
      </c>
      <c r="R12" s="11">
        <v>21.5</v>
      </c>
      <c r="S12" s="11">
        <v>21.5</v>
      </c>
      <c r="T12" s="11">
        <v>20</v>
      </c>
      <c r="U12" s="11">
        <v>20</v>
      </c>
      <c r="V12" s="11">
        <v>22</v>
      </c>
      <c r="W12" s="11">
        <v>20</v>
      </c>
      <c r="X12" s="11">
        <v>12</v>
      </c>
      <c r="Y12" s="11">
        <v>12</v>
      </c>
      <c r="Z12" s="3" t="s">
        <v>151</v>
      </c>
      <c r="AA12" s="10" t="s">
        <v>153</v>
      </c>
      <c r="AB12" s="5">
        <f>200+260+60+42+100+22.1+190+100+20+107+200+260+60+42+100+22.1+190+100+20+200+160+100</f>
        <v>2555.1999999999998</v>
      </c>
      <c r="AC12" s="6">
        <f>1+18+1+1+8+0.2+18+8+1.5+0+1+18+1+0.4+8+0.2+18+8+1.5+2+10+8</f>
        <v>132.80000000000001</v>
      </c>
      <c r="AD12" s="6">
        <f>0+5+0+0+5+0+1.5+4.5+1+0+0+5+0+0+5+0+1.5+4.5+1+0+7+4.5</f>
        <v>45.5</v>
      </c>
      <c r="AE12" s="6">
        <f>4+20+2+1+7+1.1+4+5+2+1+4+20+2+1+7+1.1+4+5+2+4+12+5</f>
        <v>114.19999999999999</v>
      </c>
      <c r="AF12" s="6">
        <f>44+5+12+10+0+4.8+4+2+0+28+44+5+12+10+0+4.8+4+2+0+42+2+2</f>
        <v>237.60000000000002</v>
      </c>
      <c r="AG12" s="6">
        <f>1+2+2+2.2+0+1.5+2+0+0+3+1+2+2+2.2+0+1.5+2+0+0+4+0+0</f>
        <v>28.4</v>
      </c>
      <c r="AH12" s="6">
        <f>0+350+420+412+170+6.2+0+360+100+3+0+350+420+412+170+6.2+0+360+100+40+380+360</f>
        <v>4419.3999999999996</v>
      </c>
      <c r="AI12" s="6">
        <f t="shared" si="1"/>
        <v>5.1972448340638709E-2</v>
      </c>
      <c r="AJ12" s="6">
        <f t="shared" si="2"/>
        <v>1.7806825297432688E-2</v>
      </c>
      <c r="AK12" s="6">
        <f t="shared" si="3"/>
        <v>4.4693174702567312E-2</v>
      </c>
      <c r="AL12" s="6">
        <f t="shared" si="4"/>
        <v>9.2986850344395758E-2</v>
      </c>
      <c r="AM12" s="6">
        <f t="shared" si="5"/>
        <v>1.1114589855979963E-2</v>
      </c>
      <c r="AN12" s="6">
        <f t="shared" si="6"/>
        <v>1.7295710707576706</v>
      </c>
      <c r="AO12" s="7">
        <v>3</v>
      </c>
      <c r="AP12" s="7">
        <v>1</v>
      </c>
      <c r="AQ12" s="7">
        <v>0</v>
      </c>
      <c r="AR12" s="10" t="s">
        <v>148</v>
      </c>
      <c r="AS12" s="3" t="s">
        <v>150</v>
      </c>
      <c r="AT12" s="3" t="s">
        <v>149</v>
      </c>
      <c r="AU12" s="7">
        <v>20</v>
      </c>
      <c r="AV12" s="3">
        <v>-5</v>
      </c>
      <c r="AW12" s="3">
        <v>31</v>
      </c>
      <c r="AX12" s="3">
        <v>1</v>
      </c>
      <c r="AY12" s="5">
        <v>8</v>
      </c>
      <c r="AZ12" s="3">
        <v>1</v>
      </c>
      <c r="BA12" s="3">
        <v>1</v>
      </c>
      <c r="BB12" s="3">
        <v>1</v>
      </c>
      <c r="BC12" s="3">
        <v>1</v>
      </c>
      <c r="BD12" s="3">
        <v>1</v>
      </c>
      <c r="BE12" s="3">
        <v>0</v>
      </c>
      <c r="BF12" s="3">
        <v>0</v>
      </c>
      <c r="BG12" s="3">
        <v>0</v>
      </c>
      <c r="BH12" s="3">
        <v>0</v>
      </c>
      <c r="BI12" s="3">
        <v>0</v>
      </c>
    </row>
    <row r="13" spans="1:61" ht="20.100000000000001" customHeight="1" x14ac:dyDescent="0.25">
      <c r="A13" s="3" t="s">
        <v>15</v>
      </c>
      <c r="B13" s="3">
        <v>9</v>
      </c>
      <c r="C13" s="8">
        <v>44228</v>
      </c>
      <c r="D13" s="9">
        <v>0.66666666666666663</v>
      </c>
      <c r="E13" s="4">
        <v>68</v>
      </c>
      <c r="F13" s="3">
        <v>9</v>
      </c>
      <c r="G13" s="3">
        <v>5</v>
      </c>
      <c r="H13" s="3">
        <v>45</v>
      </c>
      <c r="I13" s="3">
        <v>1</v>
      </c>
      <c r="J13" s="9">
        <v>0.81597222222222221</v>
      </c>
      <c r="K13" s="3">
        <v>143</v>
      </c>
      <c r="L13" s="11">
        <f t="shared" si="8"/>
        <v>2.1999999999999886</v>
      </c>
      <c r="M13" s="5">
        <f t="shared" si="7"/>
        <v>2555.1999999999998</v>
      </c>
      <c r="N13" s="5">
        <v>32.5</v>
      </c>
      <c r="O13" s="11">
        <v>34</v>
      </c>
      <c r="P13" s="11">
        <v>11.25</v>
      </c>
      <c r="Q13" s="11">
        <v>11.5</v>
      </c>
      <c r="R13" s="11">
        <v>22.25</v>
      </c>
      <c r="S13" s="11">
        <v>22.5</v>
      </c>
      <c r="T13" s="11">
        <v>20</v>
      </c>
      <c r="U13" s="11">
        <v>22</v>
      </c>
      <c r="V13" s="11">
        <v>22</v>
      </c>
      <c r="W13" s="11">
        <v>20</v>
      </c>
      <c r="X13" s="11">
        <v>10</v>
      </c>
      <c r="Y13" s="11">
        <v>12</v>
      </c>
      <c r="Z13" s="3" t="s">
        <v>154</v>
      </c>
      <c r="AA13" s="10" t="s">
        <v>153</v>
      </c>
      <c r="AB13" s="5">
        <f>200+260+60+42+100+22.1+190+100+20+107+200+260+60+42+100+22.1+190+100+20+200+160+100</f>
        <v>2555.1999999999998</v>
      </c>
      <c r="AC13" s="6">
        <f>1+18+1+1+8+0.2+18+8+1.5+0+1+18+1+0.4+8+0.2+18+8+1.5+2+10+8</f>
        <v>132.80000000000001</v>
      </c>
      <c r="AD13" s="6">
        <f>0+5+0+0+5+0+1.5+4.5+1+0+0+5+0+0+5+0+1.5+4.5+1+0+7+4.5</f>
        <v>45.5</v>
      </c>
      <c r="AE13" s="6">
        <f>4+20+2+1+7+1.1+4+5+2+1+4+20+2+1+7+1.1+4+5+2+4+12+5</f>
        <v>114.19999999999999</v>
      </c>
      <c r="AF13" s="6">
        <f>44+5+12+10+0+4.8+4+2+0+28+44+5+12+10+0+4.8+4+2+0+42+2+2</f>
        <v>237.60000000000002</v>
      </c>
      <c r="AG13" s="6">
        <f>1+2+2+2.2+0+1.5+2+0+0+3+1+2+2+2.2+0+1.5+2+0+0+4+0+0</f>
        <v>28.4</v>
      </c>
      <c r="AH13" s="6">
        <f>0+350+420+412+170+6.2+0+360+100+3+0+350+420+412+170+6.2+0+360+100+40+380+360</f>
        <v>4419.3999999999996</v>
      </c>
      <c r="AI13" s="6">
        <f t="shared" si="1"/>
        <v>5.1972448340638709E-2</v>
      </c>
      <c r="AJ13" s="6">
        <f t="shared" si="2"/>
        <v>1.7806825297432688E-2</v>
      </c>
      <c r="AK13" s="6">
        <f t="shared" si="3"/>
        <v>4.4693174702567312E-2</v>
      </c>
      <c r="AL13" s="6">
        <f t="shared" si="4"/>
        <v>9.2986850344395758E-2</v>
      </c>
      <c r="AM13" s="6">
        <f t="shared" si="5"/>
        <v>1.1114589855979963E-2</v>
      </c>
      <c r="AN13" s="6">
        <f t="shared" si="6"/>
        <v>1.7295710707576706</v>
      </c>
      <c r="AO13" s="7">
        <v>3</v>
      </c>
      <c r="AP13" s="7">
        <v>1</v>
      </c>
      <c r="AQ13" s="7">
        <v>0</v>
      </c>
      <c r="AR13" s="10" t="s">
        <v>148</v>
      </c>
      <c r="AS13" s="3" t="s">
        <v>150</v>
      </c>
      <c r="AT13" s="3" t="s">
        <v>149</v>
      </c>
      <c r="AU13" s="7">
        <v>20</v>
      </c>
      <c r="AV13" s="3">
        <v>-5</v>
      </c>
      <c r="AW13" s="3">
        <v>31</v>
      </c>
      <c r="AX13" s="3">
        <v>1</v>
      </c>
      <c r="AY13" s="5">
        <v>8</v>
      </c>
      <c r="AZ13" s="3">
        <v>1</v>
      </c>
      <c r="BA13" s="3">
        <v>1</v>
      </c>
      <c r="BB13" s="3">
        <v>1</v>
      </c>
      <c r="BC13" s="3">
        <v>1</v>
      </c>
      <c r="BD13" s="3">
        <v>1</v>
      </c>
      <c r="BE13" s="3">
        <v>0</v>
      </c>
      <c r="BF13" s="3">
        <v>0</v>
      </c>
      <c r="BG13" s="3">
        <v>0</v>
      </c>
      <c r="BH13" s="3">
        <v>0</v>
      </c>
      <c r="BI13" s="3">
        <v>0</v>
      </c>
    </row>
    <row r="14" spans="1:61" ht="20.100000000000001" customHeight="1" x14ac:dyDescent="0.25">
      <c r="A14" s="3" t="s">
        <v>16</v>
      </c>
      <c r="B14" s="3">
        <v>10</v>
      </c>
      <c r="C14" s="8">
        <v>44229</v>
      </c>
      <c r="D14" s="9">
        <v>0.23958333333333334</v>
      </c>
      <c r="E14" s="4">
        <v>52</v>
      </c>
      <c r="F14" s="3">
        <v>0</v>
      </c>
      <c r="G14" s="3">
        <v>0</v>
      </c>
      <c r="H14" s="3">
        <v>0</v>
      </c>
      <c r="I14" s="3">
        <v>0</v>
      </c>
      <c r="J14" s="9">
        <v>0.23958333333333334</v>
      </c>
      <c r="K14" s="3">
        <v>140.80000000000001</v>
      </c>
      <c r="L14" s="11">
        <f t="shared" si="8"/>
        <v>-2.1999999999999886</v>
      </c>
      <c r="M14" s="5">
        <f t="shared" si="7"/>
        <v>2555.1999999999998</v>
      </c>
      <c r="N14" s="11">
        <v>32</v>
      </c>
      <c r="O14" s="11">
        <v>34</v>
      </c>
      <c r="P14" s="11">
        <v>11.75</v>
      </c>
      <c r="Q14" s="11">
        <v>11.75</v>
      </c>
      <c r="R14" s="11">
        <v>21.5</v>
      </c>
      <c r="S14" s="11">
        <v>21.5</v>
      </c>
      <c r="T14" s="11">
        <v>22</v>
      </c>
      <c r="U14" s="11">
        <v>22</v>
      </c>
      <c r="V14" s="11">
        <v>22</v>
      </c>
      <c r="W14" s="11">
        <v>22</v>
      </c>
      <c r="X14" s="11">
        <v>12</v>
      </c>
      <c r="Y14" s="11">
        <v>12</v>
      </c>
      <c r="Z14" s="3" t="s">
        <v>159</v>
      </c>
      <c r="AA14" s="10" t="s">
        <v>157</v>
      </c>
      <c r="AB14" s="5">
        <f>200+260+60+42+100+22.1+190+100+20+107+81+1440+210+180+100+200+160+100+81</f>
        <v>3653.1</v>
      </c>
      <c r="AC14" s="6">
        <f>1+18+1+0.4+8+0.2+18+8+1.5+0+0+12+15+15+0+2+10+8+0</f>
        <v>118.1</v>
      </c>
      <c r="AD14" s="6">
        <f>0+5+0+0+5+0+1.5+4.5+1+0+0+0+4.5+10.5+0+0+7+4.5+0</f>
        <v>43.5</v>
      </c>
      <c r="AE14" s="6">
        <f>4+20+2+1+7+1.1+4+5+2+1+2+12+18+3+0+4+12+5+2</f>
        <v>105.1</v>
      </c>
      <c r="AF14" s="6">
        <f>44+5+12+10+0+4.8+4+2+0+28+21+324+0+6+25+42+2+2+21</f>
        <v>552.79999999999995</v>
      </c>
      <c r="AG14" s="6">
        <f>1+2+2+2.2+0+1.5+2+0+0+3+4+6+0+0+2+4+0+0+4</f>
        <v>33.700000000000003</v>
      </c>
      <c r="AH14" s="6">
        <f>0+350+420+412+170+6.2+0+360+100+3+2+2940+210+45+0+40+380+360+2</f>
        <v>5800.2</v>
      </c>
      <c r="AI14" s="6">
        <f t="shared" si="1"/>
        <v>3.2328707125455089E-2</v>
      </c>
      <c r="AJ14" s="6">
        <f t="shared" si="2"/>
        <v>1.1907694834524103E-2</v>
      </c>
      <c r="AK14" s="6">
        <f t="shared" si="3"/>
        <v>2.8770085680654787E-2</v>
      </c>
      <c r="AL14" s="6">
        <f t="shared" si="4"/>
        <v>0.15132353343735458</v>
      </c>
      <c r="AM14" s="6">
        <f t="shared" si="5"/>
        <v>9.2250417453669502E-3</v>
      </c>
      <c r="AN14" s="6">
        <f t="shared" si="6"/>
        <v>1.5877473926254413</v>
      </c>
      <c r="AO14" s="7">
        <v>3</v>
      </c>
      <c r="AP14" s="7">
        <v>1</v>
      </c>
      <c r="AQ14" s="7">
        <v>0</v>
      </c>
      <c r="AR14" s="7">
        <v>0</v>
      </c>
      <c r="AS14" s="7">
        <v>0</v>
      </c>
      <c r="AT14" s="10">
        <v>0</v>
      </c>
      <c r="AU14" s="7">
        <v>0</v>
      </c>
      <c r="AV14" s="3">
        <v>0</v>
      </c>
      <c r="AW14" s="3">
        <v>31</v>
      </c>
      <c r="AX14" s="3">
        <v>1</v>
      </c>
      <c r="AY14" s="5">
        <v>8</v>
      </c>
      <c r="AZ14" s="3">
        <v>1</v>
      </c>
      <c r="BA14" s="3">
        <v>1</v>
      </c>
      <c r="BB14" s="3">
        <v>0</v>
      </c>
      <c r="BC14" s="3">
        <v>1</v>
      </c>
      <c r="BD14" s="3">
        <v>1</v>
      </c>
      <c r="BE14" s="3">
        <v>0</v>
      </c>
      <c r="BF14" s="3">
        <v>0</v>
      </c>
      <c r="BG14" s="3">
        <v>0</v>
      </c>
      <c r="BH14" s="3">
        <v>0</v>
      </c>
      <c r="BI14" s="3">
        <v>0</v>
      </c>
    </row>
    <row r="15" spans="1:61" ht="20.100000000000001" customHeight="1" x14ac:dyDescent="0.25">
      <c r="A15" s="3" t="s">
        <v>17</v>
      </c>
      <c r="B15" s="3">
        <v>11</v>
      </c>
      <c r="C15" s="8">
        <v>44230</v>
      </c>
      <c r="D15" s="9">
        <v>0.70833333333333337</v>
      </c>
      <c r="E15" s="4">
        <v>60</v>
      </c>
      <c r="F15" s="3">
        <v>15</v>
      </c>
      <c r="G15" s="3">
        <v>3</v>
      </c>
      <c r="H15" s="3">
        <v>45</v>
      </c>
      <c r="I15" s="3">
        <v>1</v>
      </c>
      <c r="J15" s="9">
        <v>0.25</v>
      </c>
      <c r="K15" s="3">
        <v>141.80000000000001</v>
      </c>
      <c r="L15" s="11">
        <f t="shared" si="8"/>
        <v>1</v>
      </c>
      <c r="M15" s="5">
        <f t="shared" si="7"/>
        <v>3653.1</v>
      </c>
      <c r="N15" s="11">
        <v>32.75</v>
      </c>
      <c r="O15" s="11">
        <v>34.5</v>
      </c>
      <c r="P15" s="11">
        <v>11.5</v>
      </c>
      <c r="Q15" s="11">
        <v>11.5</v>
      </c>
      <c r="R15" s="11">
        <v>21.5</v>
      </c>
      <c r="S15" s="11">
        <v>22</v>
      </c>
      <c r="T15" s="11">
        <v>22</v>
      </c>
      <c r="U15" s="11">
        <v>22</v>
      </c>
      <c r="V15" s="11">
        <v>20</v>
      </c>
      <c r="W15" s="11">
        <v>18</v>
      </c>
      <c r="X15" s="11">
        <v>14</v>
      </c>
      <c r="Y15" s="11">
        <v>12</v>
      </c>
      <c r="Z15" s="3" t="s">
        <v>162</v>
      </c>
      <c r="AA15" s="10" t="s">
        <v>163</v>
      </c>
      <c r="AB15" s="5">
        <f>200+160+200+81+322+52.8+190+140+100+80</f>
        <v>1525.8</v>
      </c>
      <c r="AC15" s="6">
        <f>2+10+16+0+29+2.31+18+10+1+5</f>
        <v>93.31</v>
      </c>
      <c r="AD15" s="6">
        <f>0+7+9+0+4+0.66+1.5+3+0+3.5</f>
        <v>28.66</v>
      </c>
      <c r="AE15" s="6">
        <f>4+12+10+2+4+0.66+4+12+2+6</f>
        <v>56.66</v>
      </c>
      <c r="AF15" s="6">
        <f>42+2+4+21+17+6.93+4+0+21+1</f>
        <v>118.93</v>
      </c>
      <c r="AG15" s="6">
        <f>4+0+2+4+18+0.66+2+0+2+0</f>
        <v>32.659999999999997</v>
      </c>
      <c r="AH15" s="6">
        <f>40+380+720+2+14+0+0+140+20+190</f>
        <v>1506</v>
      </c>
      <c r="AI15" s="6">
        <f t="shared" si="1"/>
        <v>6.1154804037226375E-2</v>
      </c>
      <c r="AJ15" s="6">
        <f t="shared" si="2"/>
        <v>1.8783588936951107E-2</v>
      </c>
      <c r="AK15" s="6">
        <f t="shared" si="3"/>
        <v>3.7134617905361121E-2</v>
      </c>
      <c r="AL15" s="6">
        <f t="shared" si="4"/>
        <v>7.7945995543321545E-2</v>
      </c>
      <c r="AM15" s="6">
        <f t="shared" si="5"/>
        <v>2.1405164503866824E-2</v>
      </c>
      <c r="AN15" s="6">
        <f t="shared" si="6"/>
        <v>0.98702320094376728</v>
      </c>
      <c r="AO15" s="7">
        <v>3</v>
      </c>
      <c r="AP15" s="7">
        <v>2</v>
      </c>
      <c r="AQ15" s="7">
        <v>0</v>
      </c>
      <c r="AR15" s="10" t="s">
        <v>160</v>
      </c>
      <c r="AS15" s="3" t="s">
        <v>161</v>
      </c>
      <c r="AU15" s="7">
        <f>5*7</f>
        <v>35</v>
      </c>
      <c r="AV15" s="3">
        <v>0</v>
      </c>
      <c r="AW15" s="3">
        <v>31</v>
      </c>
      <c r="AX15" s="3">
        <v>1</v>
      </c>
      <c r="AY15" s="5">
        <v>8.5</v>
      </c>
      <c r="AZ15" s="3">
        <v>1</v>
      </c>
      <c r="BA15" s="3">
        <v>1</v>
      </c>
      <c r="BB15" s="3">
        <v>1</v>
      </c>
      <c r="BC15" s="3">
        <v>1</v>
      </c>
      <c r="BD15" s="3">
        <v>1</v>
      </c>
      <c r="BE15" s="3">
        <v>0</v>
      </c>
      <c r="BF15" s="3">
        <v>0</v>
      </c>
      <c r="BG15" s="3">
        <v>0</v>
      </c>
      <c r="BH15" s="3">
        <v>0</v>
      </c>
      <c r="BI15" s="3">
        <v>0</v>
      </c>
    </row>
    <row r="16" spans="1:61" ht="20.100000000000001" customHeight="1" x14ac:dyDescent="0.25">
      <c r="A16" s="3" t="s">
        <v>17</v>
      </c>
      <c r="B16" s="3">
        <v>11</v>
      </c>
      <c r="C16" s="8">
        <v>44230</v>
      </c>
      <c r="D16" s="9">
        <v>0.70833333333333337</v>
      </c>
      <c r="E16" s="4">
        <v>60</v>
      </c>
      <c r="F16" s="3">
        <v>15</v>
      </c>
      <c r="G16" s="3">
        <v>3</v>
      </c>
      <c r="H16" s="3">
        <v>45</v>
      </c>
      <c r="I16" s="3">
        <v>1</v>
      </c>
      <c r="J16" s="9">
        <v>0.83333333333333337</v>
      </c>
      <c r="K16" s="3">
        <v>144.80000000000001</v>
      </c>
      <c r="L16" s="11">
        <f t="shared" si="8"/>
        <v>3</v>
      </c>
      <c r="M16" s="5">
        <f t="shared" si="7"/>
        <v>1525.8</v>
      </c>
      <c r="N16" s="11">
        <v>31.5</v>
      </c>
      <c r="O16" s="11">
        <v>33.5</v>
      </c>
      <c r="P16" s="11">
        <v>11.5</v>
      </c>
      <c r="Q16" s="11">
        <v>11.5</v>
      </c>
      <c r="R16" s="11">
        <v>22</v>
      </c>
      <c r="S16" s="11">
        <v>22</v>
      </c>
      <c r="T16" s="11">
        <v>22</v>
      </c>
      <c r="U16" s="11">
        <v>20</v>
      </c>
      <c r="V16" s="11">
        <v>20</v>
      </c>
      <c r="W16" s="11">
        <v>20</v>
      </c>
      <c r="X16" s="11">
        <v>10</v>
      </c>
      <c r="Y16" s="11">
        <v>10</v>
      </c>
      <c r="Z16" s="3" t="s">
        <v>162</v>
      </c>
      <c r="AA16" s="10" t="s">
        <v>163</v>
      </c>
      <c r="AB16" s="5">
        <f>200+160+200+81+322+52.8+190+140+100+80</f>
        <v>1525.8</v>
      </c>
      <c r="AC16" s="6">
        <f>2+10+16+0+29+2.31+18+10+1+5</f>
        <v>93.31</v>
      </c>
      <c r="AD16" s="6">
        <f>0+7+9+0+4+0.66+1.5+3+0+3.5</f>
        <v>28.66</v>
      </c>
      <c r="AE16" s="6">
        <f>4+12+10+2+4+0.66+4+12+2+6</f>
        <v>56.66</v>
      </c>
      <c r="AF16" s="6">
        <f>42+2+4+21+17+6.93+4+0+21+1</f>
        <v>118.93</v>
      </c>
      <c r="AG16" s="6">
        <f>4+0+2+4+18+0.66+2+0+2+0</f>
        <v>32.659999999999997</v>
      </c>
      <c r="AH16" s="6">
        <f>40+380+720+2+14+0+0+140+20+190</f>
        <v>1506</v>
      </c>
      <c r="AI16" s="6">
        <f t="shared" si="1"/>
        <v>6.1154804037226375E-2</v>
      </c>
      <c r="AJ16" s="6">
        <f t="shared" si="2"/>
        <v>1.8783588936951107E-2</v>
      </c>
      <c r="AK16" s="6">
        <f t="shared" si="3"/>
        <v>3.7134617905361121E-2</v>
      </c>
      <c r="AL16" s="6">
        <f t="shared" si="4"/>
        <v>7.7945995543321545E-2</v>
      </c>
      <c r="AM16" s="6">
        <f t="shared" si="5"/>
        <v>2.1405164503866824E-2</v>
      </c>
      <c r="AN16" s="6">
        <f t="shared" si="6"/>
        <v>0.98702320094376728</v>
      </c>
      <c r="AO16" s="7">
        <v>3</v>
      </c>
      <c r="AP16" s="7">
        <v>2</v>
      </c>
      <c r="AQ16" s="7">
        <v>0</v>
      </c>
      <c r="AR16" s="10" t="s">
        <v>160</v>
      </c>
      <c r="AS16" s="3" t="s">
        <v>161</v>
      </c>
      <c r="AU16" s="7">
        <f>5*7</f>
        <v>35</v>
      </c>
      <c r="AV16" s="3">
        <v>0</v>
      </c>
      <c r="AW16" s="3">
        <v>31</v>
      </c>
      <c r="AX16" s="3">
        <v>1</v>
      </c>
      <c r="AY16" s="5">
        <v>8.5</v>
      </c>
      <c r="AZ16" s="3">
        <v>1</v>
      </c>
      <c r="BA16" s="3">
        <v>1</v>
      </c>
      <c r="BB16" s="3">
        <v>1</v>
      </c>
      <c r="BC16" s="3">
        <v>1</v>
      </c>
      <c r="BD16" s="3">
        <v>1</v>
      </c>
      <c r="BE16" s="3">
        <v>0</v>
      </c>
      <c r="BF16" s="3">
        <v>0</v>
      </c>
      <c r="BG16" s="3">
        <v>0</v>
      </c>
      <c r="BH16" s="3">
        <v>0</v>
      </c>
      <c r="BI16" s="3">
        <v>0</v>
      </c>
    </row>
    <row r="17" spans="1:61" ht="20.100000000000001" customHeight="1" x14ac:dyDescent="0.25">
      <c r="A17" s="3" t="s">
        <v>18</v>
      </c>
      <c r="B17" s="3">
        <v>12</v>
      </c>
      <c r="C17" s="8">
        <v>44231</v>
      </c>
      <c r="D17" s="9">
        <v>0.58333333333333337</v>
      </c>
      <c r="E17" s="4">
        <v>66</v>
      </c>
      <c r="F17" s="3">
        <v>0</v>
      </c>
      <c r="G17" s="3">
        <v>0</v>
      </c>
      <c r="H17" s="3">
        <v>0</v>
      </c>
      <c r="I17" s="3">
        <v>0</v>
      </c>
      <c r="J17" s="9">
        <v>0.21527777777777779</v>
      </c>
      <c r="K17" s="3">
        <v>139.4</v>
      </c>
      <c r="L17" s="11">
        <f t="shared" si="8"/>
        <v>-5.4000000000000057</v>
      </c>
      <c r="M17" s="5">
        <f t="shared" si="7"/>
        <v>1525.8</v>
      </c>
      <c r="N17" s="11">
        <v>31.5</v>
      </c>
      <c r="O17" s="11">
        <v>33.25</v>
      </c>
      <c r="P17" s="11">
        <v>11.5</v>
      </c>
      <c r="Q17" s="11">
        <v>11.5</v>
      </c>
      <c r="R17" s="11">
        <v>21.5</v>
      </c>
      <c r="S17" s="11">
        <v>21.5</v>
      </c>
      <c r="T17" s="11">
        <v>20</v>
      </c>
      <c r="U17" s="11">
        <v>20</v>
      </c>
      <c r="V17" s="11">
        <v>20</v>
      </c>
      <c r="W17" s="11">
        <v>20</v>
      </c>
      <c r="X17" s="11">
        <v>10</v>
      </c>
      <c r="Y17" s="11">
        <v>10</v>
      </c>
      <c r="Z17" s="3" t="s">
        <v>165</v>
      </c>
      <c r="AA17" s="10" t="s">
        <v>166</v>
      </c>
      <c r="AB17" s="5">
        <f>200+160+140+300+42+200+160+100+130+243+92+105+150+160+160+322</f>
        <v>2664</v>
      </c>
      <c r="AC17" s="6">
        <f>2+10+10+0+0+2+10+8+0+0+0+1+7+10+29</f>
        <v>89</v>
      </c>
      <c r="AD17" s="6">
        <f>0+7+3+0+0+0+7+4.5+0+0+0+0+0+2+7+4</f>
        <v>34.5</v>
      </c>
      <c r="AE17" s="6">
        <f>4+12+12+0+1+4+12+5+3+6+2+1+3+2+12+4</f>
        <v>83</v>
      </c>
      <c r="AF17" s="6">
        <f>42+2+0+75+13+42+2+2+23+63+24+27+33+21+2+17</f>
        <v>388</v>
      </c>
      <c r="AG17" s="6">
        <f>4+0+0+6+2+4+0+0+2+12+2+3+2+2+0+18</f>
        <v>57</v>
      </c>
      <c r="AH17" s="6">
        <f>40+380+140+0+1+40+380+360+620+6+0+1+280+0+380+14</f>
        <v>2642</v>
      </c>
      <c r="AI17" s="6">
        <f t="shared" si="1"/>
        <v>3.3408408408408412E-2</v>
      </c>
      <c r="AJ17" s="6">
        <f t="shared" si="2"/>
        <v>1.295045045045045E-2</v>
      </c>
      <c r="AK17" s="6">
        <f t="shared" si="3"/>
        <v>3.1156156156156155E-2</v>
      </c>
      <c r="AL17" s="6">
        <f t="shared" si="4"/>
        <v>0.14564564564564564</v>
      </c>
      <c r="AM17" s="6">
        <f t="shared" si="5"/>
        <v>2.1396396396396396E-2</v>
      </c>
      <c r="AN17" s="6">
        <f t="shared" si="6"/>
        <v>0.99174174174174179</v>
      </c>
      <c r="AO17" s="7">
        <v>3</v>
      </c>
      <c r="AP17" s="7">
        <v>1</v>
      </c>
      <c r="AQ17" s="7">
        <v>0</v>
      </c>
      <c r="AR17" s="7">
        <v>0</v>
      </c>
      <c r="AS17" s="7">
        <v>0</v>
      </c>
      <c r="AT17" s="7">
        <v>0</v>
      </c>
      <c r="AU17" s="7">
        <v>0</v>
      </c>
      <c r="AV17" s="3">
        <v>0</v>
      </c>
      <c r="AW17" s="3">
        <v>31</v>
      </c>
      <c r="AX17" s="3">
        <v>1</v>
      </c>
      <c r="AY17" s="5">
        <v>6.75</v>
      </c>
      <c r="AZ17" s="3">
        <v>1</v>
      </c>
      <c r="BA17" s="3">
        <v>1</v>
      </c>
      <c r="BB17" s="3">
        <v>1</v>
      </c>
      <c r="BC17" s="3">
        <v>1</v>
      </c>
      <c r="BD17" s="3">
        <v>1</v>
      </c>
      <c r="BE17" s="3">
        <v>0</v>
      </c>
      <c r="BF17" s="3">
        <v>1</v>
      </c>
      <c r="BG17" s="3">
        <v>20</v>
      </c>
      <c r="BH17" s="3">
        <v>0</v>
      </c>
      <c r="BI17" s="3">
        <v>0</v>
      </c>
    </row>
    <row r="18" spans="1:61" ht="20.100000000000001" customHeight="1" x14ac:dyDescent="0.25">
      <c r="A18" s="3" t="s">
        <v>138</v>
      </c>
      <c r="B18" s="3">
        <v>13</v>
      </c>
      <c r="C18" s="8">
        <v>44232</v>
      </c>
      <c r="D18" s="9">
        <v>0.27083333333333331</v>
      </c>
      <c r="E18" s="4">
        <v>43</v>
      </c>
      <c r="F18" s="3">
        <v>0</v>
      </c>
      <c r="G18" s="3">
        <v>0</v>
      </c>
      <c r="H18" s="3">
        <v>0</v>
      </c>
      <c r="I18" s="3">
        <v>0</v>
      </c>
      <c r="J18" s="9">
        <v>0.27083333333333331</v>
      </c>
      <c r="K18" s="3">
        <v>139.4</v>
      </c>
      <c r="L18" s="11">
        <f t="shared" si="8"/>
        <v>0</v>
      </c>
      <c r="M18" s="5">
        <f t="shared" si="7"/>
        <v>2664</v>
      </c>
      <c r="N18" s="11">
        <v>32</v>
      </c>
      <c r="O18" s="11">
        <v>33.5</v>
      </c>
      <c r="P18" s="11">
        <v>11.5</v>
      </c>
      <c r="Q18" s="11">
        <v>11.75</v>
      </c>
      <c r="R18" s="11">
        <v>21.5</v>
      </c>
      <c r="S18" s="11">
        <v>21.5</v>
      </c>
      <c r="T18" s="11">
        <v>22</v>
      </c>
      <c r="U18" s="11">
        <v>22</v>
      </c>
      <c r="V18" s="11">
        <v>20</v>
      </c>
      <c r="W18" s="11">
        <v>20</v>
      </c>
      <c r="X18" s="11">
        <v>10</v>
      </c>
      <c r="Y18" s="11">
        <v>10</v>
      </c>
      <c r="Z18" s="3" t="s">
        <v>167</v>
      </c>
      <c r="AA18" s="10" t="s">
        <v>171</v>
      </c>
      <c r="AB18" s="12">
        <f>200+160+100+130+162+105+57+107+241.5+90+200+160+100+90+50+60</f>
        <v>2012.5</v>
      </c>
      <c r="AC18" s="6">
        <f>2+10+8+3+0+0+0+4.7+21.75+2+2+10+8+2+1+4</f>
        <v>78.45</v>
      </c>
      <c r="AD18" s="6">
        <f>0+7+4.5+0+0+0+0+1.3+3+2+0+7+4.5+2+0+2.5</f>
        <v>33.799999999999997</v>
      </c>
      <c r="AE18" s="6">
        <f>4+12+5+3+4+1+0+1.3+3+3+4+12+5+3+1+5</f>
        <v>66.3</v>
      </c>
      <c r="AF18" s="6">
        <f>42+2+2+23+42+27+15+14+12.75+18+42+2+2+18+11+1</f>
        <v>273.75</v>
      </c>
      <c r="AG18" s="6">
        <f>4+0+0+2+8+3+3+1.3+13.5+4+4+0+0+4+1+0</f>
        <v>47.8</v>
      </c>
      <c r="AH18" s="6">
        <f>40+380+360+620+4+1+1+0+10.5+500+40+380+360+500+10+140</f>
        <v>3346.5</v>
      </c>
      <c r="AI18" s="6">
        <f t="shared" si="1"/>
        <v>3.8981366459627333E-2</v>
      </c>
      <c r="AJ18" s="6">
        <f t="shared" si="2"/>
        <v>1.6795031055900619E-2</v>
      </c>
      <c r="AK18" s="6">
        <f t="shared" si="3"/>
        <v>3.2944099378881986E-2</v>
      </c>
      <c r="AL18" s="6">
        <f t="shared" si="4"/>
        <v>0.13602484472049689</v>
      </c>
      <c r="AM18" s="6">
        <f t="shared" si="5"/>
        <v>2.3751552795031054E-2</v>
      </c>
      <c r="AN18" s="6">
        <f t="shared" si="6"/>
        <v>1.6628571428571428</v>
      </c>
      <c r="AO18" s="7">
        <v>3</v>
      </c>
      <c r="AP18" s="7">
        <v>2</v>
      </c>
      <c r="AQ18" s="7">
        <v>0</v>
      </c>
      <c r="AR18" s="7">
        <v>0</v>
      </c>
      <c r="AS18" s="7">
        <v>0</v>
      </c>
      <c r="AT18" s="7">
        <v>0</v>
      </c>
      <c r="AU18" s="7">
        <v>0</v>
      </c>
      <c r="AV18" s="3">
        <v>0</v>
      </c>
      <c r="AW18" s="3">
        <v>31</v>
      </c>
      <c r="AX18" s="3">
        <v>1</v>
      </c>
      <c r="AY18" s="5">
        <v>6</v>
      </c>
      <c r="AZ18" s="3">
        <v>1</v>
      </c>
      <c r="BA18" s="3">
        <v>1</v>
      </c>
      <c r="BB18" s="3">
        <v>1</v>
      </c>
      <c r="BC18" s="3">
        <v>1</v>
      </c>
      <c r="BD18" s="3">
        <v>1</v>
      </c>
      <c r="BE18" s="3">
        <v>0</v>
      </c>
      <c r="BF18" s="3">
        <v>0</v>
      </c>
      <c r="BG18" s="3">
        <v>0</v>
      </c>
      <c r="BH18" s="3">
        <v>0</v>
      </c>
      <c r="BI18" s="3">
        <v>0</v>
      </c>
    </row>
    <row r="19" spans="1:61" ht="20.100000000000001" customHeight="1" x14ac:dyDescent="0.25">
      <c r="A19" s="3" t="s">
        <v>19</v>
      </c>
      <c r="B19" s="3">
        <v>14</v>
      </c>
      <c r="C19" s="8">
        <v>44233</v>
      </c>
      <c r="D19" s="9">
        <v>0.63541666666666663</v>
      </c>
      <c r="E19" s="4">
        <v>78</v>
      </c>
      <c r="F19" s="3">
        <v>9</v>
      </c>
      <c r="G19" s="3">
        <v>5</v>
      </c>
      <c r="H19" s="3">
        <v>45</v>
      </c>
      <c r="I19" s="3">
        <v>1</v>
      </c>
      <c r="J19" s="9">
        <v>0.25</v>
      </c>
      <c r="K19" s="3">
        <v>141.80000000000001</v>
      </c>
      <c r="L19" s="11">
        <f t="shared" si="8"/>
        <v>2.4000000000000057</v>
      </c>
      <c r="M19" s="5">
        <f t="shared" si="7"/>
        <v>2012.5</v>
      </c>
      <c r="N19" s="11">
        <v>32</v>
      </c>
      <c r="O19" s="11">
        <v>33.75</v>
      </c>
      <c r="P19" s="11">
        <v>11.5</v>
      </c>
      <c r="Q19" s="11">
        <v>11.5</v>
      </c>
      <c r="R19" s="11">
        <v>21.5</v>
      </c>
      <c r="S19" s="11">
        <v>21.5</v>
      </c>
      <c r="T19" s="11">
        <v>22</v>
      </c>
      <c r="U19" s="11">
        <v>22</v>
      </c>
      <c r="V19" s="11">
        <v>20</v>
      </c>
      <c r="W19" s="11">
        <v>20</v>
      </c>
      <c r="X19" s="11">
        <v>10</v>
      </c>
      <c r="Y19" s="11">
        <v>12</v>
      </c>
      <c r="Z19" s="3" t="s">
        <v>176</v>
      </c>
      <c r="AA19" s="10" t="s">
        <v>175</v>
      </c>
      <c r="AB19" s="5">
        <f>350+180+80+100+92+322+162+53.5+140+330+260+60+16+37+40+8+20+42</f>
        <v>2292.5</v>
      </c>
      <c r="AC19" s="6">
        <f>3.5+12+6+8+0+29+0+2.35+10+2.5+18+1+0.17+0+0+0+1.5+0</f>
        <v>94.02</v>
      </c>
      <c r="AD19" s="6">
        <f>0+7.5+4+4.5+0+1+3+0.5+5+0+0.02+0+0+0+1+0</f>
        <v>26.52</v>
      </c>
      <c r="AE19" s="6">
        <f>7+15+5+5+2+4+4+1+12+23+20+2+1.5+1+1+0.77+2+1</f>
        <v>107.27</v>
      </c>
      <c r="AF19" s="6">
        <f>73.5+3+0+2+24+17+42+7+0+61+5+12+3+7+10+1.1+0+13</f>
        <v>280.60000000000002</v>
      </c>
      <c r="AG19" s="6">
        <f>7+0+0+0+2+18+8+1+0+11+2+2+1+2+3+0.5+0+2</f>
        <v>59.5</v>
      </c>
      <c r="AH19" s="6">
        <f>70+420+130+360+0+14+4+0+140+0+350+420+15.02+5+0+8+100+1</f>
        <v>2037.02</v>
      </c>
      <c r="AI19" s="6">
        <f t="shared" si="1"/>
        <v>4.1011995637949834E-2</v>
      </c>
      <c r="AJ19" s="6">
        <f t="shared" si="2"/>
        <v>1.1568157033805889E-2</v>
      </c>
      <c r="AK19" s="6">
        <f t="shared" si="3"/>
        <v>4.6791712104689201E-2</v>
      </c>
      <c r="AL19" s="6">
        <f t="shared" si="4"/>
        <v>0.12239912758996729</v>
      </c>
      <c r="AM19" s="6">
        <f t="shared" si="5"/>
        <v>2.5954198473282442E-2</v>
      </c>
      <c r="AN19" s="6">
        <f t="shared" si="6"/>
        <v>0.88855834242093779</v>
      </c>
      <c r="AO19" s="7">
        <v>3</v>
      </c>
      <c r="AP19" s="7">
        <v>1</v>
      </c>
      <c r="AQ19" s="7">
        <v>0</v>
      </c>
      <c r="AR19" s="10" t="s">
        <v>172</v>
      </c>
      <c r="AS19" s="7">
        <v>0</v>
      </c>
      <c r="AT19" s="7">
        <v>0</v>
      </c>
      <c r="AU19" s="7">
        <v>0</v>
      </c>
      <c r="AV19" s="3">
        <v>0</v>
      </c>
      <c r="AW19" s="3">
        <v>31</v>
      </c>
      <c r="AX19" s="3">
        <v>1</v>
      </c>
      <c r="AY19" s="5">
        <v>5.5</v>
      </c>
      <c r="AZ19" s="3">
        <v>1</v>
      </c>
      <c r="BA19" s="3">
        <v>1</v>
      </c>
      <c r="BB19" s="3">
        <v>1</v>
      </c>
      <c r="BC19" s="3">
        <v>1</v>
      </c>
      <c r="BD19" s="3">
        <v>1</v>
      </c>
      <c r="BE19" s="3">
        <v>0</v>
      </c>
      <c r="BF19" s="3">
        <v>0</v>
      </c>
      <c r="BG19" s="3">
        <v>0</v>
      </c>
      <c r="BH19" s="3">
        <v>0</v>
      </c>
      <c r="BI19" s="3">
        <v>0</v>
      </c>
    </row>
    <row r="20" spans="1:61" ht="20.100000000000001" customHeight="1" x14ac:dyDescent="0.25">
      <c r="A20" s="3" t="s">
        <v>19</v>
      </c>
      <c r="B20" s="3">
        <v>14</v>
      </c>
      <c r="C20" s="8">
        <v>44233</v>
      </c>
      <c r="D20" s="9">
        <v>0.63541666666666663</v>
      </c>
      <c r="E20" s="4">
        <v>78</v>
      </c>
      <c r="F20" s="3">
        <v>9</v>
      </c>
      <c r="G20" s="3">
        <v>5</v>
      </c>
      <c r="H20" s="3">
        <v>45</v>
      </c>
      <c r="I20" s="3">
        <v>1</v>
      </c>
      <c r="J20" s="9">
        <v>0.83333333333333337</v>
      </c>
      <c r="K20" s="3">
        <v>143.6</v>
      </c>
      <c r="L20" s="11">
        <f t="shared" si="8"/>
        <v>1.7999999999999829</v>
      </c>
      <c r="M20" s="5">
        <f t="shared" si="7"/>
        <v>2292.5</v>
      </c>
      <c r="N20" s="11">
        <v>31.5</v>
      </c>
      <c r="O20" s="11">
        <v>33.5</v>
      </c>
      <c r="P20" s="11">
        <v>11.25</v>
      </c>
      <c r="Q20" s="11">
        <v>11.25</v>
      </c>
      <c r="R20" s="11">
        <v>21.5</v>
      </c>
      <c r="S20" s="11">
        <v>21.5</v>
      </c>
      <c r="T20" s="11">
        <v>20</v>
      </c>
      <c r="U20" s="11">
        <v>20</v>
      </c>
      <c r="V20" s="11">
        <v>22</v>
      </c>
      <c r="W20" s="11">
        <v>20</v>
      </c>
      <c r="X20" s="11">
        <v>10</v>
      </c>
      <c r="Y20" s="11">
        <v>12</v>
      </c>
      <c r="Z20" s="3" t="s">
        <v>176</v>
      </c>
      <c r="AA20" s="10" t="s">
        <v>175</v>
      </c>
      <c r="AB20" s="5">
        <f>350+180+80+100+92+322+162+53.5+140+330+260+60+16+37+40+8+20+42</f>
        <v>2292.5</v>
      </c>
      <c r="AC20" s="6">
        <f>3.5+12+6+8+0+29+0+2.35+10+2.5+18+1+0.17+0+0+0+1.5+0</f>
        <v>94.02</v>
      </c>
      <c r="AD20" s="6">
        <f>0+7.5+4+4.5+0+1+3+0.5+5+0+0.02+0+0+0+1+0</f>
        <v>26.52</v>
      </c>
      <c r="AE20" s="6">
        <f>7+15+5+5+2+4+4+1+12+23+20+2+1.5+1+1+0.77+2+1</f>
        <v>107.27</v>
      </c>
      <c r="AF20" s="6">
        <f>73.5+3+0+2+24+17+42+7+0+61+5+12+3+7+10+1.1+0+13</f>
        <v>280.60000000000002</v>
      </c>
      <c r="AG20" s="6">
        <f>7+0+0+0+2+18+8+1+0+11+2+2+1+2+3+0.5+0+2</f>
        <v>59.5</v>
      </c>
      <c r="AH20" s="6">
        <f>70+420+130+360+0+14+4+0+140+0+350+420+15.02+5+0+8+100+1</f>
        <v>2037.02</v>
      </c>
      <c r="AI20" s="6">
        <f t="shared" si="1"/>
        <v>4.1011995637949834E-2</v>
      </c>
      <c r="AJ20" s="6">
        <f t="shared" si="2"/>
        <v>1.1568157033805889E-2</v>
      </c>
      <c r="AK20" s="6">
        <f t="shared" si="3"/>
        <v>4.6791712104689201E-2</v>
      </c>
      <c r="AL20" s="6">
        <f t="shared" si="4"/>
        <v>0.12239912758996729</v>
      </c>
      <c r="AM20" s="6">
        <f t="shared" si="5"/>
        <v>2.5954198473282442E-2</v>
      </c>
      <c r="AN20" s="6">
        <f t="shared" si="6"/>
        <v>0.88855834242093779</v>
      </c>
      <c r="AO20" s="7">
        <v>3</v>
      </c>
      <c r="AP20" s="7">
        <v>1</v>
      </c>
      <c r="AQ20" s="7">
        <v>0</v>
      </c>
      <c r="AR20" s="10" t="s">
        <v>172</v>
      </c>
      <c r="AS20" s="7">
        <v>0</v>
      </c>
      <c r="AT20" s="7">
        <v>0</v>
      </c>
      <c r="AU20" s="7">
        <v>0</v>
      </c>
      <c r="AV20" s="3">
        <v>0</v>
      </c>
      <c r="AW20" s="3">
        <v>31</v>
      </c>
      <c r="AX20" s="3">
        <v>1</v>
      </c>
      <c r="AY20" s="5">
        <v>5.5</v>
      </c>
      <c r="AZ20" s="3">
        <v>1</v>
      </c>
      <c r="BA20" s="3">
        <v>1</v>
      </c>
      <c r="BB20" s="3">
        <v>1</v>
      </c>
      <c r="BC20" s="3">
        <v>1</v>
      </c>
      <c r="BD20" s="3">
        <v>1</v>
      </c>
      <c r="BE20" s="3">
        <v>0</v>
      </c>
      <c r="BF20" s="3">
        <v>0</v>
      </c>
      <c r="BG20" s="3">
        <v>0</v>
      </c>
      <c r="BH20" s="3">
        <v>0</v>
      </c>
      <c r="BI20" s="3">
        <v>0</v>
      </c>
    </row>
    <row r="21" spans="1:61" ht="20.100000000000001" customHeight="1" x14ac:dyDescent="0.25">
      <c r="A21" s="3" t="s">
        <v>23</v>
      </c>
      <c r="B21" s="3">
        <v>15</v>
      </c>
      <c r="C21" s="8">
        <v>44234</v>
      </c>
      <c r="D21" s="9">
        <v>0.2638888888888889</v>
      </c>
      <c r="E21" s="4">
        <v>37</v>
      </c>
      <c r="F21" s="3">
        <v>0</v>
      </c>
      <c r="G21" s="3">
        <v>0</v>
      </c>
      <c r="H21" s="3">
        <v>0</v>
      </c>
      <c r="I21" s="3">
        <v>0</v>
      </c>
      <c r="J21" s="9">
        <v>0.25694444444444448</v>
      </c>
      <c r="K21" s="3">
        <v>140.6</v>
      </c>
      <c r="L21" s="11">
        <f t="shared" si="8"/>
        <v>-3</v>
      </c>
      <c r="M21" s="5">
        <f t="shared" si="7"/>
        <v>2292.5</v>
      </c>
      <c r="N21" s="11">
        <v>31.75</v>
      </c>
      <c r="O21" s="11">
        <v>33.75</v>
      </c>
      <c r="P21" s="11">
        <v>11.25</v>
      </c>
      <c r="Q21" s="11">
        <v>11.25</v>
      </c>
      <c r="R21" s="11">
        <v>21.25</v>
      </c>
      <c r="S21" s="11">
        <v>21.25</v>
      </c>
      <c r="T21" s="11">
        <v>21</v>
      </c>
      <c r="U21" s="11">
        <v>21</v>
      </c>
      <c r="V21" s="11">
        <v>20</v>
      </c>
      <c r="W21" s="11">
        <v>20</v>
      </c>
      <c r="X21" s="11">
        <v>10</v>
      </c>
      <c r="Y21" s="11">
        <v>10</v>
      </c>
      <c r="Z21" s="3" t="s">
        <v>178</v>
      </c>
      <c r="AA21" s="10" t="s">
        <v>177</v>
      </c>
      <c r="AB21" s="5">
        <f>300+260+60+16+37+40+8+20+105+330+260+60+16+37+40+8+20+162+322+92+300+42+105+330+260+60+16+37+40+8+20</f>
        <v>3411</v>
      </c>
      <c r="AC21" s="6">
        <f>2.5+18+1+0.17+0+0+0+1.5+0+2.5+18+1+0.17+0+0+0+1.5+0+29+0+0+0+0+2.5+18+1+0.17+0+0+0+1.5</f>
        <v>98.51</v>
      </c>
      <c r="AD21" s="6">
        <f>0.5+5+0+0.02+0+0+0+1+0+0.5+5+0+0.02+0+0+0+1+0+4+0+0+0+0+0.5+5+0+0.02+0+0+0+1</f>
        <v>23.56</v>
      </c>
      <c r="AE21" s="6">
        <f>23+20+2+1.5+1+1+0.77+2+1+23+20+2+1.5+1+1+0.77+2+4+4+2+0+1+1+23+20+2+1.5+1+1+0.77+2</f>
        <v>166.81000000000003</v>
      </c>
      <c r="AF21" s="6">
        <f>61+5+12+3+7+10+1.1+0+27+61+5+12+3+7+10+1.1+0+42+17+24+75+13+27+61+5+12+3+7+10+1.1+0</f>
        <v>522.30000000000007</v>
      </c>
      <c r="AG21" s="6">
        <f>11+2+2+1+2+3+0.5+0+3+11+2+2+1+2+3+0.5+0+8+18+2+6+2+3+11+2+2+1+2+3+0.5+0</f>
        <v>106.5</v>
      </c>
      <c r="AH21" s="6">
        <f>0+350+420+15.02+5+0+8+100+1+0+350+420+15.02+5+0+8+100+4+14+0+0+1+1+0+350+420+15.02+5+0+8+100</f>
        <v>2715.06</v>
      </c>
      <c r="AI21" s="6">
        <f t="shared" si="1"/>
        <v>2.8880093814130755E-2</v>
      </c>
      <c r="AJ21" s="6">
        <f t="shared" si="2"/>
        <v>6.9070653767223681E-3</v>
      </c>
      <c r="AK21" s="6">
        <f t="shared" si="3"/>
        <v>4.8903547346819121E-2</v>
      </c>
      <c r="AL21" s="6">
        <f t="shared" si="4"/>
        <v>0.15312225153913811</v>
      </c>
      <c r="AM21" s="6">
        <f t="shared" si="5"/>
        <v>3.1222515391380826E-2</v>
      </c>
      <c r="AN21" s="6">
        <f t="shared" si="6"/>
        <v>0.79597185576077401</v>
      </c>
      <c r="AO21" s="7">
        <v>3</v>
      </c>
      <c r="AP21" s="7">
        <v>2</v>
      </c>
      <c r="AQ21" s="7">
        <v>0</v>
      </c>
      <c r="AR21" s="7">
        <v>0</v>
      </c>
      <c r="AS21" s="7">
        <v>0</v>
      </c>
      <c r="AT21" s="7">
        <v>0</v>
      </c>
      <c r="AU21" s="7">
        <v>0</v>
      </c>
      <c r="AV21" s="3">
        <v>0</v>
      </c>
      <c r="AW21" s="3">
        <v>31</v>
      </c>
      <c r="AX21" s="3">
        <v>1</v>
      </c>
      <c r="AY21" s="5">
        <v>7.5</v>
      </c>
      <c r="AZ21" s="3">
        <v>1</v>
      </c>
      <c r="BA21" s="3">
        <v>1</v>
      </c>
      <c r="BB21" s="3">
        <v>1</v>
      </c>
      <c r="BC21" s="3">
        <v>1</v>
      </c>
      <c r="BD21" s="3">
        <v>1</v>
      </c>
      <c r="BE21" s="3">
        <v>0</v>
      </c>
      <c r="BF21" s="3">
        <v>0</v>
      </c>
      <c r="BG21" s="3">
        <v>0</v>
      </c>
      <c r="BH21" s="3">
        <v>0</v>
      </c>
      <c r="BI21" s="3">
        <v>0</v>
      </c>
    </row>
    <row r="22" spans="1:61" ht="20.100000000000001" customHeight="1" x14ac:dyDescent="0.25">
      <c r="A22" s="3" t="s">
        <v>15</v>
      </c>
      <c r="B22" s="3">
        <v>16</v>
      </c>
      <c r="C22" s="8">
        <v>44235</v>
      </c>
      <c r="D22" s="9">
        <v>0.58333333333333337</v>
      </c>
      <c r="E22" s="4">
        <v>67</v>
      </c>
      <c r="F22" s="3">
        <v>0</v>
      </c>
      <c r="G22" s="3">
        <v>0</v>
      </c>
      <c r="H22" s="3">
        <v>0</v>
      </c>
      <c r="I22" s="3">
        <v>0</v>
      </c>
      <c r="J22" s="9">
        <v>0.34027777777777773</v>
      </c>
      <c r="K22" s="3">
        <v>142</v>
      </c>
      <c r="L22" s="11">
        <f t="shared" si="8"/>
        <v>1.4000000000000057</v>
      </c>
      <c r="M22" s="5">
        <f t="shared" si="7"/>
        <v>3411</v>
      </c>
      <c r="N22" s="11">
        <v>31.5</v>
      </c>
      <c r="O22" s="11">
        <v>33</v>
      </c>
      <c r="P22" s="11">
        <v>11.25</v>
      </c>
      <c r="Q22" s="11">
        <v>11.25</v>
      </c>
      <c r="R22" s="11">
        <v>20.75</v>
      </c>
      <c r="S22" s="11">
        <v>20.75</v>
      </c>
      <c r="T22" s="11">
        <v>18</v>
      </c>
      <c r="U22" s="11">
        <v>18</v>
      </c>
      <c r="V22" s="11">
        <v>18</v>
      </c>
      <c r="W22" s="11">
        <v>18</v>
      </c>
      <c r="X22" s="11">
        <v>10</v>
      </c>
      <c r="Y22" s="11">
        <v>10</v>
      </c>
      <c r="Z22" s="3" t="s">
        <v>184</v>
      </c>
      <c r="AA22" s="10" t="s">
        <v>183</v>
      </c>
      <c r="AB22" s="5">
        <f>330+260+60+16+37+40+8+20+105+100+330+260+60+16+37+40+8+20+350.25+132.5+118+325+81+92+105+350.25+132.5+118</f>
        <v>3551.5</v>
      </c>
      <c r="AC22" s="6">
        <f>2.5+18+1+0.17+0+0+0+1.5+0+7+2.5+18+1+0.17+0+0+0+1.5+32.2+6+0+21.125+0+0+0+32.2+6+0</f>
        <v>150.86500000000001</v>
      </c>
      <c r="AD22" s="6">
        <f>2*(0.5+5+0+0.02+0+0+0+1)+0+6+3.5+2.75+0+19.5+0+0+0+3.5+2.75+0</f>
        <v>51.04</v>
      </c>
      <c r="AE22" s="6">
        <f>2*(23+20+2+1.5+1+1+0.77+2)+1+1+2*(5+7.25+2)+3.25+2+2+1</f>
        <v>141.29000000000002</v>
      </c>
      <c r="AF22" s="6">
        <f>2*(61+5+12+3+7+10+1.1+0)+27+11+2*(13.25+14.75+28)+35.75+21+24+27</f>
        <v>455.95</v>
      </c>
      <c r="AG22" s="6">
        <f>2*(11+2+2+1+2+3+0.5+0)+3+1+2*(4.35+3.5+4)+3.25+4+2+3</f>
        <v>82.95</v>
      </c>
      <c r="AH22" s="6">
        <f>2*(0+350+420+15.02+5+0+8+100)+1+10+2*(207.25+462.5+9)+32.5+2+0+1</f>
        <v>3200.04</v>
      </c>
      <c r="AI22" s="6">
        <f t="shared" si="1"/>
        <v>4.2479234126425458E-2</v>
      </c>
      <c r="AJ22" s="6">
        <f t="shared" si="2"/>
        <v>1.437139236942137E-2</v>
      </c>
      <c r="AK22" s="6">
        <f t="shared" si="3"/>
        <v>3.9783190201323392E-2</v>
      </c>
      <c r="AL22" s="6">
        <f t="shared" si="4"/>
        <v>0.12838237364493876</v>
      </c>
      <c r="AM22" s="6">
        <f t="shared" si="5"/>
        <v>2.3356328311980853E-2</v>
      </c>
      <c r="AN22" s="6">
        <f t="shared" si="6"/>
        <v>0.90103899760664508</v>
      </c>
      <c r="AO22" s="7">
        <v>3</v>
      </c>
      <c r="AP22" s="7">
        <v>2</v>
      </c>
      <c r="AQ22" s="7">
        <v>0</v>
      </c>
      <c r="AR22" s="7">
        <v>0</v>
      </c>
      <c r="AS22" s="7">
        <v>0</v>
      </c>
      <c r="AT22" s="7">
        <v>0</v>
      </c>
      <c r="AU22" s="7">
        <v>0</v>
      </c>
      <c r="AV22" s="3">
        <v>0</v>
      </c>
      <c r="AW22" s="3">
        <v>31</v>
      </c>
      <c r="AX22" s="3">
        <v>1</v>
      </c>
      <c r="AY22" s="5">
        <v>8</v>
      </c>
      <c r="AZ22" s="3">
        <v>1</v>
      </c>
      <c r="BA22" s="3">
        <v>1</v>
      </c>
      <c r="BB22" s="3">
        <v>0</v>
      </c>
      <c r="BC22" s="3">
        <v>1</v>
      </c>
      <c r="BD22" s="3">
        <v>1</v>
      </c>
      <c r="BE22" s="3">
        <v>0</v>
      </c>
      <c r="BF22" s="3">
        <v>0</v>
      </c>
      <c r="BG22" s="3">
        <v>0</v>
      </c>
      <c r="BH22" s="3">
        <v>0</v>
      </c>
      <c r="BI22" s="3">
        <v>0</v>
      </c>
    </row>
    <row r="23" spans="1:61" ht="20.100000000000001" customHeight="1" x14ac:dyDescent="0.25">
      <c r="A23" s="3" t="s">
        <v>16</v>
      </c>
      <c r="B23" s="3">
        <v>17</v>
      </c>
      <c r="C23" s="8">
        <v>44236</v>
      </c>
      <c r="D23" s="9">
        <v>0.60416666666666663</v>
      </c>
      <c r="E23" s="4">
        <v>59</v>
      </c>
      <c r="F23" s="3">
        <v>15</v>
      </c>
      <c r="G23" s="3">
        <v>3</v>
      </c>
      <c r="H23" s="3">
        <v>45</v>
      </c>
      <c r="I23" s="3">
        <v>1</v>
      </c>
      <c r="J23" s="9">
        <v>0.32291666666666669</v>
      </c>
      <c r="K23" s="3">
        <v>140.19999999999999</v>
      </c>
      <c r="L23" s="11">
        <f t="shared" si="8"/>
        <v>-1.8000000000000114</v>
      </c>
      <c r="M23" s="5">
        <f t="shared" si="7"/>
        <v>3551.5</v>
      </c>
      <c r="N23" s="11">
        <v>31.5</v>
      </c>
      <c r="O23" s="11">
        <v>33.75</v>
      </c>
      <c r="P23" s="11">
        <v>11.25</v>
      </c>
      <c r="Q23" s="11">
        <v>11.25</v>
      </c>
      <c r="R23" s="11">
        <v>20.5</v>
      </c>
      <c r="S23" s="11">
        <v>21</v>
      </c>
      <c r="T23" s="11">
        <v>20</v>
      </c>
      <c r="U23" s="11">
        <v>20</v>
      </c>
      <c r="V23" s="11">
        <v>20</v>
      </c>
      <c r="W23" s="11">
        <v>18</v>
      </c>
      <c r="X23" s="11">
        <v>10</v>
      </c>
      <c r="Y23" s="11">
        <v>10</v>
      </c>
      <c r="Z23" s="3" t="s">
        <v>196</v>
      </c>
      <c r="AA23" s="10" t="s">
        <v>195</v>
      </c>
      <c r="AB23" s="5">
        <f>140+241.5+105+92+81+100+132.5+241.5+60+132.5+350.25+118+200+50</f>
        <v>2044.25</v>
      </c>
      <c r="AC23" s="6">
        <f>10+21.75+0+0+0+1+6+21.75+5+6+32.2+0+16+0</f>
        <v>119.7</v>
      </c>
      <c r="AD23" s="6">
        <f>3+3+0+0+0+2.75+3+3.5+2.75+3.5+0+10+0</f>
        <v>31.5</v>
      </c>
      <c r="AE23" s="6">
        <f>12+3+1+2+2+2+7.25+3+1+7.25+5+2+14+0</f>
        <v>61.5</v>
      </c>
      <c r="AF23" s="6">
        <f>0+12.75+27+24+21+21+14.75+12.75+0+14.75+13.25+28+0+12</f>
        <v>201.25</v>
      </c>
      <c r="AG23" s="6">
        <f>0+13.5+3+2+4+2+3.5+13.5+1+3.5+4.35+4+0+2</f>
        <v>56.35</v>
      </c>
      <c r="AH23" s="6">
        <f>140+10.5+1+0+2+60+462.5+10.5+15+462.5+207.25+9+340+0</f>
        <v>1720.25</v>
      </c>
      <c r="AI23" s="6">
        <f t="shared" si="1"/>
        <v>5.8554482083893848E-2</v>
      </c>
      <c r="AJ23" s="6">
        <f t="shared" si="2"/>
        <v>1.5409074232603645E-2</v>
      </c>
      <c r="AK23" s="6">
        <f t="shared" si="3"/>
        <v>3.0084383025559495E-2</v>
      </c>
      <c r="AL23" s="6">
        <f t="shared" si="4"/>
        <v>9.8446863152745506E-2</v>
      </c>
      <c r="AM23" s="6">
        <f t="shared" si="5"/>
        <v>2.7565121682768742E-2</v>
      </c>
      <c r="AN23" s="6">
        <f t="shared" si="6"/>
        <v>0.84150666503607685</v>
      </c>
      <c r="AO23" s="7">
        <v>3</v>
      </c>
      <c r="AP23" s="7">
        <v>1</v>
      </c>
      <c r="AQ23" s="7">
        <v>0</v>
      </c>
      <c r="AR23" s="10" t="s">
        <v>194</v>
      </c>
      <c r="AS23" s="3" t="s">
        <v>255</v>
      </c>
      <c r="AT23" s="7" t="s">
        <v>256</v>
      </c>
      <c r="AU23" s="7">
        <v>10</v>
      </c>
      <c r="AV23" s="3">
        <v>-5</v>
      </c>
      <c r="AW23" s="3">
        <v>31</v>
      </c>
      <c r="AX23" s="3">
        <v>1</v>
      </c>
      <c r="AY23" s="5">
        <v>7</v>
      </c>
      <c r="AZ23" s="3">
        <v>1</v>
      </c>
      <c r="BA23" s="3">
        <v>1</v>
      </c>
      <c r="BB23" s="3">
        <v>1</v>
      </c>
      <c r="BC23" s="3">
        <v>1</v>
      </c>
      <c r="BD23" s="3">
        <v>1</v>
      </c>
      <c r="BE23" s="3">
        <v>0</v>
      </c>
      <c r="BF23" s="3">
        <v>1</v>
      </c>
      <c r="BG23" s="3">
        <v>30</v>
      </c>
      <c r="BH23" s="3">
        <v>0</v>
      </c>
      <c r="BI23" s="3">
        <v>0</v>
      </c>
    </row>
    <row r="24" spans="1:61" ht="20.100000000000001" customHeight="1" x14ac:dyDescent="0.25">
      <c r="A24" s="3" t="s">
        <v>16</v>
      </c>
      <c r="B24" s="3">
        <v>17</v>
      </c>
      <c r="C24" s="8">
        <v>44236</v>
      </c>
      <c r="D24" s="9">
        <v>0.60416666666666663</v>
      </c>
      <c r="E24" s="4">
        <v>59</v>
      </c>
      <c r="F24" s="3">
        <v>15</v>
      </c>
      <c r="G24" s="3">
        <v>3</v>
      </c>
      <c r="H24" s="3">
        <v>45</v>
      </c>
      <c r="I24" s="3">
        <v>1</v>
      </c>
      <c r="J24" s="9">
        <v>0.79166666666666663</v>
      </c>
      <c r="K24" s="3">
        <v>142.6</v>
      </c>
      <c r="L24" s="11">
        <f t="shared" ref="L24" si="9">K24-K23</f>
        <v>2.4000000000000057</v>
      </c>
      <c r="M24" s="5">
        <f t="shared" ref="M24" si="10">AB23</f>
        <v>2044.25</v>
      </c>
      <c r="N24" s="11">
        <v>33</v>
      </c>
      <c r="O24" s="11">
        <v>34</v>
      </c>
      <c r="P24" s="11">
        <v>11.25</v>
      </c>
      <c r="Q24" s="11">
        <v>11.25</v>
      </c>
      <c r="R24" s="11">
        <v>21.625</v>
      </c>
      <c r="S24" s="11">
        <v>21.75</v>
      </c>
      <c r="T24" s="11">
        <v>20</v>
      </c>
      <c r="U24" s="11">
        <v>18</v>
      </c>
      <c r="V24" s="11">
        <v>19</v>
      </c>
      <c r="W24" s="11">
        <v>19</v>
      </c>
      <c r="X24" s="11">
        <v>10</v>
      </c>
      <c r="Y24" s="11">
        <v>8</v>
      </c>
      <c r="Z24" s="3" t="s">
        <v>196</v>
      </c>
      <c r="AA24" s="10" t="s">
        <v>195</v>
      </c>
      <c r="AB24" s="5">
        <f>140+241.5+105+92+81+100+132.5+241.5+60+132.5+350.25+118+200+50</f>
        <v>2044.25</v>
      </c>
      <c r="AC24" s="6">
        <f>10+21.75+0+0+0+1+6+21.75+5+6+32.2+0+16+0</f>
        <v>119.7</v>
      </c>
      <c r="AD24" s="6">
        <f>3+3+0+0+0+2.75+3+3.5+2.75+3.5+0+10+0</f>
        <v>31.5</v>
      </c>
      <c r="AE24" s="6">
        <f>12+3+1+2+2+2+7.25+3+1+7.25+5+2+14+0</f>
        <v>61.5</v>
      </c>
      <c r="AF24" s="6">
        <f>0+12.75+27+24+21+21+14.75+12.75+0+14.75+13.25+28+0+12</f>
        <v>201.25</v>
      </c>
      <c r="AG24" s="6">
        <f>0+13.5+3+2+4+2+3.5+13.5+1+3.5+4.35+4+0+2</f>
        <v>56.35</v>
      </c>
      <c r="AH24" s="6">
        <f>140+10.5+1+0+2+60+462.5+10.5+15+462.5+207.25+9+340+0</f>
        <v>1720.25</v>
      </c>
      <c r="AI24" s="6">
        <f t="shared" si="1"/>
        <v>5.8554482083893848E-2</v>
      </c>
      <c r="AJ24" s="6">
        <f t="shared" si="2"/>
        <v>1.5409074232603645E-2</v>
      </c>
      <c r="AK24" s="6">
        <f t="shared" si="3"/>
        <v>3.0084383025559495E-2</v>
      </c>
      <c r="AL24" s="6">
        <f t="shared" si="4"/>
        <v>9.8446863152745506E-2</v>
      </c>
      <c r="AM24" s="6">
        <f t="shared" si="5"/>
        <v>2.7565121682768742E-2</v>
      </c>
      <c r="AN24" s="6">
        <f t="shared" si="6"/>
        <v>0.84150666503607685</v>
      </c>
      <c r="AO24" s="7">
        <v>3</v>
      </c>
      <c r="AP24" s="7">
        <v>1</v>
      </c>
      <c r="AQ24" s="7">
        <v>0</v>
      </c>
      <c r="AR24" s="10" t="s">
        <v>194</v>
      </c>
      <c r="AS24" s="3" t="s">
        <v>255</v>
      </c>
      <c r="AT24" s="7" t="s">
        <v>256</v>
      </c>
      <c r="AU24" s="7">
        <v>10</v>
      </c>
      <c r="AV24" s="3">
        <v>-5</v>
      </c>
      <c r="AW24" s="3">
        <v>31</v>
      </c>
      <c r="AX24" s="3">
        <v>1</v>
      </c>
      <c r="AY24" s="5">
        <v>7</v>
      </c>
      <c r="AZ24" s="3">
        <v>1</v>
      </c>
      <c r="BA24" s="3">
        <v>1</v>
      </c>
      <c r="BB24" s="3">
        <v>1</v>
      </c>
      <c r="BC24" s="3">
        <v>1</v>
      </c>
      <c r="BD24" s="3">
        <v>1</v>
      </c>
      <c r="BE24" s="3">
        <v>0</v>
      </c>
      <c r="BF24" s="3">
        <v>1</v>
      </c>
      <c r="BG24" s="3">
        <v>30</v>
      </c>
      <c r="BH24" s="3">
        <v>0</v>
      </c>
      <c r="BI24" s="3">
        <v>0</v>
      </c>
    </row>
    <row r="25" spans="1:61" ht="20.100000000000001" customHeight="1" x14ac:dyDescent="0.25">
      <c r="A25" s="3" t="s">
        <v>17</v>
      </c>
      <c r="B25" s="3">
        <v>18</v>
      </c>
      <c r="C25" s="8">
        <v>44237</v>
      </c>
      <c r="D25" s="9">
        <v>0.6875</v>
      </c>
      <c r="E25" s="4">
        <v>63</v>
      </c>
      <c r="F25" s="3">
        <v>9</v>
      </c>
      <c r="G25" s="3">
        <v>5</v>
      </c>
      <c r="H25" s="3">
        <v>45</v>
      </c>
      <c r="I25" s="3">
        <v>0</v>
      </c>
      <c r="J25" s="9">
        <v>0.23958333333333334</v>
      </c>
      <c r="K25" s="3">
        <v>139.4</v>
      </c>
      <c r="L25" s="11">
        <f t="shared" ref="L25" si="11">K25-K24</f>
        <v>-3.1999999999999886</v>
      </c>
      <c r="M25" s="5">
        <f t="shared" ref="M25" si="12">AB24</f>
        <v>2044.25</v>
      </c>
      <c r="N25" s="11">
        <v>31.5</v>
      </c>
      <c r="O25" s="11">
        <v>33.25</v>
      </c>
      <c r="P25" s="11">
        <v>11</v>
      </c>
      <c r="Q25" s="11">
        <v>11.125</v>
      </c>
      <c r="R25" s="11">
        <v>21</v>
      </c>
      <c r="S25" s="11">
        <v>20.75</v>
      </c>
      <c r="T25" s="11">
        <v>19</v>
      </c>
      <c r="U25" s="11">
        <v>20</v>
      </c>
      <c r="V25" s="11">
        <v>19</v>
      </c>
      <c r="W25" s="11">
        <v>19</v>
      </c>
      <c r="X25" s="11">
        <v>9</v>
      </c>
      <c r="Y25" s="11">
        <v>9</v>
      </c>
      <c r="Z25" s="3" t="s">
        <v>253</v>
      </c>
      <c r="AA25" s="10" t="s">
        <v>250</v>
      </c>
      <c r="AB25" s="5">
        <f>132.5+350.25+118+60+132.5+350.25+118+162+184+140+60+144+160+241.5</f>
        <v>2353</v>
      </c>
      <c r="AC25" s="6">
        <f>6+32.2+0+5+6+32.2+0+0+0+10+5+0+12+21.75</f>
        <v>130.15</v>
      </c>
      <c r="AD25" s="6">
        <f>2.75+3.5+0+3.5+2.75+3.5+0+0+0+3+3.5+0+8+3</f>
        <v>33.5</v>
      </c>
      <c r="AE25" s="6">
        <f>7.25+5+2+1+7.25+5+2+4+4+12+1+4+10+3</f>
        <v>67.5</v>
      </c>
      <c r="AF25" s="6">
        <f>14.75+13.25+28+0+14.75+13.25+28+42+48+0+0+28+0+12.75</f>
        <v>242.75</v>
      </c>
      <c r="AG25" s="6">
        <f>3.5+4.35+4+1+3.5+4.35+4+8+4+0+1+4+0+13.5</f>
        <v>55.2</v>
      </c>
      <c r="AH25" s="6">
        <f>1874</f>
        <v>1874</v>
      </c>
      <c r="AI25" s="6">
        <f t="shared" si="1"/>
        <v>5.5312367190820229E-2</v>
      </c>
      <c r="AJ25" s="6">
        <f t="shared" si="2"/>
        <v>1.4237144071398216E-2</v>
      </c>
      <c r="AK25" s="6">
        <f t="shared" si="3"/>
        <v>2.868678283042924E-2</v>
      </c>
      <c r="AL25" s="6">
        <f t="shared" si="4"/>
        <v>0.10316617084572886</v>
      </c>
      <c r="AM25" s="6">
        <f t="shared" si="5"/>
        <v>2.3459413514662134E-2</v>
      </c>
      <c r="AN25" s="6">
        <f t="shared" si="6"/>
        <v>0.79643008924776881</v>
      </c>
      <c r="AO25" s="7">
        <v>3</v>
      </c>
      <c r="AP25" s="7">
        <v>1</v>
      </c>
      <c r="AQ25" s="7">
        <v>0</v>
      </c>
      <c r="AR25" s="7">
        <v>0</v>
      </c>
      <c r="AS25" s="7">
        <v>0</v>
      </c>
      <c r="AT25" s="7">
        <v>0</v>
      </c>
      <c r="AU25" s="7">
        <v>0</v>
      </c>
      <c r="AV25" s="3">
        <v>0</v>
      </c>
      <c r="AW25" s="3">
        <v>31</v>
      </c>
      <c r="AX25" s="3">
        <v>1</v>
      </c>
      <c r="AY25" s="5">
        <v>8</v>
      </c>
      <c r="AZ25" s="3">
        <v>1</v>
      </c>
      <c r="BA25" s="3">
        <v>1</v>
      </c>
      <c r="BB25" s="3">
        <v>1</v>
      </c>
      <c r="BC25" s="3">
        <v>1</v>
      </c>
      <c r="BD25" s="3">
        <v>1</v>
      </c>
      <c r="BE25" s="3">
        <v>0</v>
      </c>
      <c r="BF25" s="3">
        <v>0</v>
      </c>
      <c r="BG25" s="3">
        <v>0</v>
      </c>
      <c r="BH25" s="3">
        <v>0</v>
      </c>
      <c r="BI25" s="3">
        <v>0</v>
      </c>
    </row>
    <row r="26" spans="1:61" ht="20.100000000000001" customHeight="1" x14ac:dyDescent="0.25">
      <c r="A26" s="3" t="s">
        <v>17</v>
      </c>
      <c r="B26" s="3">
        <v>18</v>
      </c>
      <c r="C26" s="8">
        <v>44237</v>
      </c>
      <c r="D26" s="9">
        <v>0.6875</v>
      </c>
      <c r="E26" s="4">
        <v>63</v>
      </c>
      <c r="F26" s="3">
        <v>9</v>
      </c>
      <c r="G26" s="3">
        <v>5</v>
      </c>
      <c r="H26" s="3">
        <v>45</v>
      </c>
      <c r="I26" s="3">
        <v>0</v>
      </c>
      <c r="J26" s="9">
        <v>0.80208333333333337</v>
      </c>
      <c r="K26" s="3">
        <v>142.19999999999999</v>
      </c>
      <c r="L26" s="11">
        <f t="shared" ref="L26" si="13">K26-K25</f>
        <v>2.7999999999999829</v>
      </c>
      <c r="M26" s="5">
        <f t="shared" ref="M26" si="14">AB25</f>
        <v>2353</v>
      </c>
      <c r="N26" s="11">
        <v>31.5</v>
      </c>
      <c r="O26" s="11">
        <v>33.5</v>
      </c>
      <c r="P26" s="11">
        <v>11</v>
      </c>
      <c r="Q26" s="11">
        <v>11.25</v>
      </c>
      <c r="R26" s="11">
        <v>20.5</v>
      </c>
      <c r="S26" s="11">
        <v>20.75</v>
      </c>
      <c r="T26" s="11">
        <v>16</v>
      </c>
      <c r="U26" s="11">
        <v>18</v>
      </c>
      <c r="V26" s="11">
        <v>19</v>
      </c>
      <c r="W26" s="11">
        <v>19</v>
      </c>
      <c r="X26" s="11">
        <v>9</v>
      </c>
      <c r="Y26" s="11">
        <v>8</v>
      </c>
      <c r="Z26" s="3" t="s">
        <v>257</v>
      </c>
      <c r="AA26" s="10" t="s">
        <v>250</v>
      </c>
      <c r="AB26" s="5">
        <f>132.5+350.25+118+60+132.5+350.25+118+162+184+140+60+144+160+241.5</f>
        <v>2353</v>
      </c>
      <c r="AC26" s="6">
        <f>6+32.2+0+5+6+32.2+0+0+0+10+5+0+12+21.75</f>
        <v>130.15</v>
      </c>
      <c r="AD26" s="6">
        <f>2.75+3.5+0+3.5+2.75+3.5+0+0+0+3+3.5+0+8+3</f>
        <v>33.5</v>
      </c>
      <c r="AE26" s="6">
        <f>7.25+5+2+1+7.25+5+2+4+4+12+1+4+10+3</f>
        <v>67.5</v>
      </c>
      <c r="AF26" s="6">
        <f>14.75+13.25+28+0+14.75+13.25+28+42+48+0+0+28+0+12.75</f>
        <v>242.75</v>
      </c>
      <c r="AG26" s="6">
        <f>3.5+4.35+4+1+3.5+4.35+4+8+4+0+1+4+0+13.5</f>
        <v>55.2</v>
      </c>
      <c r="AH26" s="6">
        <f>1874</f>
        <v>1874</v>
      </c>
      <c r="AI26" s="6">
        <f t="shared" si="1"/>
        <v>5.5312367190820229E-2</v>
      </c>
      <c r="AJ26" s="6">
        <f t="shared" si="2"/>
        <v>1.4237144071398216E-2</v>
      </c>
      <c r="AK26" s="6">
        <f t="shared" si="3"/>
        <v>2.868678283042924E-2</v>
      </c>
      <c r="AL26" s="6">
        <f t="shared" si="4"/>
        <v>0.10316617084572886</v>
      </c>
      <c r="AM26" s="6">
        <f t="shared" si="5"/>
        <v>2.3459413514662134E-2</v>
      </c>
      <c r="AN26" s="6">
        <f t="shared" si="6"/>
        <v>0.79643008924776881</v>
      </c>
      <c r="AO26" s="7">
        <v>3</v>
      </c>
      <c r="AP26" s="7">
        <v>1</v>
      </c>
      <c r="AQ26" s="7">
        <v>0</v>
      </c>
      <c r="AR26" s="7">
        <v>0</v>
      </c>
      <c r="AS26" s="7">
        <v>0</v>
      </c>
      <c r="AT26" s="7">
        <v>0</v>
      </c>
      <c r="AU26" s="7">
        <v>0</v>
      </c>
      <c r="AV26" s="3">
        <v>0</v>
      </c>
      <c r="AW26" s="3">
        <v>31</v>
      </c>
      <c r="AX26" s="3">
        <v>1</v>
      </c>
      <c r="AY26" s="5">
        <v>8</v>
      </c>
      <c r="AZ26" s="3">
        <v>1</v>
      </c>
      <c r="BA26" s="3">
        <v>1</v>
      </c>
      <c r="BB26" s="3">
        <v>1</v>
      </c>
      <c r="BC26" s="3">
        <v>1</v>
      </c>
      <c r="BD26" s="3">
        <v>1</v>
      </c>
      <c r="BE26" s="3">
        <v>0</v>
      </c>
      <c r="BF26" s="3">
        <v>0</v>
      </c>
      <c r="BG26" s="3">
        <v>0</v>
      </c>
      <c r="BH26" s="3">
        <v>0</v>
      </c>
      <c r="BI26" s="3">
        <v>0</v>
      </c>
    </row>
    <row r="27" spans="1:61" ht="20.100000000000001" customHeight="1" x14ac:dyDescent="0.25">
      <c r="A27" s="3" t="s">
        <v>18</v>
      </c>
      <c r="B27" s="3">
        <v>19</v>
      </c>
      <c r="C27" s="8">
        <v>44238</v>
      </c>
      <c r="D27" s="9">
        <v>0.59027777777777779</v>
      </c>
      <c r="E27" s="4">
        <v>70</v>
      </c>
      <c r="F27" s="3">
        <v>0</v>
      </c>
      <c r="G27" s="3">
        <v>0</v>
      </c>
      <c r="H27" s="3">
        <v>0</v>
      </c>
      <c r="I27" s="3">
        <v>1</v>
      </c>
      <c r="J27" s="9">
        <v>0.15972222222222224</v>
      </c>
      <c r="K27" s="3">
        <v>140</v>
      </c>
      <c r="L27" s="11">
        <f t="shared" ref="L27" si="15">K27-K26</f>
        <v>-2.1999999999999886</v>
      </c>
      <c r="M27" s="5">
        <f t="shared" ref="M27" si="16">AB26</f>
        <v>2353</v>
      </c>
      <c r="N27" s="11">
        <v>31.25</v>
      </c>
      <c r="O27" s="11">
        <v>32.75</v>
      </c>
      <c r="P27" s="11">
        <v>11</v>
      </c>
      <c r="Q27" s="11">
        <v>11</v>
      </c>
      <c r="R27" s="11">
        <v>20.5</v>
      </c>
      <c r="S27" s="11">
        <v>20.75</v>
      </c>
      <c r="T27" s="11">
        <v>17</v>
      </c>
      <c r="U27" s="11">
        <v>17</v>
      </c>
      <c r="V27" s="11">
        <v>18</v>
      </c>
      <c r="W27" s="11">
        <v>17</v>
      </c>
      <c r="X27" s="11">
        <v>8</v>
      </c>
      <c r="Y27" s="11">
        <v>7</v>
      </c>
      <c r="Z27" s="3" t="s">
        <v>262</v>
      </c>
      <c r="AA27" s="10" t="s">
        <v>263</v>
      </c>
      <c r="AB27" s="5">
        <f>70+30+164+160+210+164+160+100+100+5+1.25+13.125+60+3.75+4.375+200+30+100+25+615</f>
        <v>2215.5</v>
      </c>
      <c r="AC27" s="6">
        <f>5+2.5+0+12+15+0+12+8+10+0.375+0.65+0+0.1875+0+20+2.25+8+0+0</f>
        <v>95.962500000000006</v>
      </c>
      <c r="AD27" s="6">
        <f>1.5+1.75+0+8+4.5+0+8+4.5+1+0+0+0+0+0+2+0+5+0+0</f>
        <v>36.25</v>
      </c>
      <c r="AE27" s="6">
        <f>6+0.5+4+10+18+4+10+5+2.5+0.125+0.125+0.47+0.47+5+0.75+7+0+0</f>
        <v>73.94</v>
      </c>
      <c r="AF27" s="6">
        <f>0.25+0.375+3.375+0.125+1.125+4+1.5+0+6+20</f>
        <v>36.75</v>
      </c>
      <c r="AG27" s="6">
        <f>0+0.5+4+0+0+4+0+1+1+0.125+0.125+2+0.75+0+1+0</f>
        <v>14.5</v>
      </c>
      <c r="AH27" s="6">
        <f>70+7.5+72+260+210+72+260+360+0+22.5+0+0.125+0+0.47+17+0+135+170+0+30</f>
        <v>1686.595</v>
      </c>
      <c r="AI27" s="6">
        <f t="shared" si="1"/>
        <v>4.3314150304671631E-2</v>
      </c>
      <c r="AJ27" s="6">
        <f t="shared" si="2"/>
        <v>1.6361995034980818E-2</v>
      </c>
      <c r="AK27" s="6">
        <f t="shared" si="3"/>
        <v>3.3373956217558114E-2</v>
      </c>
      <c r="AL27" s="6">
        <f t="shared" si="4"/>
        <v>1.6587677725118485E-2</v>
      </c>
      <c r="AM27" s="6">
        <f t="shared" si="5"/>
        <v>6.5447980139923265E-3</v>
      </c>
      <c r="AN27" s="6">
        <f t="shared" si="6"/>
        <v>0.7612705935454751</v>
      </c>
      <c r="AO27" s="7">
        <v>3</v>
      </c>
      <c r="AP27" s="7">
        <v>1</v>
      </c>
      <c r="AQ27" s="7">
        <v>0</v>
      </c>
      <c r="AR27" s="10" t="s">
        <v>258</v>
      </c>
      <c r="AS27" s="7" t="s">
        <v>261</v>
      </c>
      <c r="AT27" s="7">
        <v>0</v>
      </c>
      <c r="AU27" s="7">
        <f>5+10+5+5+5+10+10+10</f>
        <v>60</v>
      </c>
      <c r="AV27" s="7">
        <v>0</v>
      </c>
      <c r="AW27" s="3">
        <v>31</v>
      </c>
      <c r="AX27" s="3">
        <v>1</v>
      </c>
      <c r="AY27" s="5">
        <v>7</v>
      </c>
      <c r="AZ27" s="3">
        <v>1</v>
      </c>
      <c r="BA27" s="3">
        <v>1</v>
      </c>
      <c r="BB27" s="3">
        <v>1</v>
      </c>
      <c r="BC27" s="3">
        <v>1</v>
      </c>
      <c r="BD27" s="3">
        <v>1</v>
      </c>
      <c r="BE27" s="3">
        <v>0</v>
      </c>
      <c r="BF27" s="3">
        <v>0</v>
      </c>
      <c r="BG27" s="3">
        <v>0</v>
      </c>
      <c r="BH27" s="3">
        <v>0.5</v>
      </c>
      <c r="BI27" s="3">
        <v>0</v>
      </c>
    </row>
    <row r="28" spans="1:61" ht="20.100000000000001" customHeight="1" x14ac:dyDescent="0.25">
      <c r="A28" s="3" t="s">
        <v>18</v>
      </c>
      <c r="B28" s="3">
        <v>19</v>
      </c>
      <c r="C28" s="8">
        <v>44238</v>
      </c>
      <c r="D28" s="9">
        <v>0.59027777777777779</v>
      </c>
      <c r="E28" s="4">
        <v>70</v>
      </c>
      <c r="F28" s="3">
        <v>0</v>
      </c>
      <c r="G28" s="3">
        <v>0</v>
      </c>
      <c r="H28" s="3">
        <v>0</v>
      </c>
      <c r="I28" s="3">
        <v>1</v>
      </c>
      <c r="J28" s="9">
        <v>0.69791666666666663</v>
      </c>
      <c r="K28" s="3">
        <v>141</v>
      </c>
      <c r="L28" s="11">
        <f t="shared" ref="L28" si="17">K28-K27</f>
        <v>1</v>
      </c>
      <c r="M28" s="5">
        <f t="shared" ref="M28" si="18">AB27</f>
        <v>2215.5</v>
      </c>
      <c r="N28" s="11">
        <v>31</v>
      </c>
      <c r="O28" s="11">
        <v>32.25</v>
      </c>
      <c r="P28" s="11">
        <v>10.625</v>
      </c>
      <c r="Q28" s="11">
        <v>11.125</v>
      </c>
      <c r="R28" s="11">
        <v>20.75</v>
      </c>
      <c r="S28" s="11">
        <v>21</v>
      </c>
      <c r="T28" s="11">
        <v>17</v>
      </c>
      <c r="U28" s="11">
        <v>18</v>
      </c>
      <c r="V28" s="11">
        <v>16</v>
      </c>
      <c r="W28" s="11">
        <v>18</v>
      </c>
      <c r="X28" s="11">
        <v>8</v>
      </c>
      <c r="Y28" s="11">
        <v>7</v>
      </c>
      <c r="Z28" s="3" t="s">
        <v>262</v>
      </c>
      <c r="AA28" s="10" t="s">
        <v>263</v>
      </c>
      <c r="AB28" s="5">
        <f>70+30+164+160+210+164+160+100+100+5+1.25+13.125+60+3.75+4.375+200+30+100+25+615</f>
        <v>2215.5</v>
      </c>
      <c r="AC28" s="6">
        <f>5+2.5+0+12+15+0+12+8+10+0.375+0.65+0+0.1875+0+20+2.25+8+0+0</f>
        <v>95.962500000000006</v>
      </c>
      <c r="AD28" s="6">
        <f>1.5+1.75+0+8+4.5+0+8+4.5+1+0+0+0+0+0+2+0+5+0+0</f>
        <v>36.25</v>
      </c>
      <c r="AE28" s="6">
        <f>6+0.5+4+10+18+4+10+5+2.5+0.125+0.125+0.47+0.47+5+0.75+7+0+0</f>
        <v>73.94</v>
      </c>
      <c r="AF28" s="6">
        <f>0.25+0.375+3.375+0.125+1.125+4+1.5+0+6+20</f>
        <v>36.75</v>
      </c>
      <c r="AG28" s="6">
        <f>0+0.5+4+0+0+4+0+1+1+0.125+0.125+2+0.75+0+1+0</f>
        <v>14.5</v>
      </c>
      <c r="AH28" s="6">
        <f>70+7.5+72+260+210+72+260+360+0+22.5+0+0.125+0+0.47+17+0+135+170+0+30</f>
        <v>1686.595</v>
      </c>
      <c r="AI28" s="6">
        <f t="shared" si="1"/>
        <v>4.3314150304671631E-2</v>
      </c>
      <c r="AJ28" s="6">
        <f t="shared" si="2"/>
        <v>1.6361995034980818E-2</v>
      </c>
      <c r="AK28" s="6">
        <f t="shared" si="3"/>
        <v>3.3373956217558114E-2</v>
      </c>
      <c r="AL28" s="6">
        <f t="shared" si="4"/>
        <v>1.6587677725118485E-2</v>
      </c>
      <c r="AM28" s="6">
        <f t="shared" si="5"/>
        <v>6.5447980139923265E-3</v>
      </c>
      <c r="AN28" s="6">
        <f t="shared" si="6"/>
        <v>0.7612705935454751</v>
      </c>
      <c r="AO28" s="7">
        <v>3</v>
      </c>
      <c r="AP28" s="7">
        <v>1</v>
      </c>
      <c r="AQ28" s="7">
        <v>0</v>
      </c>
      <c r="AR28" s="10" t="s">
        <v>258</v>
      </c>
      <c r="AS28" s="7" t="s">
        <v>261</v>
      </c>
      <c r="AT28" s="7">
        <v>0</v>
      </c>
      <c r="AU28" s="7">
        <f>5+10+5+5+5+10+10+10</f>
        <v>60</v>
      </c>
      <c r="AV28" s="7">
        <v>0</v>
      </c>
      <c r="AW28" s="3">
        <v>31</v>
      </c>
      <c r="AX28" s="3">
        <v>1</v>
      </c>
      <c r="AY28" s="5">
        <v>7</v>
      </c>
      <c r="AZ28" s="3">
        <v>1</v>
      </c>
      <c r="BA28" s="3">
        <v>1</v>
      </c>
      <c r="BB28" s="3">
        <v>1</v>
      </c>
      <c r="BC28" s="3">
        <v>1</v>
      </c>
      <c r="BD28" s="3">
        <v>1</v>
      </c>
      <c r="BE28" s="3">
        <v>0</v>
      </c>
      <c r="BF28" s="3">
        <v>0</v>
      </c>
      <c r="BG28" s="3">
        <v>0</v>
      </c>
      <c r="BH28" s="3">
        <v>0.5</v>
      </c>
      <c r="BI28" s="3">
        <v>0</v>
      </c>
    </row>
    <row r="29" spans="1:61" ht="20.100000000000001" customHeight="1" x14ac:dyDescent="0.25">
      <c r="A29" s="3" t="s">
        <v>18</v>
      </c>
      <c r="B29" s="3">
        <v>19</v>
      </c>
      <c r="C29" s="8">
        <v>44238</v>
      </c>
      <c r="D29" s="9">
        <v>0.59027777777777779</v>
      </c>
      <c r="E29" s="4">
        <v>70</v>
      </c>
      <c r="F29" s="3">
        <v>0</v>
      </c>
      <c r="G29" s="3">
        <v>0</v>
      </c>
      <c r="H29" s="3">
        <v>0</v>
      </c>
      <c r="I29" s="3">
        <v>1</v>
      </c>
      <c r="J29" s="9">
        <v>0.88541666666666663</v>
      </c>
      <c r="K29" s="3">
        <v>141</v>
      </c>
      <c r="L29" s="11">
        <f t="shared" ref="L29" si="19">K29-K28</f>
        <v>0</v>
      </c>
      <c r="M29" s="5">
        <f t="shared" ref="M29" si="20">AB28</f>
        <v>2215.5</v>
      </c>
      <c r="N29" s="11">
        <v>32</v>
      </c>
      <c r="O29" s="11">
        <v>33.5</v>
      </c>
      <c r="P29" s="11">
        <v>10.75</v>
      </c>
      <c r="Q29" s="11">
        <v>11</v>
      </c>
      <c r="R29" s="11">
        <v>20.5</v>
      </c>
      <c r="S29" s="11">
        <v>21.25</v>
      </c>
      <c r="T29" s="11">
        <v>17</v>
      </c>
      <c r="U29" s="11">
        <v>17</v>
      </c>
      <c r="V29" s="11">
        <v>18</v>
      </c>
      <c r="W29" s="11">
        <v>18</v>
      </c>
      <c r="X29" s="11">
        <v>8</v>
      </c>
      <c r="Y29" s="11">
        <v>8</v>
      </c>
      <c r="Z29" s="3" t="s">
        <v>264</v>
      </c>
      <c r="AA29" s="10" t="s">
        <v>269</v>
      </c>
      <c r="AB29" s="5">
        <f>70+30+164+160+210+164+160+100+100+5+1.25+13.125+60+3.75+4.375+200+30+100+25+615</f>
        <v>2215.5</v>
      </c>
      <c r="AC29" s="6">
        <f>5+2.5+0+12+15+0+12+8+10+0.375+0.65+0+0.1875+0+20+2.25+8+0+0</f>
        <v>95.962500000000006</v>
      </c>
      <c r="AD29" s="6">
        <f>1.5+1.75+0+8+4.5+0+8+4.5+1+0+0+0+0+0+2+0+5+0+0</f>
        <v>36.25</v>
      </c>
      <c r="AE29" s="6">
        <f>6+0.5+4+10+18+4+10+5+2.5+0.125+0.125+0.47+0.47+5+0.75+7+0+0</f>
        <v>73.94</v>
      </c>
      <c r="AF29" s="6">
        <f>0.25+0.375+3.375+0.125+1.125+4+1.5+0+6+20</f>
        <v>36.75</v>
      </c>
      <c r="AG29" s="6">
        <f>0+0.5+4+0+0+4+0+1+1+0.125+0.125+2+0.75+0+1+0</f>
        <v>14.5</v>
      </c>
      <c r="AH29" s="6">
        <f>70+7.5+72+260+210+72+260+360+0+22.5+0+0.125+0+0.47+17+0+135+170+0+30</f>
        <v>1686.595</v>
      </c>
      <c r="AI29" s="6">
        <f t="shared" si="1"/>
        <v>4.3314150304671631E-2</v>
      </c>
      <c r="AJ29" s="6">
        <f t="shared" si="2"/>
        <v>1.6361995034980818E-2</v>
      </c>
      <c r="AK29" s="6">
        <f t="shared" si="3"/>
        <v>3.3373956217558114E-2</v>
      </c>
      <c r="AL29" s="6">
        <f t="shared" si="4"/>
        <v>1.6587677725118485E-2</v>
      </c>
      <c r="AM29" s="6">
        <f t="shared" si="5"/>
        <v>6.5447980139923265E-3</v>
      </c>
      <c r="AN29" s="6">
        <f t="shared" si="6"/>
        <v>0.7612705935454751</v>
      </c>
      <c r="AO29" s="7">
        <v>3</v>
      </c>
      <c r="AP29" s="7">
        <v>2</v>
      </c>
      <c r="AQ29" s="7">
        <v>0</v>
      </c>
      <c r="AR29" s="10" t="s">
        <v>258</v>
      </c>
      <c r="AS29" s="7" t="s">
        <v>261</v>
      </c>
      <c r="AT29" s="7">
        <v>0</v>
      </c>
      <c r="AU29" s="7">
        <f>5+10+5+5+5+10+10+10</f>
        <v>60</v>
      </c>
      <c r="AV29" s="7">
        <v>0</v>
      </c>
      <c r="AW29" s="3">
        <v>31</v>
      </c>
      <c r="AX29" s="3">
        <v>1</v>
      </c>
      <c r="AY29" s="5">
        <v>7</v>
      </c>
      <c r="AZ29" s="3">
        <v>1</v>
      </c>
      <c r="BA29" s="3">
        <v>0</v>
      </c>
      <c r="BB29" s="3">
        <v>1</v>
      </c>
      <c r="BC29" s="3">
        <v>1</v>
      </c>
      <c r="BD29" s="3">
        <v>1</v>
      </c>
      <c r="BE29" s="3">
        <v>0</v>
      </c>
      <c r="BF29" s="3">
        <v>0</v>
      </c>
      <c r="BG29" s="3">
        <v>0</v>
      </c>
      <c r="BH29" s="3">
        <v>0.5</v>
      </c>
      <c r="BI29" s="3">
        <v>0</v>
      </c>
    </row>
    <row r="30" spans="1:61" ht="20.100000000000001" customHeight="1" x14ac:dyDescent="0.25">
      <c r="A30" s="3" t="s">
        <v>138</v>
      </c>
      <c r="B30" s="3">
        <v>20</v>
      </c>
      <c r="C30" s="8">
        <v>44239</v>
      </c>
      <c r="D30" s="9">
        <v>0.58333333333333337</v>
      </c>
      <c r="E30" s="4">
        <v>66</v>
      </c>
      <c r="F30" s="3">
        <v>0</v>
      </c>
      <c r="G30" s="3">
        <v>0</v>
      </c>
      <c r="H30" s="3">
        <v>0</v>
      </c>
      <c r="I30" s="3">
        <v>0</v>
      </c>
      <c r="J30" s="9">
        <v>0.26041666666666669</v>
      </c>
      <c r="K30" s="3">
        <v>139.19999999999999</v>
      </c>
      <c r="L30" s="11">
        <f t="shared" ref="L30" si="21">K30-K29</f>
        <v>-1.8000000000000114</v>
      </c>
      <c r="M30" s="5">
        <f t="shared" ref="M30" si="22">AB29</f>
        <v>2215.5</v>
      </c>
      <c r="N30" s="11">
        <v>31</v>
      </c>
      <c r="O30" s="11">
        <v>33.25</v>
      </c>
      <c r="P30" s="11">
        <v>11</v>
      </c>
      <c r="Q30" s="11">
        <v>11</v>
      </c>
      <c r="R30" s="11">
        <v>20.5</v>
      </c>
      <c r="S30" s="11">
        <v>20.75</v>
      </c>
      <c r="T30" s="11">
        <v>17</v>
      </c>
      <c r="U30" s="11">
        <v>17</v>
      </c>
      <c r="V30" s="11">
        <v>18</v>
      </c>
      <c r="W30" s="11">
        <v>18</v>
      </c>
      <c r="X30" s="11">
        <v>8</v>
      </c>
      <c r="Y30" s="11">
        <v>8</v>
      </c>
      <c r="Z30" s="3" t="s">
        <v>271</v>
      </c>
      <c r="AA30" s="10" t="s">
        <v>270</v>
      </c>
      <c r="AB30" s="5">
        <f>788+81+92+322+100+60+200+105+60+10+5+200+60+10</f>
        <v>2093</v>
      </c>
      <c r="AC30" s="6">
        <f>24.35+0+0+29+8+4.5+20+0+0+0.5+0.375+20+0+0.5</f>
        <v>107.22499999999999</v>
      </c>
      <c r="AD30" s="6">
        <f>6.54+0+0+4+4.5+3+2+0+0+0+0+2+0+0</f>
        <v>22.04</v>
      </c>
      <c r="AE30" s="6">
        <f>51+2+2+4+5+6+5+1+0+1+0.125+5+0+1</f>
        <v>83.125</v>
      </c>
      <c r="AF30" s="6">
        <f>101+21+24+17+2+0+4+27+17+3+0.25+4+17+3</f>
        <v>240.25</v>
      </c>
      <c r="AG30" s="6">
        <f>23+4+2+18+1+0+2+3+0+1+0.125+2+0+1</f>
        <v>57.125</v>
      </c>
      <c r="AH30" s="6">
        <f>845.03+2+0+14+360+300+0+1+0+0+22.5+0+0+0</f>
        <v>1544.53</v>
      </c>
      <c r="AI30" s="6">
        <f t="shared" si="1"/>
        <v>5.1230291447682749E-2</v>
      </c>
      <c r="AJ30" s="6">
        <f t="shared" si="2"/>
        <v>1.0530339225991399E-2</v>
      </c>
      <c r="AK30" s="6">
        <f t="shared" si="3"/>
        <v>3.9715719063545152E-2</v>
      </c>
      <c r="AL30" s="6">
        <f t="shared" si="4"/>
        <v>0.11478738652651696</v>
      </c>
      <c r="AM30" s="6">
        <f t="shared" si="5"/>
        <v>2.7293358815097944E-2</v>
      </c>
      <c r="AN30" s="6">
        <f t="shared" si="6"/>
        <v>0.73795031055900617</v>
      </c>
      <c r="AO30" s="7">
        <v>3</v>
      </c>
      <c r="AP30" s="7">
        <v>1</v>
      </c>
      <c r="AQ30" s="7">
        <v>0</v>
      </c>
      <c r="AR30" s="7">
        <v>0</v>
      </c>
      <c r="AS30" s="7">
        <v>0</v>
      </c>
      <c r="AT30" s="7">
        <v>0</v>
      </c>
      <c r="AU30" s="7">
        <v>0</v>
      </c>
      <c r="AV30" s="7">
        <v>0</v>
      </c>
      <c r="AW30" s="7">
        <v>31</v>
      </c>
      <c r="AX30" s="7">
        <v>1</v>
      </c>
      <c r="AY30" s="6">
        <v>5</v>
      </c>
      <c r="AZ30" s="7">
        <v>1</v>
      </c>
      <c r="BA30" s="7">
        <v>1</v>
      </c>
      <c r="BB30" s="7">
        <v>1</v>
      </c>
      <c r="BC30" s="7">
        <v>1</v>
      </c>
      <c r="BD30" s="7">
        <v>1</v>
      </c>
      <c r="BE30" s="3">
        <v>0</v>
      </c>
      <c r="BF30" s="3">
        <v>0</v>
      </c>
      <c r="BG30" s="3">
        <v>0</v>
      </c>
      <c r="BH30" s="3">
        <v>1</v>
      </c>
      <c r="BI30" s="3">
        <v>0</v>
      </c>
    </row>
    <row r="31" spans="1:61" ht="20.100000000000001" customHeight="1" x14ac:dyDescent="0.25">
      <c r="A31" s="3" t="s">
        <v>19</v>
      </c>
      <c r="B31" s="3">
        <v>21</v>
      </c>
      <c r="C31" s="8">
        <v>44240</v>
      </c>
      <c r="D31" s="9">
        <v>0.58333333333333337</v>
      </c>
      <c r="E31" s="4">
        <v>61</v>
      </c>
      <c r="F31" s="3">
        <v>0</v>
      </c>
      <c r="G31" s="3">
        <v>0</v>
      </c>
      <c r="H31" s="3">
        <v>0</v>
      </c>
      <c r="I31" s="3">
        <v>0</v>
      </c>
      <c r="J31" s="9">
        <v>0.1875</v>
      </c>
      <c r="K31" s="3">
        <v>140.80000000000001</v>
      </c>
      <c r="L31" s="11">
        <f t="shared" ref="L31" si="23">K31-K30</f>
        <v>1.6000000000000227</v>
      </c>
      <c r="M31" s="5">
        <f t="shared" ref="M31" si="24">AB30</f>
        <v>2093</v>
      </c>
      <c r="N31" s="11">
        <v>31.5</v>
      </c>
      <c r="O31" s="11">
        <v>32.75</v>
      </c>
      <c r="P31" s="11">
        <v>10.75</v>
      </c>
      <c r="Q31" s="11">
        <v>11</v>
      </c>
      <c r="R31" s="11">
        <v>30.75</v>
      </c>
      <c r="S31" s="11">
        <v>21</v>
      </c>
      <c r="T31" s="11">
        <v>18</v>
      </c>
      <c r="U31" s="11">
        <v>16</v>
      </c>
      <c r="V31" s="11">
        <v>18</v>
      </c>
      <c r="W31" s="11">
        <v>17</v>
      </c>
      <c r="X31" s="11">
        <v>8</v>
      </c>
      <c r="Y31" s="11">
        <v>10</v>
      </c>
      <c r="Z31" s="3" t="s">
        <v>274</v>
      </c>
      <c r="AA31" s="10" t="s">
        <v>273</v>
      </c>
      <c r="AB31" s="5">
        <f>788+81+322+322+120+7.5+72+80</f>
        <v>1792.5</v>
      </c>
      <c r="AC31" s="6">
        <f>24.34+0+29+29+10+0.53+0+6</f>
        <v>98.87</v>
      </c>
      <c r="AD31" s="6">
        <f>6.54+0+4+4+7+0.15+0+4</f>
        <v>25.689999999999998</v>
      </c>
      <c r="AE31" s="6">
        <f>51+2+4+4+2+0.6125+2+5</f>
        <v>70.612499999999997</v>
      </c>
      <c r="AF31" s="6">
        <f>101+21+17+17+0+0.025+14+0</f>
        <v>170.02500000000001</v>
      </c>
      <c r="AG31" s="6">
        <f>23+4+18+18+2+0.0125+2+0</f>
        <v>67.012500000000003</v>
      </c>
      <c r="AH31" s="6">
        <f>845.03+2+14+14+30+9.25+36+130</f>
        <v>1080.28</v>
      </c>
      <c r="AI31" s="6">
        <f t="shared" si="1"/>
        <v>5.5157601115760117E-2</v>
      </c>
      <c r="AJ31" s="6">
        <f t="shared" si="2"/>
        <v>1.4331938633193863E-2</v>
      </c>
      <c r="AK31" s="6">
        <f t="shared" si="3"/>
        <v>3.9393305439330541E-2</v>
      </c>
      <c r="AL31" s="6">
        <f t="shared" si="4"/>
        <v>9.485355648535565E-2</v>
      </c>
      <c r="AM31" s="6">
        <f t="shared" si="5"/>
        <v>3.7384937238493725E-2</v>
      </c>
      <c r="AN31" s="6">
        <f t="shared" si="6"/>
        <v>0.60266666666666668</v>
      </c>
      <c r="AO31" s="7">
        <v>3</v>
      </c>
      <c r="AP31" s="7">
        <v>1</v>
      </c>
      <c r="AQ31" s="7">
        <v>0</v>
      </c>
      <c r="AR31" s="3">
        <v>0</v>
      </c>
      <c r="AS31" s="3">
        <v>0</v>
      </c>
      <c r="AT31" s="7">
        <v>0</v>
      </c>
      <c r="AU31" s="7">
        <v>0</v>
      </c>
      <c r="AV31" s="7">
        <v>0</v>
      </c>
      <c r="AW31" s="3">
        <v>31</v>
      </c>
      <c r="AX31" s="3">
        <v>1</v>
      </c>
      <c r="AY31" s="5">
        <v>7</v>
      </c>
      <c r="AZ31" s="3">
        <v>1</v>
      </c>
      <c r="BA31" s="3">
        <v>1</v>
      </c>
      <c r="BB31" s="3">
        <v>1</v>
      </c>
      <c r="BC31" s="3">
        <v>1</v>
      </c>
      <c r="BD31" s="3">
        <v>1</v>
      </c>
      <c r="BE31" s="3">
        <v>0</v>
      </c>
      <c r="BF31" s="3">
        <v>0</v>
      </c>
      <c r="BG31" s="3">
        <v>0</v>
      </c>
      <c r="BH31" s="3">
        <v>0</v>
      </c>
      <c r="BI31" s="3">
        <v>0</v>
      </c>
    </row>
    <row r="32" spans="1:61" ht="20.100000000000001" customHeight="1" x14ac:dyDescent="0.25">
      <c r="A32" s="3" t="s">
        <v>23</v>
      </c>
      <c r="B32" s="3">
        <v>22</v>
      </c>
      <c r="C32" s="8">
        <v>44241</v>
      </c>
      <c r="D32" s="9">
        <v>0.58333333333333337</v>
      </c>
      <c r="E32" s="4">
        <v>64</v>
      </c>
      <c r="F32" s="3">
        <v>0</v>
      </c>
      <c r="G32" s="3">
        <v>0</v>
      </c>
      <c r="H32" s="3">
        <v>0</v>
      </c>
      <c r="I32" s="3">
        <v>0</v>
      </c>
      <c r="J32" s="9">
        <v>0.23958333333333334</v>
      </c>
      <c r="K32" s="3">
        <v>140.6</v>
      </c>
      <c r="L32" s="11">
        <f t="shared" ref="L32" si="25">K32-K31</f>
        <v>-0.20000000000001705</v>
      </c>
      <c r="M32" s="5">
        <f t="shared" ref="M32" si="26">AB31</f>
        <v>1792.5</v>
      </c>
      <c r="N32" s="11">
        <v>31.5</v>
      </c>
      <c r="O32" s="11">
        <v>33</v>
      </c>
      <c r="P32" s="11">
        <v>11</v>
      </c>
      <c r="Q32" s="11">
        <v>11</v>
      </c>
      <c r="R32" s="11">
        <v>20.5</v>
      </c>
      <c r="S32" s="11">
        <v>20.5</v>
      </c>
      <c r="T32" s="11">
        <v>18</v>
      </c>
      <c r="U32" s="11">
        <v>17</v>
      </c>
      <c r="V32" s="11">
        <v>19</v>
      </c>
      <c r="W32" s="11">
        <v>18</v>
      </c>
      <c r="X32" s="11">
        <v>8</v>
      </c>
      <c r="Y32" s="11">
        <v>8</v>
      </c>
      <c r="Z32" s="3" t="s">
        <v>277</v>
      </c>
      <c r="AA32" s="10" t="s">
        <v>276</v>
      </c>
      <c r="AB32" s="5">
        <f>1320+360+240+644+162+120+70+72</f>
        <v>2988</v>
      </c>
      <c r="AC32" s="6">
        <f>10+14+18+58+0+10+5+0</f>
        <v>115</v>
      </c>
      <c r="AD32" s="6">
        <f>2+4+12+8+0+7+3+0</f>
        <v>36</v>
      </c>
      <c r="AE32" s="6">
        <f>92+12+15+8+4+2+5+2</f>
        <v>140</v>
      </c>
      <c r="AF32" s="6">
        <f>244+48+0+34+42+0+0+14</f>
        <v>382</v>
      </c>
      <c r="AG32" s="6">
        <f>44+12+0+36+8+2+0+2</f>
        <v>104</v>
      </c>
      <c r="AH32" s="6">
        <f>0+1840+390+28+4+30+170+36</f>
        <v>2498</v>
      </c>
      <c r="AI32" s="6">
        <f t="shared" si="1"/>
        <v>3.8487282463186077E-2</v>
      </c>
      <c r="AJ32" s="6">
        <f t="shared" si="2"/>
        <v>1.2048192771084338E-2</v>
      </c>
      <c r="AK32" s="6">
        <f t="shared" si="3"/>
        <v>4.6854082998661312E-2</v>
      </c>
      <c r="AL32" s="6">
        <f t="shared" si="4"/>
        <v>0.12784471218206159</v>
      </c>
      <c r="AM32" s="6">
        <f t="shared" si="5"/>
        <v>3.4805890227576977E-2</v>
      </c>
      <c r="AN32" s="6">
        <f t="shared" si="6"/>
        <v>0.83601070950468537</v>
      </c>
      <c r="AO32" s="7">
        <v>3</v>
      </c>
      <c r="AP32" s="7">
        <v>1</v>
      </c>
      <c r="AQ32" s="7">
        <v>0</v>
      </c>
      <c r="AR32" s="7">
        <v>0</v>
      </c>
      <c r="AS32" s="7">
        <v>0</v>
      </c>
      <c r="AT32" s="7">
        <v>0</v>
      </c>
      <c r="AU32" s="7">
        <v>0</v>
      </c>
      <c r="AV32" s="7">
        <v>0</v>
      </c>
      <c r="AW32" s="3">
        <v>31</v>
      </c>
      <c r="AX32" s="3">
        <v>1</v>
      </c>
      <c r="AY32" s="5">
        <v>7.5</v>
      </c>
      <c r="AZ32" s="3">
        <v>1</v>
      </c>
      <c r="BA32" s="3">
        <v>1</v>
      </c>
      <c r="BB32" s="3">
        <v>1</v>
      </c>
      <c r="BC32" s="3">
        <v>1</v>
      </c>
      <c r="BD32" s="3">
        <v>1</v>
      </c>
      <c r="BE32" s="3">
        <v>0</v>
      </c>
      <c r="BF32" s="3">
        <v>0</v>
      </c>
      <c r="BG32" s="3">
        <v>0</v>
      </c>
      <c r="BH32" s="3">
        <v>0</v>
      </c>
      <c r="BI32" s="3">
        <v>0</v>
      </c>
    </row>
    <row r="33" spans="1:61" ht="20.100000000000001" customHeight="1" x14ac:dyDescent="0.25">
      <c r="A33" s="3" t="s">
        <v>15</v>
      </c>
      <c r="B33" s="3">
        <v>23</v>
      </c>
      <c r="C33" s="8">
        <v>44242</v>
      </c>
      <c r="D33" s="9">
        <v>0.33333333333333331</v>
      </c>
      <c r="E33" s="4">
        <v>45</v>
      </c>
      <c r="F33" s="3">
        <v>15</v>
      </c>
      <c r="G33" s="3">
        <v>3</v>
      </c>
      <c r="H33" s="3">
        <v>45</v>
      </c>
      <c r="I33" s="3">
        <v>0</v>
      </c>
      <c r="J33" s="9">
        <v>0.25694444444444448</v>
      </c>
      <c r="K33" s="3">
        <v>142.80000000000001</v>
      </c>
      <c r="L33" s="11">
        <f t="shared" ref="L33" si="27">K33-K32</f>
        <v>2.2000000000000171</v>
      </c>
      <c r="M33" s="5">
        <f t="shared" ref="M33" si="28">AB32</f>
        <v>2988</v>
      </c>
      <c r="N33" s="11">
        <v>31.75</v>
      </c>
      <c r="O33" s="11">
        <v>33.5</v>
      </c>
      <c r="P33" s="11">
        <v>11</v>
      </c>
      <c r="Q33" s="11">
        <v>11.25</v>
      </c>
      <c r="R33" s="11">
        <v>20.5</v>
      </c>
      <c r="S33" s="11">
        <v>20.25</v>
      </c>
      <c r="T33" s="11">
        <v>17</v>
      </c>
      <c r="U33" s="11">
        <v>17</v>
      </c>
      <c r="V33" s="11">
        <v>20</v>
      </c>
      <c r="W33" s="11">
        <v>19</v>
      </c>
      <c r="X33" s="11">
        <v>8</v>
      </c>
      <c r="Y33" s="11">
        <v>7</v>
      </c>
      <c r="Z33" s="3" t="s">
        <v>282</v>
      </c>
      <c r="AA33" s="10" t="s">
        <v>284</v>
      </c>
      <c r="AB33" s="5">
        <f>57+778.5+60+70+81+92+5</f>
        <v>1143.5</v>
      </c>
      <c r="AC33" s="6">
        <f>0+44+5+5+0+0+0</f>
        <v>54</v>
      </c>
      <c r="AD33" s="6">
        <f>0+12+3.5+3+0+0+0</f>
        <v>18.5</v>
      </c>
      <c r="AE33" s="6">
        <f>0+50.5+1+5+2+2+0</f>
        <v>60.5</v>
      </c>
      <c r="AF33" s="6">
        <f>15+51+0+0+21+24+1</f>
        <v>112</v>
      </c>
      <c r="AG33" s="6">
        <f>3+16+1+0+4+2+0</f>
        <v>26</v>
      </c>
      <c r="AH33" s="6">
        <f>1+971+15+170+2+0+0</f>
        <v>1159</v>
      </c>
      <c r="AI33" s="6">
        <f t="shared" si="1"/>
        <v>4.7223436816790552E-2</v>
      </c>
      <c r="AJ33" s="6">
        <f t="shared" si="2"/>
        <v>1.6178399650196764E-2</v>
      </c>
      <c r="AK33" s="6">
        <f t="shared" si="3"/>
        <v>5.2907739396589416E-2</v>
      </c>
      <c r="AL33" s="6">
        <f t="shared" si="4"/>
        <v>9.7944905990380415E-2</v>
      </c>
      <c r="AM33" s="6">
        <f t="shared" si="5"/>
        <v>2.2737210319195452E-2</v>
      </c>
      <c r="AN33" s="6">
        <f t="shared" si="6"/>
        <v>1.0135548753825974</v>
      </c>
      <c r="AO33" s="7">
        <v>3</v>
      </c>
      <c r="AP33" s="7">
        <v>1</v>
      </c>
      <c r="AQ33" s="7">
        <v>0</v>
      </c>
      <c r="AR33" s="10">
        <v>0</v>
      </c>
      <c r="AS33" s="7">
        <v>0</v>
      </c>
      <c r="AT33" s="7">
        <v>0</v>
      </c>
      <c r="AU33" s="7">
        <v>0</v>
      </c>
      <c r="AV33" s="7">
        <v>0</v>
      </c>
      <c r="AW33" s="3">
        <v>31</v>
      </c>
      <c r="AX33" s="3">
        <v>1</v>
      </c>
      <c r="AY33" s="5">
        <v>6</v>
      </c>
      <c r="AZ33" s="3">
        <v>1</v>
      </c>
      <c r="BA33" s="3">
        <v>1</v>
      </c>
      <c r="BB33" s="3">
        <v>1</v>
      </c>
      <c r="BC33" s="3">
        <v>1</v>
      </c>
      <c r="BD33" s="3">
        <v>1</v>
      </c>
      <c r="BE33" s="3">
        <v>0</v>
      </c>
      <c r="BF33" s="3">
        <v>1</v>
      </c>
      <c r="BG33" s="3">
        <v>30</v>
      </c>
      <c r="BH33" s="3">
        <v>0</v>
      </c>
      <c r="BI33" s="3">
        <v>0</v>
      </c>
    </row>
    <row r="34" spans="1:61" ht="20.100000000000001" customHeight="1" x14ac:dyDescent="0.25">
      <c r="A34" s="3" t="s">
        <v>16</v>
      </c>
      <c r="B34" s="3">
        <v>24</v>
      </c>
      <c r="C34" s="8">
        <v>44243</v>
      </c>
      <c r="D34" s="9">
        <v>0.73958333333333337</v>
      </c>
      <c r="E34" s="4">
        <v>59</v>
      </c>
      <c r="F34" s="3">
        <v>0</v>
      </c>
      <c r="G34" s="3">
        <v>0</v>
      </c>
      <c r="H34" s="3">
        <v>0</v>
      </c>
      <c r="I34" s="3">
        <v>0</v>
      </c>
      <c r="J34" s="9">
        <v>0.2638888888888889</v>
      </c>
      <c r="K34" s="3">
        <v>141.80000000000001</v>
      </c>
      <c r="L34" s="11">
        <f t="shared" ref="L34" si="29">K34-K33</f>
        <v>-1</v>
      </c>
      <c r="M34" s="5">
        <f t="shared" ref="M34" si="30">AB33</f>
        <v>1143.5</v>
      </c>
      <c r="N34" s="11">
        <v>31.75</v>
      </c>
      <c r="O34" s="11">
        <v>33.5</v>
      </c>
      <c r="P34" s="11">
        <v>10.875</v>
      </c>
      <c r="Q34" s="11">
        <v>11.125</v>
      </c>
      <c r="R34" s="11">
        <v>20.875</v>
      </c>
      <c r="S34" s="11">
        <v>20.875</v>
      </c>
      <c r="T34" s="11">
        <v>17</v>
      </c>
      <c r="U34" s="11">
        <v>16</v>
      </c>
      <c r="V34" s="11">
        <v>18</v>
      </c>
      <c r="W34" s="11">
        <v>18</v>
      </c>
      <c r="X34" s="11">
        <v>8</v>
      </c>
      <c r="Y34" s="11">
        <v>8</v>
      </c>
      <c r="Z34" s="3" t="s">
        <v>290</v>
      </c>
      <c r="AA34" s="10" t="s">
        <v>289</v>
      </c>
      <c r="AB34" s="5">
        <f>140+120+60+200+160+81+389.25+60+195.2+148+80+292.8+330+389.25</f>
        <v>2645.5</v>
      </c>
      <c r="AC34" s="6">
        <f>10+14+5+2+10+22+5+0+0+5+0+1.5+22</f>
        <v>96.5</v>
      </c>
      <c r="AD34" s="6">
        <f>3+2+3.5+0+7+6+3.5+0+0+3.5+0+0+6</f>
        <v>34.5</v>
      </c>
      <c r="AE34" s="6">
        <f>12+0+1+4+12+2+25.25+1+0+4+6+0+6+25.25</f>
        <v>98.5</v>
      </c>
      <c r="AF34" s="6">
        <f>0+0+0+42+2+21+25.5+2+6.4+28+1+9.6+75+25.5</f>
        <v>238</v>
      </c>
      <c r="AG34" s="6">
        <f>0+0+1+4+0+4+8+0+0+4+0+0+3+8</f>
        <v>32</v>
      </c>
      <c r="AH34" s="6">
        <f>140+0+15+40+380+2+485.5+15+0+72+190+0+930+485.5</f>
        <v>2755</v>
      </c>
      <c r="AI34" s="6">
        <f t="shared" si="1"/>
        <v>3.6477036477036477E-2</v>
      </c>
      <c r="AJ34" s="6">
        <f t="shared" si="2"/>
        <v>1.3041013041013041E-2</v>
      </c>
      <c r="AK34" s="6">
        <f t="shared" si="3"/>
        <v>3.7233037233037232E-2</v>
      </c>
      <c r="AL34" s="6">
        <f t="shared" si="4"/>
        <v>8.9964089964089958E-2</v>
      </c>
      <c r="AM34" s="6">
        <f t="shared" si="5"/>
        <v>1.2096012096012096E-2</v>
      </c>
      <c r="AN34" s="6">
        <f t="shared" si="6"/>
        <v>1.0413910413910414</v>
      </c>
      <c r="AO34" s="7">
        <v>3</v>
      </c>
      <c r="AP34" s="7">
        <v>4</v>
      </c>
      <c r="AQ34" s="7">
        <v>0</v>
      </c>
      <c r="AR34" s="10">
        <v>0</v>
      </c>
      <c r="AS34" s="7">
        <v>0</v>
      </c>
      <c r="AT34" s="7">
        <v>0</v>
      </c>
      <c r="AU34" s="7">
        <v>0</v>
      </c>
      <c r="AV34" s="7">
        <v>0</v>
      </c>
      <c r="AW34" s="7">
        <v>31</v>
      </c>
      <c r="AX34" s="7">
        <v>1</v>
      </c>
      <c r="AY34" s="6">
        <v>7</v>
      </c>
      <c r="AZ34" s="7">
        <v>1</v>
      </c>
      <c r="BA34" s="7">
        <v>0</v>
      </c>
      <c r="BB34" s="7">
        <v>0</v>
      </c>
      <c r="BC34" s="7">
        <v>1</v>
      </c>
      <c r="BD34" s="7">
        <v>1</v>
      </c>
      <c r="BE34" s="3">
        <v>0</v>
      </c>
      <c r="BF34" s="3">
        <v>0</v>
      </c>
      <c r="BG34" s="3">
        <v>0</v>
      </c>
      <c r="BH34" s="3">
        <v>0</v>
      </c>
      <c r="BI34" s="3">
        <v>1</v>
      </c>
    </row>
    <row r="35" spans="1:61" ht="20.100000000000001" customHeight="1" x14ac:dyDescent="0.25">
      <c r="A35" s="3" t="s">
        <v>17</v>
      </c>
      <c r="B35" s="3">
        <v>25</v>
      </c>
      <c r="C35" s="8">
        <v>44244</v>
      </c>
      <c r="D35" s="9">
        <v>0.66666666666666663</v>
      </c>
      <c r="E35" s="4">
        <v>66</v>
      </c>
      <c r="F35" s="3">
        <v>0</v>
      </c>
      <c r="G35" s="3">
        <v>0</v>
      </c>
      <c r="H35" s="3">
        <v>0</v>
      </c>
      <c r="I35" s="3">
        <v>1</v>
      </c>
      <c r="J35" s="9">
        <v>0.25</v>
      </c>
      <c r="K35" s="3">
        <v>141</v>
      </c>
      <c r="L35" s="11">
        <f t="shared" ref="L35" si="31">K35-K34</f>
        <v>-0.80000000000001137</v>
      </c>
      <c r="M35" s="5">
        <f t="shared" ref="M35" si="32">AB34</f>
        <v>2645.5</v>
      </c>
      <c r="N35" s="11">
        <v>31.625</v>
      </c>
      <c r="O35" s="11">
        <v>32.75</v>
      </c>
      <c r="P35" s="11">
        <v>10.875</v>
      </c>
      <c r="Q35" s="11">
        <v>10.875</v>
      </c>
      <c r="R35" s="11">
        <v>19.75</v>
      </c>
      <c r="S35" s="11">
        <v>20</v>
      </c>
      <c r="T35" s="11">
        <v>16</v>
      </c>
      <c r="U35" s="11">
        <v>15</v>
      </c>
      <c r="V35" s="11">
        <v>17</v>
      </c>
      <c r="W35" s="11">
        <v>17</v>
      </c>
      <c r="X35" s="11">
        <v>7</v>
      </c>
      <c r="Y35" s="11">
        <v>8</v>
      </c>
      <c r="Z35" s="3" t="s">
        <v>297</v>
      </c>
      <c r="AA35" s="10" t="s">
        <v>296</v>
      </c>
      <c r="AB35" s="5">
        <f>330*3+92*2+162+472.5+80+20</f>
        <v>1908.5</v>
      </c>
      <c r="AC35" s="6">
        <f>1.5*3+0*2+0+3.75+5+1.5</f>
        <v>14.75</v>
      </c>
      <c r="AD35" s="6">
        <f>0*3+0*2+0+0+3.5+1</f>
        <v>4.5</v>
      </c>
      <c r="AE35" s="6">
        <f>6*3+2*2+4+31.5+6+2</f>
        <v>65.5</v>
      </c>
      <c r="AF35" s="6">
        <f>75*3+24*2+42+79.5+1+0</f>
        <v>395.5</v>
      </c>
      <c r="AG35" s="6">
        <f>3*3+2*2+8+9+0+0</f>
        <v>30</v>
      </c>
      <c r="AH35" s="6">
        <f>930*3+0*2+4+453.75+190+100</f>
        <v>3537.75</v>
      </c>
      <c r="AI35" s="6">
        <f t="shared" si="1"/>
        <v>7.7285826565365468E-3</v>
      </c>
      <c r="AJ35" s="6">
        <f t="shared" si="2"/>
        <v>2.3578726748755569E-3</v>
      </c>
      <c r="AK35" s="6">
        <f t="shared" si="3"/>
        <v>3.4320146712077546E-2</v>
      </c>
      <c r="AL35" s="6">
        <f t="shared" si="4"/>
        <v>0.20723080953628503</v>
      </c>
      <c r="AM35" s="6">
        <f t="shared" si="5"/>
        <v>1.5719151165837046E-2</v>
      </c>
      <c r="AN35" s="6">
        <f t="shared" si="6"/>
        <v>1.8536809012313336</v>
      </c>
      <c r="AO35" s="7">
        <v>3</v>
      </c>
      <c r="AP35" s="7">
        <v>1</v>
      </c>
      <c r="AQ35" s="7">
        <v>0</v>
      </c>
      <c r="AR35" s="10" t="s">
        <v>291</v>
      </c>
      <c r="AS35" s="3" t="s">
        <v>292</v>
      </c>
      <c r="AT35" s="7">
        <v>0</v>
      </c>
      <c r="AU35" s="7">
        <v>5</v>
      </c>
      <c r="AV35" s="7">
        <v>0</v>
      </c>
      <c r="AW35" s="3">
        <v>31</v>
      </c>
      <c r="AX35" s="3">
        <v>1</v>
      </c>
      <c r="AY35" s="5">
        <v>7</v>
      </c>
      <c r="AZ35" s="3">
        <v>1</v>
      </c>
      <c r="BA35" s="3">
        <v>1</v>
      </c>
      <c r="BB35" s="3">
        <v>0</v>
      </c>
      <c r="BC35" s="3">
        <v>1</v>
      </c>
      <c r="BD35" s="3">
        <v>1</v>
      </c>
      <c r="BE35" s="3">
        <v>0</v>
      </c>
      <c r="BF35" s="3">
        <v>0</v>
      </c>
      <c r="BG35" s="3">
        <v>0</v>
      </c>
      <c r="BH35" s="3">
        <v>0</v>
      </c>
      <c r="BI35" s="3">
        <v>0</v>
      </c>
    </row>
    <row r="36" spans="1:61" ht="20.100000000000001" customHeight="1" x14ac:dyDescent="0.25">
      <c r="A36" s="3" t="s">
        <v>18</v>
      </c>
      <c r="B36" s="3">
        <v>26</v>
      </c>
      <c r="C36" s="8" t="s">
        <v>298</v>
      </c>
      <c r="D36" s="9">
        <v>0.72916666666666663</v>
      </c>
      <c r="E36" s="4">
        <v>65</v>
      </c>
      <c r="F36" s="3">
        <v>0</v>
      </c>
      <c r="G36" s="3">
        <v>0</v>
      </c>
      <c r="H36" s="3">
        <v>0</v>
      </c>
      <c r="I36" s="3">
        <v>0</v>
      </c>
      <c r="J36" s="9">
        <v>0.23958333333333334</v>
      </c>
      <c r="K36" s="3">
        <v>141</v>
      </c>
      <c r="L36" s="11">
        <f t="shared" ref="L36:L37" si="33">K36-K35</f>
        <v>0</v>
      </c>
      <c r="M36" s="5">
        <f t="shared" ref="M36:M37" si="34">AB35</f>
        <v>1908.5</v>
      </c>
      <c r="N36" s="11">
        <v>31.75</v>
      </c>
      <c r="O36" s="11">
        <v>33.25</v>
      </c>
      <c r="P36" s="11">
        <v>10.875</v>
      </c>
      <c r="Q36" s="11">
        <v>11.125</v>
      </c>
      <c r="R36" s="11">
        <v>20.25</v>
      </c>
      <c r="S36" s="11">
        <v>20.25</v>
      </c>
      <c r="T36" s="11">
        <v>16</v>
      </c>
      <c r="U36" s="11">
        <v>16</v>
      </c>
      <c r="V36" s="11">
        <v>18</v>
      </c>
      <c r="W36" s="11">
        <v>18</v>
      </c>
      <c r="X36" s="11">
        <v>8</v>
      </c>
      <c r="Y36" s="11">
        <v>8</v>
      </c>
      <c r="Z36" s="3" t="s">
        <v>299</v>
      </c>
      <c r="AA36" s="10" t="s">
        <v>300</v>
      </c>
      <c r="AB36" s="5">
        <f>945+120+40+72+100+140+120+243+220+60+35</f>
        <v>2095</v>
      </c>
      <c r="AC36" s="6">
        <f>7.5+10+3+0+6.25+10+14+0+4+0+2.5</f>
        <v>57.25</v>
      </c>
      <c r="AD36" s="6">
        <f>0+7+2+0+4.375+3+2+0+0+0+1.5</f>
        <v>19.875</v>
      </c>
      <c r="AE36" s="6">
        <f>63+2+4+2+6+12+0+6+4+0+2.5</f>
        <v>101.5</v>
      </c>
      <c r="AF36" s="6">
        <f>159+0+0+14+1.25+0+0+63+50+17+0</f>
        <v>304.25</v>
      </c>
      <c r="AG36" s="6">
        <f>18+2+0+2+0+0+0+12+2+0+0</f>
        <v>36</v>
      </c>
      <c r="AH36" s="6">
        <f>907.5+30+200+36+237.5+140+0+6+620+0+85</f>
        <v>2262</v>
      </c>
      <c r="AI36" s="6">
        <f t="shared" si="1"/>
        <v>2.7326968973747017E-2</v>
      </c>
      <c r="AJ36" s="6">
        <f t="shared" si="2"/>
        <v>9.4868735083532222E-3</v>
      </c>
      <c r="AK36" s="6">
        <f t="shared" si="3"/>
        <v>4.8448687350835323E-2</v>
      </c>
      <c r="AL36" s="6">
        <f t="shared" si="4"/>
        <v>0.14522673031026254</v>
      </c>
      <c r="AM36" s="6">
        <f t="shared" si="5"/>
        <v>1.7183770883054894E-2</v>
      </c>
      <c r="AN36" s="6">
        <f t="shared" si="6"/>
        <v>1.0797136038186157</v>
      </c>
      <c r="AO36" s="7">
        <v>3</v>
      </c>
      <c r="AP36" s="7">
        <v>3</v>
      </c>
      <c r="AQ36" s="7">
        <v>0</v>
      </c>
      <c r="AR36" s="10">
        <v>0</v>
      </c>
      <c r="AS36" s="7">
        <v>0</v>
      </c>
      <c r="AT36" s="7">
        <v>0</v>
      </c>
      <c r="AU36" s="7">
        <v>0</v>
      </c>
      <c r="AV36" s="7">
        <v>0</v>
      </c>
      <c r="AW36" s="7">
        <v>31</v>
      </c>
      <c r="AX36" s="7">
        <v>0</v>
      </c>
      <c r="AY36" s="6">
        <v>6.5</v>
      </c>
      <c r="AZ36" s="7">
        <v>1</v>
      </c>
      <c r="BA36" s="7">
        <v>1</v>
      </c>
      <c r="BB36" s="7">
        <v>0</v>
      </c>
      <c r="BC36" s="7">
        <v>1</v>
      </c>
      <c r="BD36" s="7">
        <v>1</v>
      </c>
      <c r="BE36" s="3">
        <v>0</v>
      </c>
      <c r="BF36" s="3">
        <v>0</v>
      </c>
      <c r="BG36" s="3">
        <v>0</v>
      </c>
      <c r="BH36" s="3">
        <v>0</v>
      </c>
      <c r="BI36" s="3">
        <v>0</v>
      </c>
    </row>
    <row r="37" spans="1:61" ht="20.100000000000001" customHeight="1" x14ac:dyDescent="0.25">
      <c r="A37" s="3" t="s">
        <v>138</v>
      </c>
      <c r="B37" s="3">
        <v>0</v>
      </c>
      <c r="C37" s="8">
        <v>44246</v>
      </c>
      <c r="D37" s="9">
        <v>0.70833333333333337</v>
      </c>
      <c r="E37" s="4">
        <v>66</v>
      </c>
      <c r="F37" s="3">
        <v>0</v>
      </c>
      <c r="G37" s="3">
        <v>0</v>
      </c>
      <c r="H37" s="3">
        <v>0</v>
      </c>
      <c r="I37" s="3">
        <v>0</v>
      </c>
      <c r="J37" s="9">
        <v>0.23958333333333334</v>
      </c>
      <c r="K37" s="3">
        <v>141</v>
      </c>
      <c r="L37" s="11">
        <f t="shared" si="33"/>
        <v>0</v>
      </c>
      <c r="M37" s="5">
        <f t="shared" si="34"/>
        <v>2095</v>
      </c>
      <c r="N37" s="11">
        <v>31.5</v>
      </c>
      <c r="O37" s="11">
        <v>33.5</v>
      </c>
      <c r="P37" s="11">
        <v>10.875</v>
      </c>
      <c r="Q37" s="11">
        <v>11</v>
      </c>
      <c r="R37" s="11">
        <v>20</v>
      </c>
      <c r="S37" s="11">
        <v>20</v>
      </c>
      <c r="T37" s="11">
        <v>16</v>
      </c>
      <c r="U37" s="11">
        <v>16</v>
      </c>
      <c r="V37" s="11">
        <v>17</v>
      </c>
      <c r="W37" s="11">
        <v>17</v>
      </c>
      <c r="X37" s="11">
        <v>7</v>
      </c>
      <c r="Y37" s="11">
        <v>7</v>
      </c>
      <c r="Z37" s="3" t="s">
        <v>303</v>
      </c>
      <c r="AA37" s="10" t="s">
        <v>304</v>
      </c>
      <c r="AB37" s="5">
        <f>472.5+80+60+107+57+216+350+105+81+200+160+322</f>
        <v>2210.5</v>
      </c>
      <c r="AC37" s="6">
        <f>3.75+5+5+0+0+0+25+0+0+2+10+29</f>
        <v>79.75</v>
      </c>
      <c r="AD37" s="6">
        <f>0+3.5+3.5+0+0+0+15+0+0+0+7+4</f>
        <v>33</v>
      </c>
      <c r="AE37" s="6">
        <f>31.5+6+1+1+0+6+25+1+2+4+12+4</f>
        <v>93.5</v>
      </c>
      <c r="AF37" s="6">
        <f>79.5+1+0+28+15+42+0+27+21+42+2+17</f>
        <v>274.5</v>
      </c>
      <c r="AG37" s="6">
        <f>9+0+1+3+3+6+0+3+4+4+0+18</f>
        <v>51</v>
      </c>
      <c r="AH37" s="6">
        <f>453.75+190+15+3+1+108+850+1+2+40+380+14</f>
        <v>2057.75</v>
      </c>
      <c r="AI37" s="6">
        <f t="shared" si="1"/>
        <v>3.6077810450124405E-2</v>
      </c>
      <c r="AJ37" s="6">
        <f t="shared" si="2"/>
        <v>1.4928749151775616E-2</v>
      </c>
      <c r="AK37" s="6">
        <f t="shared" si="3"/>
        <v>4.2298122596697581E-2</v>
      </c>
      <c r="AL37" s="6">
        <f t="shared" si="4"/>
        <v>0.12418004976249718</v>
      </c>
      <c r="AM37" s="6">
        <f t="shared" si="5"/>
        <v>2.3071703234562316E-2</v>
      </c>
      <c r="AN37" s="6">
        <f t="shared" si="6"/>
        <v>0.93089798688079617</v>
      </c>
      <c r="AO37" s="7">
        <v>3</v>
      </c>
      <c r="AP37" s="7">
        <v>1</v>
      </c>
      <c r="AQ37" s="7">
        <v>1</v>
      </c>
      <c r="AR37" s="10">
        <v>0</v>
      </c>
      <c r="AS37" s="7">
        <v>0</v>
      </c>
      <c r="AT37" s="7">
        <v>0</v>
      </c>
      <c r="AU37" s="7">
        <v>0</v>
      </c>
      <c r="AV37" s="7">
        <v>0</v>
      </c>
      <c r="AW37" s="7">
        <v>31</v>
      </c>
      <c r="AX37" s="7">
        <v>1</v>
      </c>
      <c r="AY37" s="6">
        <v>7.25</v>
      </c>
      <c r="AZ37" s="7">
        <v>1</v>
      </c>
      <c r="BA37" s="7">
        <v>1</v>
      </c>
      <c r="BB37" s="7">
        <v>1</v>
      </c>
      <c r="BC37" s="7">
        <v>1</v>
      </c>
      <c r="BD37" s="7">
        <v>1</v>
      </c>
      <c r="BE37" s="3">
        <v>0</v>
      </c>
      <c r="BF37" s="3">
        <v>0</v>
      </c>
      <c r="BG37" s="3">
        <v>0</v>
      </c>
      <c r="BH37" s="3">
        <v>0</v>
      </c>
      <c r="BI37" s="3">
        <v>0</v>
      </c>
    </row>
    <row r="38" spans="1:61" ht="20.100000000000001" customHeight="1" x14ac:dyDescent="0.25">
      <c r="A38" s="3" t="s">
        <v>19</v>
      </c>
      <c r="B38" s="3">
        <v>1</v>
      </c>
      <c r="C38" s="8">
        <v>44247</v>
      </c>
      <c r="D38" s="9">
        <v>0.64583333333333337</v>
      </c>
      <c r="E38" s="4">
        <v>68</v>
      </c>
      <c r="F38" s="3">
        <v>9</v>
      </c>
      <c r="G38" s="3">
        <v>5</v>
      </c>
      <c r="H38" s="3">
        <v>45</v>
      </c>
      <c r="I38" s="3">
        <v>0</v>
      </c>
      <c r="J38" s="9">
        <v>0.26041666666666669</v>
      </c>
      <c r="K38" s="3">
        <v>139.6</v>
      </c>
      <c r="L38" s="11">
        <f t="shared" ref="L38" si="35">K38-K37</f>
        <v>-1.4000000000000057</v>
      </c>
      <c r="M38" s="5">
        <f t="shared" ref="M38" si="36">AB37</f>
        <v>2210.5</v>
      </c>
      <c r="N38" s="11">
        <v>31</v>
      </c>
      <c r="O38" s="11">
        <v>33</v>
      </c>
      <c r="P38" s="11">
        <v>10.875</v>
      </c>
      <c r="Q38" s="11">
        <v>10.9375</v>
      </c>
      <c r="R38" s="11">
        <v>20.25</v>
      </c>
      <c r="S38" s="11">
        <v>20.25</v>
      </c>
      <c r="T38" s="11">
        <v>16</v>
      </c>
      <c r="U38" s="11">
        <v>16</v>
      </c>
      <c r="V38" s="11">
        <v>17</v>
      </c>
      <c r="W38" s="11">
        <v>17</v>
      </c>
      <c r="X38" s="11">
        <v>7</v>
      </c>
      <c r="Y38" s="11">
        <v>8</v>
      </c>
      <c r="Z38" s="3" t="s">
        <v>309</v>
      </c>
      <c r="AA38" s="10" t="s">
        <v>310</v>
      </c>
      <c r="AB38" s="5">
        <f>400+160+162+105+57+62+551.7+106.7+140+322</f>
        <v>2066.4</v>
      </c>
      <c r="AC38" s="6">
        <f>4+10+0+0+0+0.1+20.9+6.7+10+29</f>
        <v>80.7</v>
      </c>
      <c r="AD38" s="6">
        <f>0+7+0+0+0+0+5.6+4.7+3+4</f>
        <v>24.3</v>
      </c>
      <c r="AE38" s="6">
        <f>8+12+4+1+0+0.3+26.6+8+12+4</f>
        <v>75.900000000000006</v>
      </c>
      <c r="AF38" s="6">
        <f>84+2+42+27+15+14.9+63.8+1.3+0+17</f>
        <v>267</v>
      </c>
      <c r="AG38" s="6">
        <f>8+0+8+3+3+2.5+4.5+0+0+18</f>
        <v>47</v>
      </c>
      <c r="AH38" s="6">
        <f>80+380+4+1+1+0+950.1+253.3+140+14</f>
        <v>1823.3999999999999</v>
      </c>
      <c r="AI38" s="6">
        <f t="shared" si="1"/>
        <v>3.9053426248548198E-2</v>
      </c>
      <c r="AJ38" s="6">
        <f t="shared" si="2"/>
        <v>1.1759581881533102E-2</v>
      </c>
      <c r="AK38" s="6">
        <f t="shared" si="3"/>
        <v>3.6730545876887344E-2</v>
      </c>
      <c r="AL38" s="6">
        <f t="shared" si="4"/>
        <v>0.1292102206736353</v>
      </c>
      <c r="AM38" s="6">
        <f t="shared" si="5"/>
        <v>2.2744870305845915E-2</v>
      </c>
      <c r="AN38" s="6">
        <f t="shared" si="6"/>
        <v>0.8824041811846689</v>
      </c>
      <c r="AO38" s="7">
        <v>3</v>
      </c>
      <c r="AP38" s="7">
        <v>1</v>
      </c>
      <c r="AQ38" s="7">
        <v>1</v>
      </c>
      <c r="AR38" s="10">
        <v>0</v>
      </c>
      <c r="AS38" s="7">
        <v>0</v>
      </c>
      <c r="AT38" s="7">
        <v>0</v>
      </c>
      <c r="AU38" s="7">
        <v>0</v>
      </c>
      <c r="AV38" s="7">
        <v>0</v>
      </c>
      <c r="AW38" s="7">
        <v>31</v>
      </c>
      <c r="AX38" s="7">
        <v>1</v>
      </c>
      <c r="AY38" s="6">
        <v>8</v>
      </c>
      <c r="AZ38" s="7">
        <v>1</v>
      </c>
      <c r="BA38" s="7">
        <v>1</v>
      </c>
      <c r="BB38" s="7">
        <v>1</v>
      </c>
      <c r="BC38" s="7">
        <v>1</v>
      </c>
      <c r="BD38" s="7">
        <v>1</v>
      </c>
      <c r="BE38" s="3">
        <v>0</v>
      </c>
      <c r="BF38" s="3">
        <v>0</v>
      </c>
      <c r="BG38" s="3">
        <v>0</v>
      </c>
      <c r="BH38" s="3">
        <v>0</v>
      </c>
      <c r="BI38" s="3">
        <v>0</v>
      </c>
    </row>
    <row r="39" spans="1:61" ht="20.100000000000001" customHeight="1" x14ac:dyDescent="0.25">
      <c r="A39" s="3" t="s">
        <v>23</v>
      </c>
      <c r="B39" s="3">
        <v>2</v>
      </c>
      <c r="C39" s="8">
        <v>44248</v>
      </c>
      <c r="D39" s="9">
        <v>0.66666666666666663</v>
      </c>
      <c r="E39" s="4">
        <v>72</v>
      </c>
      <c r="F39" s="3">
        <v>0</v>
      </c>
      <c r="G39" s="3">
        <v>0</v>
      </c>
      <c r="H39" s="3">
        <v>0</v>
      </c>
      <c r="I39" s="3">
        <v>0</v>
      </c>
      <c r="J39" s="9">
        <v>0.26041666666666669</v>
      </c>
      <c r="K39" s="3">
        <v>137.4</v>
      </c>
      <c r="L39" s="11">
        <f t="shared" ref="L39" si="37">K39-K38</f>
        <v>-2.1999999999999886</v>
      </c>
      <c r="M39" s="5">
        <f t="shared" ref="M39" si="38">AB38</f>
        <v>2066.4</v>
      </c>
      <c r="N39" s="11">
        <v>31.25</v>
      </c>
      <c r="O39" s="11">
        <v>33.25</v>
      </c>
      <c r="P39" s="11">
        <v>10.875</v>
      </c>
      <c r="Q39" s="11">
        <v>11</v>
      </c>
      <c r="R39" s="11">
        <v>20</v>
      </c>
      <c r="S39" s="11">
        <v>20</v>
      </c>
      <c r="T39" s="11">
        <v>16</v>
      </c>
      <c r="U39" s="11">
        <v>15</v>
      </c>
      <c r="V39" s="11">
        <v>18</v>
      </c>
      <c r="W39" s="11">
        <v>16</v>
      </c>
      <c r="X39" s="11">
        <v>8</v>
      </c>
      <c r="Y39" s="11">
        <v>8</v>
      </c>
      <c r="Z39" s="3" t="s">
        <v>312</v>
      </c>
      <c r="AA39" s="10" t="s">
        <v>311</v>
      </c>
      <c r="AB39" s="5">
        <f>243+105+551.7+106.7+322+140+551.7+20+551.7+106.7</f>
        <v>2698.5</v>
      </c>
      <c r="AC39" s="6">
        <f>0+0+20.9+6.7+29+10+20.9+1.5+20.9+6.7</f>
        <v>116.60000000000001</v>
      </c>
      <c r="AD39" s="6">
        <f>0+0+5.6+4.7+4+3+5.6+1+5.6+4.7</f>
        <v>34.200000000000003</v>
      </c>
      <c r="AE39" s="6">
        <f>6+1+26.6+8+4+12+26.6+2+26.6+8</f>
        <v>120.80000000000001</v>
      </c>
      <c r="AF39" s="6">
        <f>63+27+63.75+1.3+17+0+63.75+0+63.75+1.3</f>
        <v>300.85000000000002</v>
      </c>
      <c r="AG39" s="6">
        <f>12+3+4.5+0+18+0+4.5+0+4.5+0</f>
        <v>46.5</v>
      </c>
      <c r="AH39" s="6">
        <f>6+1+950.1+253.3+14+140+950.125+100+950.1+253.3</f>
        <v>3617.9250000000002</v>
      </c>
      <c r="AI39" s="6">
        <f t="shared" si="1"/>
        <v>4.3209190290902359E-2</v>
      </c>
      <c r="AJ39" s="6">
        <f t="shared" si="2"/>
        <v>1.2673707615341858E-2</v>
      </c>
      <c r="AK39" s="6">
        <f t="shared" si="3"/>
        <v>4.4765610524365396E-2</v>
      </c>
      <c r="AL39" s="6">
        <f t="shared" si="4"/>
        <v>0.11148786362794146</v>
      </c>
      <c r="AM39" s="6">
        <f t="shared" si="5"/>
        <v>1.7231795441912175E-2</v>
      </c>
      <c r="AN39" s="6">
        <f t="shared" si="6"/>
        <v>1.3407170650361313</v>
      </c>
      <c r="AO39" s="7">
        <v>3</v>
      </c>
      <c r="AP39" s="7">
        <v>1</v>
      </c>
      <c r="AQ39" s="7">
        <v>1</v>
      </c>
      <c r="AR39" s="10">
        <v>0</v>
      </c>
      <c r="AS39" s="7">
        <v>0</v>
      </c>
      <c r="AT39" s="7">
        <v>0</v>
      </c>
      <c r="AU39" s="7">
        <v>0</v>
      </c>
      <c r="AV39" s="7">
        <v>0</v>
      </c>
      <c r="AW39" s="7">
        <v>31</v>
      </c>
      <c r="AX39" s="7">
        <v>1</v>
      </c>
      <c r="AY39" s="6">
        <v>8</v>
      </c>
      <c r="AZ39" s="7">
        <v>1</v>
      </c>
      <c r="BA39" s="7">
        <v>1</v>
      </c>
      <c r="BB39" s="7">
        <v>1</v>
      </c>
      <c r="BC39" s="7">
        <v>1</v>
      </c>
      <c r="BD39" s="7">
        <v>1</v>
      </c>
      <c r="BE39" s="3">
        <v>0</v>
      </c>
      <c r="BF39" s="3">
        <v>0</v>
      </c>
      <c r="BG39" s="3">
        <v>0</v>
      </c>
      <c r="BH39" s="3">
        <v>0</v>
      </c>
      <c r="BI39" s="3">
        <v>0</v>
      </c>
    </row>
    <row r="40" spans="1:61" ht="20.100000000000001" customHeight="1" x14ac:dyDescent="0.25">
      <c r="A40" s="3" t="s">
        <v>15</v>
      </c>
      <c r="B40" s="3">
        <v>3</v>
      </c>
      <c r="C40" s="8">
        <v>44249</v>
      </c>
      <c r="D40" s="9">
        <v>0.625</v>
      </c>
      <c r="E40" s="4">
        <v>79</v>
      </c>
      <c r="F40" s="3">
        <v>0</v>
      </c>
      <c r="G40" s="3">
        <v>0</v>
      </c>
      <c r="H40" s="3">
        <v>0</v>
      </c>
      <c r="I40" s="3">
        <v>0</v>
      </c>
      <c r="J40" s="9">
        <v>0.23958333333333334</v>
      </c>
      <c r="K40" s="3">
        <v>138.19999999999999</v>
      </c>
      <c r="L40" s="11">
        <f t="shared" ref="L40" si="39">K40-K39</f>
        <v>0.79999999999998295</v>
      </c>
      <c r="M40" s="5">
        <f t="shared" ref="M40" si="40">AB39</f>
        <v>2698.5</v>
      </c>
      <c r="N40" s="11">
        <v>31.25</v>
      </c>
      <c r="O40" s="11">
        <v>32.75</v>
      </c>
      <c r="P40" s="11">
        <v>10.25</v>
      </c>
      <c r="Q40" s="11">
        <v>10.8125</v>
      </c>
      <c r="R40" s="11">
        <v>20.25</v>
      </c>
      <c r="S40" s="11">
        <v>20.25</v>
      </c>
      <c r="T40" s="11">
        <v>15</v>
      </c>
      <c r="U40" s="11">
        <v>15</v>
      </c>
      <c r="V40" s="11">
        <v>18</v>
      </c>
      <c r="W40" s="11">
        <v>18</v>
      </c>
      <c r="X40" s="11">
        <v>7</v>
      </c>
      <c r="Y40" s="11">
        <v>7</v>
      </c>
      <c r="Z40" s="3" t="s">
        <v>320</v>
      </c>
      <c r="AA40" s="10" t="s">
        <v>317</v>
      </c>
      <c r="AB40" s="5">
        <f>200+160+105+162+679.4+20+339.7+10+161+92</f>
        <v>1929.1000000000001</v>
      </c>
      <c r="AC40" s="6">
        <f>2+10+0+0+38.4+1.5+19.2+0.75+14.5+0</f>
        <v>86.35</v>
      </c>
      <c r="AD40" s="6">
        <f>0+7+0+0+13.7+1+6.85+0.5+2+0</f>
        <v>31.049999999999997</v>
      </c>
      <c r="AE40" s="6">
        <f>4+12+1+4+26+2+13+1+2+2</f>
        <v>67</v>
      </c>
      <c r="AF40" s="6">
        <f>42+2+27+42+63.5+0+31.75+0+8.5+24</f>
        <v>240.75</v>
      </c>
      <c r="AG40" s="6">
        <f>4+0+3+8+5.2+0+2.6+0+6.5+2</f>
        <v>31.3</v>
      </c>
      <c r="AH40" s="6">
        <f>40+380+1+4+862+100+431+50+7+0</f>
        <v>1875</v>
      </c>
      <c r="AI40" s="6">
        <f t="shared" si="1"/>
        <v>4.4761806023534287E-2</v>
      </c>
      <c r="AJ40" s="6">
        <f t="shared" si="2"/>
        <v>1.6095588616453264E-2</v>
      </c>
      <c r="AK40" s="6">
        <f t="shared" si="3"/>
        <v>3.4731221813280803E-2</v>
      </c>
      <c r="AL40" s="6">
        <f t="shared" si="4"/>
        <v>0.12479912912757243</v>
      </c>
      <c r="AM40" s="6">
        <f t="shared" si="5"/>
        <v>1.6225182727696852E-2</v>
      </c>
      <c r="AN40" s="6">
        <f t="shared" si="6"/>
        <v>0.97195583432688815</v>
      </c>
      <c r="AO40" s="7">
        <v>3</v>
      </c>
      <c r="AP40" s="7">
        <v>1</v>
      </c>
      <c r="AQ40" s="7">
        <v>1</v>
      </c>
      <c r="AR40" s="10">
        <v>0</v>
      </c>
      <c r="AS40" s="7">
        <v>0</v>
      </c>
      <c r="AT40" s="7">
        <v>0</v>
      </c>
      <c r="AU40" s="7">
        <v>0</v>
      </c>
      <c r="AV40" s="7">
        <v>0</v>
      </c>
      <c r="AW40" s="7">
        <v>31</v>
      </c>
      <c r="AX40" s="7">
        <v>1</v>
      </c>
      <c r="AY40" s="6">
        <v>7</v>
      </c>
      <c r="AZ40" s="7">
        <v>1</v>
      </c>
      <c r="BA40" s="7">
        <v>1</v>
      </c>
      <c r="BB40" s="7">
        <v>1</v>
      </c>
      <c r="BC40" s="7">
        <v>1</v>
      </c>
      <c r="BD40" s="7">
        <v>1</v>
      </c>
      <c r="BE40" s="3">
        <v>0</v>
      </c>
      <c r="BF40" s="3">
        <v>0</v>
      </c>
      <c r="BG40" s="3">
        <v>0</v>
      </c>
      <c r="BH40" s="3">
        <v>0</v>
      </c>
      <c r="BI40" s="3">
        <v>0</v>
      </c>
    </row>
    <row r="41" spans="1:61" ht="20.100000000000001" customHeight="1" x14ac:dyDescent="0.25">
      <c r="A41" s="3" t="s">
        <v>16</v>
      </c>
      <c r="B41" s="3">
        <v>4</v>
      </c>
      <c r="C41" s="8">
        <v>44250</v>
      </c>
      <c r="D41" s="9">
        <v>0.625</v>
      </c>
      <c r="E41" s="4">
        <v>79</v>
      </c>
      <c r="F41" s="3">
        <v>0</v>
      </c>
      <c r="G41" s="3">
        <v>0</v>
      </c>
      <c r="H41" s="3">
        <v>0</v>
      </c>
      <c r="I41" s="3">
        <v>0</v>
      </c>
      <c r="J41" s="9">
        <v>0.3125</v>
      </c>
      <c r="K41" s="3">
        <v>137.19999999999999</v>
      </c>
      <c r="L41" s="11">
        <f t="shared" ref="L41" si="41">K41-K40</f>
        <v>-1</v>
      </c>
      <c r="M41" s="5">
        <f t="shared" ref="M41" si="42">AB40</f>
        <v>1929.1000000000001</v>
      </c>
      <c r="N41" s="11">
        <v>31</v>
      </c>
      <c r="O41" s="11">
        <v>32.5</v>
      </c>
      <c r="P41" s="11">
        <v>10.75</v>
      </c>
      <c r="Q41" s="11">
        <v>10.875</v>
      </c>
      <c r="R41" s="11">
        <v>19.75</v>
      </c>
      <c r="S41" s="11">
        <v>20</v>
      </c>
      <c r="T41" s="11">
        <v>16</v>
      </c>
      <c r="U41" s="11">
        <v>15</v>
      </c>
      <c r="V41" s="11">
        <v>18</v>
      </c>
      <c r="W41" s="11">
        <v>17</v>
      </c>
      <c r="X41" s="11">
        <v>7</v>
      </c>
      <c r="Y41" s="11">
        <v>7</v>
      </c>
      <c r="Z41" s="3" t="s">
        <v>319</v>
      </c>
      <c r="AA41" s="10" t="s">
        <v>318</v>
      </c>
      <c r="AB41" s="5">
        <f>92+226.47+241.5+339.7+20+81+339.7+20+679.4+20+20+60+60</f>
        <v>2199.77</v>
      </c>
      <c r="AC41" s="6">
        <f>0+12.8+21.75+19.2+1.5+0+19.2+1.5+38.4+1.5+1+0+4.5</f>
        <v>121.35</v>
      </c>
      <c r="AD41" s="6">
        <f>0+4.57+3+6.85+1+0+6.85+1+13.7+1+0+0+0</f>
        <v>37.97</v>
      </c>
      <c r="AE41" s="6">
        <f>2+8.67+3+13+2+2+13+2+26+2+2+0+1.5</f>
        <v>77.17</v>
      </c>
      <c r="AF41" s="6">
        <f>24+21.17+12.75+31.75+0+21+31.75+0+63.5+0+6+17+3</f>
        <v>231.92000000000002</v>
      </c>
      <c r="AG41" s="6">
        <f>2+1.73+13.5+2.6+0+4+2.6+0+5.2+0+2+0+1.5</f>
        <v>35.130000000000003</v>
      </c>
      <c r="AH41" s="6">
        <f>0+287.33+10.5+431+100+2+431+100+862+100+0+0+270</f>
        <v>2593.83</v>
      </c>
      <c r="AI41" s="6">
        <f t="shared" si="1"/>
        <v>5.5164858144260531E-2</v>
      </c>
      <c r="AJ41" s="6">
        <f t="shared" si="2"/>
        <v>1.7260895457252349E-2</v>
      </c>
      <c r="AK41" s="6">
        <f t="shared" si="3"/>
        <v>3.5080940280120196E-2</v>
      </c>
      <c r="AL41" s="6">
        <f t="shared" si="4"/>
        <v>0.10542920396223242</v>
      </c>
      <c r="AM41" s="6">
        <f t="shared" si="5"/>
        <v>1.5969851393554783E-2</v>
      </c>
      <c r="AN41" s="6">
        <f t="shared" si="6"/>
        <v>1.1791369097678392</v>
      </c>
      <c r="AO41" s="7">
        <v>3</v>
      </c>
      <c r="AP41" s="7">
        <v>1</v>
      </c>
      <c r="AQ41" s="7">
        <v>1</v>
      </c>
      <c r="AR41" s="10">
        <v>0</v>
      </c>
      <c r="AS41" s="7">
        <v>0</v>
      </c>
      <c r="AT41" s="7">
        <v>0</v>
      </c>
      <c r="AU41" s="7">
        <v>0</v>
      </c>
      <c r="AV41" s="7">
        <v>0</v>
      </c>
      <c r="AW41" s="7">
        <v>31</v>
      </c>
      <c r="AX41" s="7">
        <v>1</v>
      </c>
      <c r="AY41" s="6">
        <v>6</v>
      </c>
      <c r="AZ41" s="7">
        <v>1</v>
      </c>
      <c r="BA41" s="7">
        <v>1</v>
      </c>
      <c r="BB41" s="7">
        <v>1</v>
      </c>
      <c r="BC41" s="7">
        <v>1</v>
      </c>
      <c r="BD41" s="7">
        <v>1</v>
      </c>
      <c r="BE41" s="3">
        <v>0</v>
      </c>
      <c r="BF41" s="3">
        <v>0</v>
      </c>
      <c r="BG41" s="3">
        <v>0</v>
      </c>
      <c r="BH41" s="3">
        <v>0</v>
      </c>
      <c r="BI41" s="3">
        <v>0</v>
      </c>
    </row>
    <row r="42" spans="1:61" ht="20.100000000000001" customHeight="1" x14ac:dyDescent="0.25">
      <c r="A42" s="3" t="s">
        <v>17</v>
      </c>
      <c r="B42" s="3">
        <v>5</v>
      </c>
      <c r="C42" s="8">
        <v>44251</v>
      </c>
      <c r="D42" s="9">
        <v>0.66666666666666663</v>
      </c>
      <c r="E42" s="4">
        <v>73</v>
      </c>
      <c r="F42" s="3">
        <v>0</v>
      </c>
      <c r="G42" s="3">
        <v>0</v>
      </c>
      <c r="H42" s="3">
        <v>0</v>
      </c>
      <c r="I42" s="3">
        <v>1</v>
      </c>
      <c r="J42" s="9">
        <v>0.66666666666666663</v>
      </c>
      <c r="K42" s="3">
        <v>138.80000000000001</v>
      </c>
      <c r="L42" s="11">
        <f t="shared" ref="L42" si="43">K42-K41</f>
        <v>1.6000000000000227</v>
      </c>
      <c r="M42" s="5">
        <f t="shared" ref="M42" si="44">AB41</f>
        <v>2199.77</v>
      </c>
      <c r="N42" s="11">
        <v>31.25</v>
      </c>
      <c r="O42" s="11">
        <v>32.75</v>
      </c>
      <c r="P42" s="11">
        <v>10.875</v>
      </c>
      <c r="Q42" s="11">
        <v>10.875</v>
      </c>
      <c r="R42" s="11">
        <v>20</v>
      </c>
      <c r="S42" s="11">
        <v>20</v>
      </c>
      <c r="T42" s="11">
        <v>16</v>
      </c>
      <c r="U42" s="11">
        <v>15</v>
      </c>
      <c r="V42" s="11">
        <v>18</v>
      </c>
      <c r="W42" s="11">
        <v>17</v>
      </c>
      <c r="X42" s="11">
        <v>7</v>
      </c>
      <c r="Y42" s="11">
        <v>7</v>
      </c>
      <c r="Z42" s="3" t="s">
        <v>328</v>
      </c>
      <c r="AA42" s="10" t="s">
        <v>325</v>
      </c>
      <c r="AB42" s="5">
        <f>184+162+400+240+57+62+649+80</f>
        <v>1834</v>
      </c>
      <c r="AC42" s="6">
        <f>0+0+4+15+0+0.1+14.43+5</f>
        <v>38.53</v>
      </c>
      <c r="AD42" s="6">
        <f>0+0+0+10.5+0+0+2.52+3.5</f>
        <v>16.52</v>
      </c>
      <c r="AE42" s="6">
        <f>4+4+8+18+0+0.3+36.85+6</f>
        <v>77.150000000000006</v>
      </c>
      <c r="AF42" s="6">
        <f>48+42+84+3+15+14.9+104.13+1</f>
        <v>312.02999999999997</v>
      </c>
      <c r="AG42" s="6">
        <f>4+8+8+0+3+2.5+18.3+0</f>
        <v>43.8</v>
      </c>
      <c r="AH42" s="6">
        <f>0+4+80+570+1+0+401.23+190</f>
        <v>1246.23</v>
      </c>
      <c r="AI42" s="6">
        <f t="shared" si="1"/>
        <v>2.1008724100327156E-2</v>
      </c>
      <c r="AJ42" s="6">
        <f t="shared" si="2"/>
        <v>9.0076335877862599E-3</v>
      </c>
      <c r="AK42" s="6">
        <f t="shared" si="3"/>
        <v>4.206652126499455E-2</v>
      </c>
      <c r="AL42" s="6">
        <f t="shared" si="4"/>
        <v>0.17013631406761176</v>
      </c>
      <c r="AM42" s="6">
        <f t="shared" si="5"/>
        <v>2.3882224645583424E-2</v>
      </c>
      <c r="AN42" s="6">
        <f t="shared" si="6"/>
        <v>0.67951472191930207</v>
      </c>
      <c r="AO42" s="7">
        <v>3</v>
      </c>
      <c r="AP42" s="7">
        <v>1</v>
      </c>
      <c r="AQ42" s="7">
        <v>1</v>
      </c>
      <c r="AR42" s="10" t="s">
        <v>327</v>
      </c>
      <c r="AS42" s="7" t="s">
        <v>326</v>
      </c>
      <c r="AT42" s="7">
        <v>0</v>
      </c>
      <c r="AU42" s="7">
        <v>20</v>
      </c>
      <c r="AV42" s="7">
        <v>0</v>
      </c>
      <c r="AW42" s="7">
        <v>31</v>
      </c>
      <c r="AX42" s="7">
        <v>1</v>
      </c>
      <c r="AY42" s="6">
        <v>7</v>
      </c>
      <c r="AZ42" s="7">
        <v>1</v>
      </c>
      <c r="BA42" s="7">
        <v>1</v>
      </c>
      <c r="BB42" s="7">
        <v>1</v>
      </c>
      <c r="BC42" s="7">
        <v>1</v>
      </c>
      <c r="BD42" s="7">
        <v>1</v>
      </c>
      <c r="BE42" s="3">
        <v>0</v>
      </c>
      <c r="BF42" s="3">
        <v>0</v>
      </c>
      <c r="BG42" s="3">
        <v>0</v>
      </c>
      <c r="BH42" s="3">
        <v>0</v>
      </c>
      <c r="BI42" s="3">
        <v>0</v>
      </c>
    </row>
    <row r="43" spans="1:61" ht="20.100000000000001" customHeight="1" x14ac:dyDescent="0.25">
      <c r="A43" s="3" t="s">
        <v>18</v>
      </c>
      <c r="B43" s="3">
        <v>6</v>
      </c>
      <c r="C43" s="8">
        <v>44252</v>
      </c>
      <c r="D43" s="9">
        <v>0.625</v>
      </c>
      <c r="E43" s="4">
        <v>71</v>
      </c>
      <c r="F43" s="3">
        <v>0</v>
      </c>
      <c r="G43" s="3">
        <v>0</v>
      </c>
      <c r="H43" s="3">
        <v>0</v>
      </c>
      <c r="I43" s="3">
        <v>0</v>
      </c>
      <c r="J43" s="9">
        <v>0.2638888888888889</v>
      </c>
      <c r="K43" s="3">
        <v>138.80000000000001</v>
      </c>
      <c r="L43" s="11">
        <f t="shared" ref="L43:L44" si="45">K43-K42</f>
        <v>0</v>
      </c>
      <c r="M43" s="5">
        <f t="shared" ref="M43" si="46">AB42</f>
        <v>1834</v>
      </c>
      <c r="N43" s="11">
        <v>31.5</v>
      </c>
      <c r="O43" s="11">
        <v>32.75</v>
      </c>
      <c r="P43" s="11">
        <v>10.875</v>
      </c>
      <c r="Q43" s="11">
        <v>10.875</v>
      </c>
      <c r="R43" s="11">
        <v>19.75</v>
      </c>
      <c r="S43" s="11">
        <v>19.875</v>
      </c>
      <c r="T43" s="11">
        <v>16</v>
      </c>
      <c r="U43" s="11">
        <v>15</v>
      </c>
      <c r="V43" s="11">
        <v>17</v>
      </c>
      <c r="W43" s="11">
        <v>16</v>
      </c>
      <c r="X43" s="11">
        <v>7</v>
      </c>
      <c r="Y43" s="11">
        <v>7</v>
      </c>
      <c r="Z43" s="3" t="s">
        <v>330</v>
      </c>
      <c r="AA43" s="10" t="s">
        <v>329</v>
      </c>
      <c r="AB43" s="5">
        <f>649+80+20+92+81+10+60+40+140+120+100+80+10+60+10+649+80+20+10+60+10</f>
        <v>2381</v>
      </c>
      <c r="AC43" s="6">
        <f>14.43+5+1.5+0+0+0.5+0+3+10+14+1+5+0.5+0+0.75+14.43+5+1.5+0.5+0+0.75</f>
        <v>77.86</v>
      </c>
      <c r="AD43" s="6">
        <f>2.52+3.5+1+0+0+0+0+0+3+2+0+3.5+0+0+0+2.52+3.5+1+0+0+0</f>
        <v>22.54</v>
      </c>
      <c r="AE43" s="6">
        <f>36.85+6+2+2+2+1+0+1+12+0+2+6+1+0+0.25+36.85+6+2+1+0+0.25</f>
        <v>118.19999999999999</v>
      </c>
      <c r="AF43" s="6">
        <f>104.13+1+0+24+21+3+17+2+0+0+21+1+3+17+0.5+104.13+1+0+3+17+0.5</f>
        <v>340.26</v>
      </c>
      <c r="AG43" s="6">
        <f>18.3+0+0+2+4+1+0+1+0+0+2+0+1+0+0.25+18.3+0+0+1+0+0.25</f>
        <v>49.1</v>
      </c>
      <c r="AH43" s="6">
        <f>401.23+190+100+0+2+0+0+180+140+0+20+190+0+0+45+401.23+190+100+0+0+45</f>
        <v>2004.46</v>
      </c>
      <c r="AI43" s="6">
        <f t="shared" si="1"/>
        <v>3.2700545989080218E-2</v>
      </c>
      <c r="AJ43" s="6">
        <f t="shared" si="2"/>
        <v>9.466610667786644E-3</v>
      </c>
      <c r="AK43" s="6">
        <f t="shared" si="3"/>
        <v>4.9643007139857198E-2</v>
      </c>
      <c r="AL43" s="6">
        <f t="shared" si="4"/>
        <v>0.14290634187316253</v>
      </c>
      <c r="AM43" s="6">
        <f t="shared" si="5"/>
        <v>2.0621587568248636E-2</v>
      </c>
      <c r="AN43" s="6">
        <f t="shared" si="6"/>
        <v>0.84185636287274257</v>
      </c>
      <c r="AO43" s="7">
        <v>3</v>
      </c>
      <c r="AP43" s="7">
        <v>2</v>
      </c>
      <c r="AQ43" s="7">
        <v>0</v>
      </c>
      <c r="AR43" s="10">
        <v>0</v>
      </c>
      <c r="AS43" s="7">
        <v>0</v>
      </c>
      <c r="AT43" s="7">
        <v>0</v>
      </c>
      <c r="AU43" s="7">
        <v>0</v>
      </c>
      <c r="AV43" s="7">
        <v>0</v>
      </c>
      <c r="AW43" s="7">
        <v>31</v>
      </c>
      <c r="AX43" s="7">
        <v>1</v>
      </c>
      <c r="AY43" s="6">
        <v>8.5</v>
      </c>
      <c r="AZ43" s="7">
        <v>1</v>
      </c>
      <c r="BA43" s="7">
        <v>1</v>
      </c>
      <c r="BB43" s="7">
        <v>1</v>
      </c>
      <c r="BC43" s="7">
        <v>1</v>
      </c>
      <c r="BD43" s="7">
        <v>1</v>
      </c>
      <c r="BE43" s="3">
        <v>0</v>
      </c>
      <c r="BF43" s="3">
        <v>2</v>
      </c>
      <c r="BG43" s="3">
        <f>25+55</f>
        <v>80</v>
      </c>
      <c r="BH43" s="3">
        <v>3</v>
      </c>
      <c r="BI43" s="3">
        <v>0</v>
      </c>
    </row>
    <row r="44" spans="1:61" ht="20.100000000000001" customHeight="1" x14ac:dyDescent="0.25">
      <c r="A44" s="3" t="s">
        <v>138</v>
      </c>
      <c r="B44" s="3">
        <v>7</v>
      </c>
      <c r="C44" s="8">
        <v>44253</v>
      </c>
      <c r="D44" s="9">
        <v>0.71875</v>
      </c>
      <c r="E44" s="4">
        <v>66</v>
      </c>
      <c r="F44" s="3">
        <v>15</v>
      </c>
      <c r="G44" s="3">
        <v>3</v>
      </c>
      <c r="H44" s="3">
        <v>45</v>
      </c>
      <c r="I44" s="3">
        <v>0</v>
      </c>
      <c r="J44" s="9">
        <v>0.27152777777777776</v>
      </c>
      <c r="K44" s="3">
        <v>140</v>
      </c>
      <c r="L44" s="11">
        <f t="shared" si="45"/>
        <v>1.1999999999999886</v>
      </c>
      <c r="M44" s="5">
        <f t="shared" ref="M44" si="47">AB43</f>
        <v>2381</v>
      </c>
      <c r="N44" s="11">
        <v>31.25</v>
      </c>
      <c r="O44" s="11">
        <v>33.25</v>
      </c>
      <c r="P44" s="11">
        <v>10.75</v>
      </c>
      <c r="Q44" s="11">
        <v>10.75</v>
      </c>
      <c r="R44" s="11">
        <v>19.75</v>
      </c>
      <c r="S44" s="11">
        <v>19.574999999999999</v>
      </c>
      <c r="T44" s="11">
        <v>14</v>
      </c>
      <c r="U44" s="11">
        <v>15</v>
      </c>
      <c r="V44" s="11">
        <v>16</v>
      </c>
      <c r="W44" s="11">
        <v>15</v>
      </c>
      <c r="X44" s="11">
        <v>6</v>
      </c>
      <c r="Y44" s="11">
        <v>7</v>
      </c>
      <c r="Z44" s="3" t="s">
        <v>332</v>
      </c>
      <c r="AA44" s="10" t="s">
        <v>331</v>
      </c>
      <c r="AB44" s="5">
        <f xml:space="preserve"> 649+80+20+649+80+20+8.5+649+80+20</f>
        <v>2255.5</v>
      </c>
      <c r="AC44" s="6">
        <f>14.43+5+1.5+14.43+5+1.5+0+14.43+5+1.5</f>
        <v>62.79</v>
      </c>
      <c r="AD44" s="6">
        <f>2.52+3.5+1+2.52+3.5+1+0+2.52+3.5+1</f>
        <v>21.06</v>
      </c>
      <c r="AE44" s="6">
        <f>36.85+6+2+36.85+6+2+0+36.85+6+2</f>
        <v>134.55000000000001</v>
      </c>
      <c r="AF44" s="6">
        <f>104.13+1+0+104.13+1+0+36+104.13+1+0</f>
        <v>351.39</v>
      </c>
      <c r="AG44" s="6">
        <f>18.3+0+0+18.3+0+0+0+18.3+0+0</f>
        <v>54.900000000000006</v>
      </c>
      <c r="AH44" s="6">
        <f>401.23+190+100+401.23+190+100+1+401.23+190+100</f>
        <v>2074.69</v>
      </c>
      <c r="AI44" s="6">
        <f t="shared" si="1"/>
        <v>2.7838616714697405E-2</v>
      </c>
      <c r="AJ44" s="6">
        <f t="shared" si="2"/>
        <v>9.3371757925072036E-3</v>
      </c>
      <c r="AK44" s="6">
        <f t="shared" si="3"/>
        <v>5.9654178674351591E-2</v>
      </c>
      <c r="AL44" s="6">
        <f t="shared" si="4"/>
        <v>0.15579250720461094</v>
      </c>
      <c r="AM44" s="6">
        <f t="shared" si="5"/>
        <v>2.4340500997561521E-2</v>
      </c>
      <c r="AN44" s="6">
        <f t="shared" si="6"/>
        <v>0.91983595655065398</v>
      </c>
      <c r="AO44" s="7">
        <v>3</v>
      </c>
      <c r="AP44" s="7">
        <v>1</v>
      </c>
      <c r="AQ44" s="7">
        <v>0</v>
      </c>
      <c r="AR44" s="10">
        <v>0</v>
      </c>
      <c r="AS44" s="7">
        <v>0</v>
      </c>
      <c r="AT44" s="7">
        <v>0</v>
      </c>
      <c r="AU44" s="7">
        <v>0</v>
      </c>
      <c r="AV44" s="7">
        <v>0</v>
      </c>
      <c r="AW44" s="7">
        <v>31</v>
      </c>
      <c r="AX44" s="7">
        <v>1</v>
      </c>
      <c r="AY44" s="5">
        <v>6</v>
      </c>
      <c r="AZ44" s="7">
        <v>1</v>
      </c>
      <c r="BA44" s="7">
        <v>1</v>
      </c>
      <c r="BB44" s="7">
        <v>1</v>
      </c>
      <c r="BC44" s="7">
        <v>1</v>
      </c>
      <c r="BD44" s="7">
        <v>1</v>
      </c>
      <c r="BE44" s="3">
        <v>0</v>
      </c>
      <c r="BF44" s="3">
        <v>0</v>
      </c>
      <c r="BG44" s="3">
        <v>0</v>
      </c>
      <c r="BH44" s="3">
        <v>0</v>
      </c>
      <c r="BI44" s="3">
        <v>0</v>
      </c>
    </row>
    <row r="45" spans="1:61" ht="20.100000000000001" customHeight="1" x14ac:dyDescent="0.25">
      <c r="A45" s="3" t="s">
        <v>19</v>
      </c>
      <c r="B45" s="3">
        <v>8</v>
      </c>
      <c r="C45" s="8">
        <v>44254</v>
      </c>
      <c r="D45" s="9">
        <v>0.625</v>
      </c>
      <c r="E45" s="4">
        <v>70</v>
      </c>
      <c r="F45" s="3">
        <v>0</v>
      </c>
      <c r="G45" s="3">
        <v>0</v>
      </c>
      <c r="H45" s="3">
        <v>0</v>
      </c>
      <c r="I45" s="3">
        <v>0</v>
      </c>
      <c r="J45" s="9">
        <v>0.2673611111111111</v>
      </c>
      <c r="K45" s="3">
        <v>138.80000000000001</v>
      </c>
      <c r="L45" s="11">
        <f t="shared" ref="L45" si="48">K45-K44</f>
        <v>-1.1999999999999886</v>
      </c>
      <c r="M45" s="5">
        <f t="shared" ref="M45" si="49">AB44</f>
        <v>2255.5</v>
      </c>
      <c r="N45" s="11">
        <v>31</v>
      </c>
      <c r="O45" s="11">
        <v>33</v>
      </c>
      <c r="P45" s="11">
        <v>10.875</v>
      </c>
      <c r="Q45" s="11">
        <v>10.875</v>
      </c>
      <c r="R45" s="11">
        <v>19.875</v>
      </c>
      <c r="S45" s="11">
        <v>19.875</v>
      </c>
      <c r="T45" s="11">
        <v>14</v>
      </c>
      <c r="U45" s="11">
        <v>14</v>
      </c>
      <c r="V45" s="11">
        <v>16</v>
      </c>
      <c r="W45" s="11">
        <v>15</v>
      </c>
      <c r="X45" s="11">
        <v>7</v>
      </c>
      <c r="Y45" s="11">
        <v>7</v>
      </c>
      <c r="Z45" s="3" t="s">
        <v>334</v>
      </c>
      <c r="AA45" s="10" t="s">
        <v>335</v>
      </c>
      <c r="AB45" s="5">
        <f>400+80+140+30+120+8.5+81+322+140+120+120+240</f>
        <v>1801.5</v>
      </c>
      <c r="AC45" s="6">
        <f>4+5+10+10+14+0+0+29+10+14+0.6+1.6</f>
        <v>98.199999999999989</v>
      </c>
      <c r="AD45" s="6">
        <f>0+3.5+3+1.75+2+0+0+4+3+2+0.3+0</f>
        <v>19.55</v>
      </c>
      <c r="AE45" s="6">
        <f>8+6+12+0.5+0+0+2+4+12+0+1.8+4.8</f>
        <v>51.099999999999994</v>
      </c>
      <c r="AF45" s="6">
        <f>84+1+0+1+0+36+21+17+0+0+30.3+52.8</f>
        <v>243.10000000000002</v>
      </c>
      <c r="AG45" s="6">
        <f>8+0+0+0+0+0+4+18+0+0+4.2+3.2</f>
        <v>37.400000000000006</v>
      </c>
      <c r="AH45" s="6">
        <f>80+190+140+7.5+0+1+2+14+140+0+6+448</f>
        <v>1028.5</v>
      </c>
      <c r="AI45" s="6">
        <f t="shared" si="1"/>
        <v>5.4510130446849839E-2</v>
      </c>
      <c r="AJ45" s="6">
        <f t="shared" si="2"/>
        <v>1.0852067721343325E-2</v>
      </c>
      <c r="AK45" s="6">
        <f t="shared" si="3"/>
        <v>2.8365251179572577E-2</v>
      </c>
      <c r="AL45" s="6">
        <f t="shared" si="4"/>
        <v>0.13494310296974746</v>
      </c>
      <c r="AM45" s="6">
        <f t="shared" si="5"/>
        <v>2.0760477379961145E-2</v>
      </c>
      <c r="AN45" s="6">
        <f t="shared" si="6"/>
        <v>0.57091312794893145</v>
      </c>
      <c r="AO45" s="7">
        <v>4</v>
      </c>
      <c r="AP45" s="7">
        <v>1</v>
      </c>
      <c r="AQ45" s="7">
        <v>0</v>
      </c>
      <c r="AR45" s="10">
        <v>0</v>
      </c>
      <c r="AS45" s="7">
        <v>0</v>
      </c>
      <c r="AT45" s="7">
        <v>0</v>
      </c>
      <c r="AU45" s="7">
        <v>0</v>
      </c>
      <c r="AV45" s="7">
        <v>0</v>
      </c>
      <c r="AW45" s="7">
        <v>31</v>
      </c>
      <c r="AX45" s="7">
        <v>1</v>
      </c>
      <c r="AY45" s="5">
        <v>7</v>
      </c>
      <c r="AZ45" s="7">
        <v>1</v>
      </c>
      <c r="BA45" s="7">
        <v>1</v>
      </c>
      <c r="BB45" s="7">
        <v>1</v>
      </c>
      <c r="BC45" s="7">
        <v>1</v>
      </c>
      <c r="BD45" s="7">
        <v>1</v>
      </c>
      <c r="BE45" s="3">
        <v>0</v>
      </c>
      <c r="BF45" s="3">
        <v>0</v>
      </c>
      <c r="BG45" s="3">
        <v>0</v>
      </c>
      <c r="BH45" s="3">
        <v>0</v>
      </c>
      <c r="BI45" s="3">
        <v>0</v>
      </c>
    </row>
    <row r="46" spans="1:61" ht="20.100000000000001" customHeight="1" x14ac:dyDescent="0.25">
      <c r="A46" s="3" t="s">
        <v>23</v>
      </c>
      <c r="B46" s="3">
        <v>9</v>
      </c>
      <c r="C46" s="8">
        <v>44255</v>
      </c>
      <c r="D46" s="9">
        <v>0.68055555555555547</v>
      </c>
      <c r="E46" s="4">
        <v>67</v>
      </c>
      <c r="F46" s="3">
        <v>0</v>
      </c>
      <c r="G46" s="3">
        <v>0</v>
      </c>
      <c r="H46" s="3">
        <v>0</v>
      </c>
      <c r="I46" s="3">
        <v>0</v>
      </c>
      <c r="J46" s="9">
        <v>0.28125</v>
      </c>
      <c r="K46" s="3">
        <v>138.80000000000001</v>
      </c>
      <c r="L46" s="11">
        <f t="shared" ref="L46" si="50">K46-K45</f>
        <v>0</v>
      </c>
      <c r="M46" s="5">
        <f t="shared" ref="M46" si="51">AB45</f>
        <v>1801.5</v>
      </c>
      <c r="N46" s="11">
        <v>31</v>
      </c>
      <c r="O46" s="11">
        <v>33</v>
      </c>
      <c r="P46" s="11">
        <v>10.625</v>
      </c>
      <c r="Q46" s="11">
        <v>10.75</v>
      </c>
      <c r="R46" s="11">
        <v>20</v>
      </c>
      <c r="S46" s="11">
        <v>20.25</v>
      </c>
      <c r="T46" s="11">
        <v>14</v>
      </c>
      <c r="U46" s="11">
        <v>14</v>
      </c>
      <c r="V46" s="11">
        <v>17</v>
      </c>
      <c r="W46" s="11">
        <v>15</v>
      </c>
      <c r="X46" s="11">
        <v>7</v>
      </c>
      <c r="Y46" s="11">
        <v>7</v>
      </c>
      <c r="Z46" s="3" t="s">
        <v>342</v>
      </c>
      <c r="AA46" s="10" t="s">
        <v>341</v>
      </c>
      <c r="AB46" s="5">
        <f>140+120+60+322+200+106.7+120+210+10+60+60+663+322+200+106.7</f>
        <v>2700.3999999999996</v>
      </c>
      <c r="AC46" s="6">
        <f>10+14+5+29+2+6.7+0.6+0+0.5+7+0+25.7+29+2+6.7</f>
        <v>138.19999999999999</v>
      </c>
      <c r="AD46" s="6">
        <f>3+2+3.5+4+0+4.7+0.3+0+0+6.5+0+5.95+4+0+4.7</f>
        <v>38.650000000000006</v>
      </c>
      <c r="AE46" s="6">
        <f>12+0+1+4+4+8+1.8+2+1+0+0+36.87+4+4+8</f>
        <v>86.669999999999987</v>
      </c>
      <c r="AF46" s="6">
        <f>0+0+2+17+42+1.3+30.3+54+3+0+17+76.1+17+42+1.3</f>
        <v>303</v>
      </c>
      <c r="AG46" s="6">
        <f>0+0+0+18+4+0+4.2+6+1+0+0+13.1+18+4+0</f>
        <v>68.300000000000011</v>
      </c>
      <c r="AH46" s="6">
        <f>140+0+15+14+40+253.3+6+2+0+0+0+1035.8+14+40+253.3</f>
        <v>1813.3999999999999</v>
      </c>
      <c r="AI46" s="6">
        <f t="shared" si="1"/>
        <v>5.1177603318026961E-2</v>
      </c>
      <c r="AJ46" s="6">
        <f t="shared" si="2"/>
        <v>1.4312694415642131E-2</v>
      </c>
      <c r="AK46" s="6">
        <f t="shared" si="3"/>
        <v>3.2095245148866837E-2</v>
      </c>
      <c r="AL46" s="6">
        <f t="shared" si="4"/>
        <v>0.11220559917049328</v>
      </c>
      <c r="AM46" s="6">
        <f t="shared" si="5"/>
        <v>2.5292549251962681E-2</v>
      </c>
      <c r="AN46" s="6">
        <f t="shared" si="6"/>
        <v>0.67153014368241748</v>
      </c>
      <c r="AO46" s="7">
        <v>4</v>
      </c>
      <c r="AP46" s="7">
        <v>1</v>
      </c>
      <c r="AQ46" s="7">
        <v>0</v>
      </c>
      <c r="AR46" s="10">
        <v>0</v>
      </c>
      <c r="AS46" s="7">
        <v>0</v>
      </c>
      <c r="AT46" s="7">
        <v>0</v>
      </c>
      <c r="AU46" s="7">
        <v>0</v>
      </c>
      <c r="AV46" s="7">
        <v>0</v>
      </c>
      <c r="AW46" s="7">
        <v>30</v>
      </c>
      <c r="AX46" s="7">
        <v>1</v>
      </c>
      <c r="AY46" s="5">
        <v>6.25</v>
      </c>
      <c r="AZ46" s="7">
        <v>1</v>
      </c>
      <c r="BA46" s="7">
        <v>1</v>
      </c>
      <c r="BB46" s="7">
        <v>1</v>
      </c>
      <c r="BC46" s="7">
        <v>1</v>
      </c>
      <c r="BD46" s="7">
        <v>1</v>
      </c>
      <c r="BE46" s="3">
        <v>0</v>
      </c>
      <c r="BF46" s="3">
        <v>0</v>
      </c>
      <c r="BG46" s="3">
        <v>0</v>
      </c>
      <c r="BH46" s="3">
        <v>1</v>
      </c>
      <c r="BI46" s="3">
        <v>0</v>
      </c>
    </row>
    <row r="47" spans="1:61" ht="20.100000000000001" customHeight="1" x14ac:dyDescent="0.25">
      <c r="A47" s="3" t="s">
        <v>15</v>
      </c>
      <c r="B47" s="3">
        <v>10</v>
      </c>
      <c r="C47" s="8">
        <v>44256</v>
      </c>
      <c r="D47" s="9">
        <v>0.625</v>
      </c>
      <c r="E47" s="4">
        <v>75</v>
      </c>
      <c r="F47" s="3">
        <v>0</v>
      </c>
      <c r="G47" s="3">
        <v>0</v>
      </c>
      <c r="H47" s="3">
        <v>0</v>
      </c>
      <c r="I47" s="3">
        <v>0</v>
      </c>
      <c r="J47" s="9">
        <v>0.30902777777777779</v>
      </c>
      <c r="K47" s="3">
        <v>138.80000000000001</v>
      </c>
      <c r="L47" s="11">
        <f t="shared" ref="L47" si="52">K47-K46</f>
        <v>0</v>
      </c>
      <c r="M47" s="5">
        <f t="shared" ref="M47" si="53">AB46</f>
        <v>2700.3999999999996</v>
      </c>
      <c r="N47" s="11">
        <v>31</v>
      </c>
      <c r="O47" s="11">
        <v>32.25</v>
      </c>
      <c r="P47" s="11">
        <v>10.75</v>
      </c>
      <c r="Q47" s="11">
        <v>10.75</v>
      </c>
      <c r="R47" s="11">
        <v>19.75</v>
      </c>
      <c r="S47" s="11">
        <v>19.75</v>
      </c>
      <c r="T47" s="11">
        <v>15</v>
      </c>
      <c r="U47" s="11">
        <v>14</v>
      </c>
      <c r="V47" s="11">
        <v>16</v>
      </c>
      <c r="W47" s="11">
        <v>16</v>
      </c>
      <c r="X47" s="11">
        <v>7</v>
      </c>
      <c r="Y47" s="11">
        <v>7</v>
      </c>
      <c r="Z47" s="3" t="s">
        <v>345</v>
      </c>
      <c r="AA47" s="10" t="s">
        <v>344</v>
      </c>
      <c r="AB47" s="5">
        <f>210+663+106.7+80+106.7+20+160+130+45</f>
        <v>1521.4</v>
      </c>
      <c r="AC47" s="6">
        <f>0+25.7+6.7+0.4+6.7+1.5+0.8+2+3.75</f>
        <v>47.55</v>
      </c>
      <c r="AD47" s="6">
        <f>0+5.95+4.7+0.2+4.7+1+0.4+0+0</f>
        <v>16.95</v>
      </c>
      <c r="AE47" s="6">
        <f>2+36.87+8+1.2+8+2+2.4+18+1.5</f>
        <v>79.97</v>
      </c>
      <c r="AF47" s="6">
        <f>54+76.1+1.3+20.2+1.3+0+40.4+9+1.5</f>
        <v>203.8</v>
      </c>
      <c r="AG47" s="6">
        <f>6+13.1+0+2.8+0+0+5.6+2+0</f>
        <v>29.5</v>
      </c>
      <c r="AH47" s="6">
        <f>2+1035.8+253.3+4+253.3+100+8+320+172.5</f>
        <v>2148.8999999999996</v>
      </c>
      <c r="AI47" s="6">
        <f t="shared" si="1"/>
        <v>3.1254108058367293E-2</v>
      </c>
      <c r="AJ47" s="6">
        <f t="shared" si="2"/>
        <v>1.114105429209938E-2</v>
      </c>
      <c r="AK47" s="6">
        <f t="shared" si="3"/>
        <v>5.2563428421191001E-2</v>
      </c>
      <c r="AL47" s="6">
        <f t="shared" si="4"/>
        <v>0.13395556724069935</v>
      </c>
      <c r="AM47" s="6">
        <f t="shared" si="5"/>
        <v>1.9390035493624291E-2</v>
      </c>
      <c r="AN47" s="6">
        <f t="shared" si="6"/>
        <v>1.4124490600762452</v>
      </c>
      <c r="AO47" s="7">
        <v>4</v>
      </c>
      <c r="AP47" s="7">
        <v>1</v>
      </c>
      <c r="AQ47" s="7">
        <v>0</v>
      </c>
      <c r="AR47" s="10">
        <v>0</v>
      </c>
      <c r="AS47" s="7">
        <v>0</v>
      </c>
      <c r="AT47" s="7">
        <v>0</v>
      </c>
      <c r="AU47" s="7">
        <v>0</v>
      </c>
      <c r="AV47" s="7">
        <v>0</v>
      </c>
      <c r="AW47" s="7">
        <v>30</v>
      </c>
      <c r="AX47" s="7">
        <v>1</v>
      </c>
      <c r="AY47" s="5">
        <v>7.5</v>
      </c>
      <c r="AZ47" s="7">
        <v>1</v>
      </c>
      <c r="BA47" s="7">
        <v>1</v>
      </c>
      <c r="BB47" s="7">
        <v>1</v>
      </c>
      <c r="BC47" s="7">
        <v>1</v>
      </c>
      <c r="BD47" s="7">
        <v>1</v>
      </c>
      <c r="BE47" s="3">
        <v>1</v>
      </c>
      <c r="BF47" s="3">
        <v>0</v>
      </c>
      <c r="BG47" s="3">
        <v>0</v>
      </c>
      <c r="BH47" s="3">
        <v>0</v>
      </c>
      <c r="BI47" s="3">
        <v>0</v>
      </c>
    </row>
    <row r="48" spans="1:61" ht="20.100000000000001" customHeight="1" x14ac:dyDescent="0.25">
      <c r="A48" s="3" t="s">
        <v>16</v>
      </c>
      <c r="B48" s="3">
        <v>11</v>
      </c>
      <c r="C48" s="8">
        <v>44257</v>
      </c>
      <c r="D48" s="9">
        <v>0.625</v>
      </c>
      <c r="E48" s="4">
        <v>76</v>
      </c>
      <c r="F48" s="3">
        <v>0</v>
      </c>
      <c r="G48" s="3">
        <v>0</v>
      </c>
      <c r="H48" s="3">
        <v>0</v>
      </c>
      <c r="I48" s="3">
        <v>0</v>
      </c>
      <c r="J48" s="9">
        <v>0.34027777777777773</v>
      </c>
      <c r="K48" s="3">
        <v>140.4</v>
      </c>
      <c r="L48" s="11">
        <f t="shared" ref="L48" si="54">K48-K47</f>
        <v>1.5999999999999943</v>
      </c>
      <c r="M48" s="5">
        <f t="shared" ref="M48" si="55">AB47</f>
        <v>1521.4</v>
      </c>
      <c r="N48" s="11">
        <v>31.5</v>
      </c>
      <c r="O48" s="11">
        <v>32.25</v>
      </c>
      <c r="P48" s="11">
        <v>10.875</v>
      </c>
      <c r="Q48" s="11">
        <v>10.75</v>
      </c>
      <c r="R48" s="11">
        <v>19.75</v>
      </c>
      <c r="S48" s="11">
        <v>20.25</v>
      </c>
      <c r="T48" s="11">
        <v>13</v>
      </c>
      <c r="U48" s="11">
        <v>11</v>
      </c>
      <c r="V48" s="11">
        <v>17</v>
      </c>
      <c r="W48" s="11">
        <v>16</v>
      </c>
      <c r="X48" s="11">
        <v>7</v>
      </c>
      <c r="Y48" s="11">
        <v>7</v>
      </c>
      <c r="Z48" s="3" t="s">
        <v>352</v>
      </c>
      <c r="AA48" s="10" t="s">
        <v>346</v>
      </c>
      <c r="AB48" s="5">
        <f>210+60+120+20+120+120+400+280+200</f>
        <v>1530</v>
      </c>
      <c r="AC48" s="6">
        <f>15+5+14+1+0+14+4+20+1</f>
        <v>74</v>
      </c>
      <c r="AD48" s="6">
        <f>4.5+3.5+2+0+0+13+0+12+0.5</f>
        <v>35.5</v>
      </c>
      <c r="AE48" s="6">
        <f>18+1+0+2+0+0+8+20+3</f>
        <v>52</v>
      </c>
      <c r="AF48" s="6">
        <f>0+2+0+6+34+0+84+0+50.5</f>
        <v>176.5</v>
      </c>
      <c r="AG48" s="6">
        <f>0+0+0+2+0+0+8+0+7</f>
        <v>17</v>
      </c>
      <c r="AH48" s="6">
        <f>210+15+0+0+0+0+80+680+10</f>
        <v>995</v>
      </c>
      <c r="AI48" s="6">
        <f t="shared" si="1"/>
        <v>4.8366013071895426E-2</v>
      </c>
      <c r="AJ48" s="6">
        <f t="shared" si="2"/>
        <v>2.3202614379084968E-2</v>
      </c>
      <c r="AK48" s="6">
        <f t="shared" si="3"/>
        <v>3.3986928104575161E-2</v>
      </c>
      <c r="AL48" s="6">
        <f t="shared" si="4"/>
        <v>0.11535947712418301</v>
      </c>
      <c r="AM48" s="6">
        <f t="shared" si="5"/>
        <v>1.1111111111111112E-2</v>
      </c>
      <c r="AN48" s="6">
        <f t="shared" si="6"/>
        <v>0.65032679738562094</v>
      </c>
      <c r="AO48" s="7">
        <v>4</v>
      </c>
      <c r="AP48" s="7">
        <v>3</v>
      </c>
      <c r="AQ48" s="7">
        <v>0</v>
      </c>
      <c r="AR48" s="10">
        <v>0</v>
      </c>
      <c r="AS48" s="7">
        <v>0</v>
      </c>
      <c r="AT48" s="7">
        <v>0</v>
      </c>
      <c r="AU48" s="7">
        <v>0</v>
      </c>
      <c r="AV48" s="7">
        <v>0</v>
      </c>
      <c r="AW48" s="7">
        <v>30</v>
      </c>
      <c r="AX48" s="7">
        <v>1</v>
      </c>
      <c r="AY48" s="5">
        <v>6</v>
      </c>
      <c r="AZ48" s="7">
        <v>1</v>
      </c>
      <c r="BA48" s="7">
        <v>1</v>
      </c>
      <c r="BB48" s="7">
        <v>1</v>
      </c>
      <c r="BC48" s="7">
        <v>1</v>
      </c>
      <c r="BD48" s="7">
        <v>1</v>
      </c>
      <c r="BE48" s="7">
        <v>0</v>
      </c>
      <c r="BF48" s="3">
        <v>0</v>
      </c>
      <c r="BG48" s="3">
        <v>0</v>
      </c>
      <c r="BH48" s="3">
        <v>2</v>
      </c>
      <c r="BI48" s="3">
        <v>1</v>
      </c>
    </row>
    <row r="49" spans="1:61" ht="20.100000000000001" customHeight="1" x14ac:dyDescent="0.25">
      <c r="A49" s="3" t="s">
        <v>17</v>
      </c>
      <c r="B49" s="3">
        <v>12</v>
      </c>
      <c r="C49" s="8">
        <v>44258</v>
      </c>
      <c r="D49" s="9">
        <v>0.625</v>
      </c>
      <c r="E49" s="4">
        <v>52</v>
      </c>
      <c r="F49" s="3">
        <v>0</v>
      </c>
      <c r="G49" s="3">
        <v>0</v>
      </c>
      <c r="H49" s="3">
        <v>0</v>
      </c>
      <c r="I49" s="3">
        <v>0</v>
      </c>
      <c r="J49" s="9">
        <v>0.2986111111111111</v>
      </c>
      <c r="K49" s="3">
        <v>137.80000000000001</v>
      </c>
      <c r="L49" s="11">
        <f t="shared" ref="L49" si="56">K49-K48</f>
        <v>-2.5999999999999943</v>
      </c>
      <c r="M49" s="5">
        <f t="shared" ref="M49" si="57">AB48</f>
        <v>1530</v>
      </c>
      <c r="N49" s="11">
        <v>31.25</v>
      </c>
      <c r="O49" s="11">
        <v>33.25</v>
      </c>
      <c r="P49" s="11">
        <v>10.875</v>
      </c>
      <c r="Q49" s="11">
        <v>10.875</v>
      </c>
      <c r="R49" s="11">
        <v>19.75</v>
      </c>
      <c r="S49" s="11">
        <v>19.875</v>
      </c>
      <c r="T49" s="11">
        <v>13</v>
      </c>
      <c r="U49" s="11">
        <v>13</v>
      </c>
      <c r="V49" s="11">
        <v>15</v>
      </c>
      <c r="W49" s="11">
        <v>15</v>
      </c>
      <c r="X49" s="11">
        <v>7</v>
      </c>
      <c r="Y49" s="11">
        <v>7</v>
      </c>
      <c r="Z49" s="3" t="s">
        <v>356</v>
      </c>
      <c r="AA49" s="10" t="s">
        <v>355</v>
      </c>
      <c r="AB49" s="5">
        <f>783+70+20+80+570+92+81+50+81+270+130</f>
        <v>2227</v>
      </c>
      <c r="AC49" s="6">
        <f>9.17+5+1.5+5+24+0+0+2+0+24+8</f>
        <v>78.67</v>
      </c>
      <c r="AD49" s="6">
        <f>2.5+3+1+3.5+6+0+0+1.17+2+5</f>
        <v>24.17</v>
      </c>
      <c r="AE49" s="6">
        <f>45+5+2+6+37+2+2+0.33+2+9+2</f>
        <v>112.33</v>
      </c>
      <c r="AF49" s="6">
        <f>138.33+0+0+1+58+24+21+8+21+9+28</f>
        <v>308.33000000000004</v>
      </c>
      <c r="AG49" s="6">
        <f>21.67+0+0+0+5+2+4+0+4+6+3</f>
        <v>45.67</v>
      </c>
      <c r="AH49" s="6">
        <f>1600+170+100+190+480+0+2+28.33+2+180+1</f>
        <v>2753.33</v>
      </c>
      <c r="AI49" s="6">
        <f t="shared" si="1"/>
        <v>3.5325550067355188E-2</v>
      </c>
      <c r="AJ49" s="6">
        <f t="shared" si="2"/>
        <v>1.085316569375842E-2</v>
      </c>
      <c r="AK49" s="6">
        <f t="shared" si="3"/>
        <v>5.0440053884149079E-2</v>
      </c>
      <c r="AL49" s="6">
        <f t="shared" si="4"/>
        <v>0.138450830713965</v>
      </c>
      <c r="AM49" s="6">
        <f t="shared" si="5"/>
        <v>2.0507409070498431E-2</v>
      </c>
      <c r="AN49" s="6">
        <f t="shared" si="6"/>
        <v>1.236340368208352</v>
      </c>
      <c r="AO49" s="7">
        <v>4</v>
      </c>
      <c r="AP49" s="7">
        <v>1</v>
      </c>
      <c r="AQ49" s="7">
        <v>0</v>
      </c>
      <c r="AR49" s="10">
        <v>0</v>
      </c>
      <c r="AS49" s="7">
        <v>0</v>
      </c>
      <c r="AT49" s="7">
        <v>0</v>
      </c>
      <c r="AU49" s="7">
        <v>0</v>
      </c>
      <c r="AV49" s="7">
        <v>0</v>
      </c>
      <c r="AW49" s="7">
        <v>30</v>
      </c>
      <c r="AX49" s="7">
        <v>1</v>
      </c>
      <c r="AY49" s="5">
        <v>6.5</v>
      </c>
      <c r="AZ49" s="7">
        <v>1</v>
      </c>
      <c r="BA49" s="7">
        <v>1</v>
      </c>
      <c r="BB49" s="7">
        <v>0</v>
      </c>
      <c r="BC49" s="7">
        <v>1</v>
      </c>
      <c r="BD49" s="7">
        <v>1</v>
      </c>
      <c r="BE49" s="7">
        <v>1</v>
      </c>
      <c r="BF49" s="3">
        <v>0</v>
      </c>
      <c r="BG49" s="3">
        <v>0</v>
      </c>
      <c r="BH49" s="3">
        <v>0</v>
      </c>
      <c r="BI49" s="3">
        <v>0</v>
      </c>
    </row>
    <row r="50" spans="1:61" ht="20.100000000000001" customHeight="1" x14ac:dyDescent="0.25">
      <c r="A50" s="3" t="s">
        <v>18</v>
      </c>
      <c r="B50" s="3">
        <v>13</v>
      </c>
      <c r="C50" s="8">
        <v>44259</v>
      </c>
      <c r="D50" s="9">
        <v>0.54166666666666663</v>
      </c>
      <c r="E50" s="4">
        <v>66</v>
      </c>
      <c r="F50" s="3">
        <v>0</v>
      </c>
      <c r="G50" s="3">
        <v>0</v>
      </c>
      <c r="H50" s="3">
        <v>0</v>
      </c>
      <c r="I50" s="3">
        <v>1</v>
      </c>
      <c r="J50" s="9">
        <v>0.28125</v>
      </c>
      <c r="K50" s="3">
        <v>137.80000000000001</v>
      </c>
      <c r="L50" s="11">
        <f t="shared" ref="L50" si="58">K50-K49</f>
        <v>0</v>
      </c>
      <c r="M50" s="5">
        <f t="shared" ref="M50" si="59">AB49</f>
        <v>2227</v>
      </c>
      <c r="N50" s="11">
        <v>31.25</v>
      </c>
      <c r="O50" s="11">
        <v>32.75</v>
      </c>
      <c r="P50" s="11">
        <v>10.75</v>
      </c>
      <c r="Q50" s="11">
        <v>10.875</v>
      </c>
      <c r="R50" s="11">
        <v>19.75</v>
      </c>
      <c r="S50" s="11">
        <v>19.9375</v>
      </c>
      <c r="T50" s="11">
        <v>13</v>
      </c>
      <c r="U50" s="11">
        <v>14</v>
      </c>
      <c r="V50" s="11">
        <v>16</v>
      </c>
      <c r="W50" s="11">
        <v>15</v>
      </c>
      <c r="X50" s="11">
        <v>7</v>
      </c>
      <c r="Y50" s="11">
        <v>7</v>
      </c>
      <c r="Z50" s="3" t="s">
        <v>359</v>
      </c>
      <c r="AA50" s="10" t="s">
        <v>358</v>
      </c>
      <c r="AB50" s="5">
        <f>200+160+92+140+60+120+10+120+105+130+60+10+120+92+260+391.67+140+105+150+80</f>
        <v>2545.67</v>
      </c>
      <c r="AC50" s="6">
        <f>2+10+0+10+5+14+0.5+0+0+2+4.5+0.5+0+0+16+4.58+10+0+1.5+5</f>
        <v>85.58</v>
      </c>
      <c r="AD50" s="6">
        <f>0+7+0+3+3.5+2+0+0+0+0+0+0+0+0+10+1.25+6+0+0+3.5</f>
        <v>36.25</v>
      </c>
      <c r="AE50" s="6">
        <f>4+12+2+12+1+0+1+0+1+18+1.5+1+0+2+4+22.5+10+1+3+6</f>
        <v>102</v>
      </c>
      <c r="AF50" s="6">
        <f>42+2+24+0+2+0+3+34+27+9+3+3+34+24+54+69.17+0+27+32.5+1</f>
        <v>390.67</v>
      </c>
      <c r="AG50" s="6">
        <f>4+0+2+0+0+0+1+0+3+2+1.5+1+0+2+6+10.83+0+3+3+0</f>
        <v>39.33</v>
      </c>
      <c r="AH50" s="6">
        <f>40+380+0+140+15+0+0+0+1+320+270+0+0+0+2+800+340+2+30+190</f>
        <v>2530</v>
      </c>
      <c r="AI50" s="6">
        <f t="shared" si="1"/>
        <v>3.3617868773250265E-2</v>
      </c>
      <c r="AJ50" s="6">
        <f t="shared" si="2"/>
        <v>1.4239866125617224E-2</v>
      </c>
      <c r="AK50" s="6">
        <f t="shared" si="3"/>
        <v>4.0068037098288468E-2</v>
      </c>
      <c r="AL50" s="6">
        <f t="shared" si="4"/>
        <v>0.15346451032537603</v>
      </c>
      <c r="AM50" s="6">
        <f t="shared" si="5"/>
        <v>1.5449763716428287E-2</v>
      </c>
      <c r="AN50" s="6">
        <f t="shared" si="6"/>
        <v>0.99384444959480212</v>
      </c>
      <c r="AO50" s="7">
        <v>4</v>
      </c>
      <c r="AP50" s="7">
        <v>1</v>
      </c>
      <c r="AQ50" s="7">
        <v>0</v>
      </c>
      <c r="AR50" s="10" t="s">
        <v>357</v>
      </c>
      <c r="AS50" s="7">
        <v>0</v>
      </c>
      <c r="AT50" s="7">
        <v>0</v>
      </c>
      <c r="AU50" s="7">
        <v>0</v>
      </c>
      <c r="AV50" s="7">
        <v>0</v>
      </c>
      <c r="AW50" s="7">
        <v>30</v>
      </c>
      <c r="AX50" s="7">
        <v>1</v>
      </c>
      <c r="AY50" s="5">
        <v>6</v>
      </c>
      <c r="AZ50" s="7">
        <v>1</v>
      </c>
      <c r="BA50" s="7">
        <v>1</v>
      </c>
      <c r="BB50" s="7">
        <v>0</v>
      </c>
      <c r="BC50" s="7">
        <v>1</v>
      </c>
      <c r="BD50" s="7">
        <v>1</v>
      </c>
      <c r="BE50" s="7">
        <v>1</v>
      </c>
      <c r="BF50" s="3">
        <v>1</v>
      </c>
      <c r="BG50" s="3">
        <v>20</v>
      </c>
      <c r="BH50" s="3">
        <v>4</v>
      </c>
      <c r="BI50" s="3">
        <v>0</v>
      </c>
    </row>
    <row r="51" spans="1:61" ht="20.100000000000001" customHeight="1" x14ac:dyDescent="0.25">
      <c r="A51" s="3" t="s">
        <v>138</v>
      </c>
      <c r="B51" s="3">
        <v>14</v>
      </c>
      <c r="C51" s="8">
        <v>44260</v>
      </c>
      <c r="D51" s="9">
        <v>0.80555555555555547</v>
      </c>
      <c r="E51" s="4">
        <v>65</v>
      </c>
      <c r="F51" s="3">
        <v>0</v>
      </c>
      <c r="G51" s="3">
        <v>0</v>
      </c>
      <c r="H51" s="3">
        <v>0</v>
      </c>
      <c r="I51" s="3">
        <v>0</v>
      </c>
      <c r="J51" s="9">
        <v>0.73263888888888884</v>
      </c>
      <c r="K51" s="3">
        <v>141.4</v>
      </c>
      <c r="L51" s="11">
        <f t="shared" ref="L51" si="60">K51-K50</f>
        <v>3.5999999999999943</v>
      </c>
      <c r="M51" s="5">
        <f t="shared" ref="M51" si="61">AB50</f>
        <v>2545.67</v>
      </c>
      <c r="N51" s="11">
        <v>31</v>
      </c>
      <c r="O51" s="11">
        <v>32.5</v>
      </c>
      <c r="P51" s="11">
        <v>10.875</v>
      </c>
      <c r="Q51" s="11">
        <v>10.75</v>
      </c>
      <c r="R51" s="11">
        <v>20.25</v>
      </c>
      <c r="S51" s="11">
        <v>20.25</v>
      </c>
      <c r="T51" s="11">
        <v>12</v>
      </c>
      <c r="U51" s="11">
        <v>11</v>
      </c>
      <c r="V51" s="11">
        <v>16</v>
      </c>
      <c r="W51" s="11">
        <v>15</v>
      </c>
      <c r="X51" s="11">
        <v>7</v>
      </c>
      <c r="Y51" s="11">
        <v>7</v>
      </c>
      <c r="Z51" s="3" t="s">
        <v>364</v>
      </c>
      <c r="AA51" s="10" t="s">
        <v>363</v>
      </c>
      <c r="AB51" s="5">
        <f>1118+80+210+20+60+81+92+130+130+30+200</f>
        <v>2151</v>
      </c>
      <c r="AC51" s="6">
        <f>34.5+5+0+1+0+0+0+8+2+2.5+20</f>
        <v>73</v>
      </c>
      <c r="AD51" s="6">
        <f>9+3.5+0+0+0+0+0+5+0+0+2</f>
        <v>19.5</v>
      </c>
      <c r="AE51" s="6">
        <f>71.33+1+54+6+17+21+24+28+9+1+4</f>
        <v>236.32999999999998</v>
      </c>
      <c r="AF51" s="6">
        <f>140.33+0+6+2+0+4+2+3+2+0+2</f>
        <v>161.33000000000001</v>
      </c>
      <c r="AG51" s="6">
        <f>26.67+190+2+0+0+2+0+1+320+115+0</f>
        <v>656.67000000000007</v>
      </c>
      <c r="AH51" s="6">
        <f>1274+190+2+0+0+2+0+1+320+115+0</f>
        <v>1904</v>
      </c>
      <c r="AI51" s="6">
        <f t="shared" si="1"/>
        <v>3.3937703393770342E-2</v>
      </c>
      <c r="AJ51" s="6">
        <f t="shared" si="2"/>
        <v>9.06555090655509E-3</v>
      </c>
      <c r="AK51" s="6">
        <f t="shared" si="3"/>
        <v>0.10986982798698279</v>
      </c>
      <c r="AL51" s="6">
        <f t="shared" si="4"/>
        <v>7.5002324500232462E-2</v>
      </c>
      <c r="AM51" s="6">
        <f t="shared" si="5"/>
        <v>0.30528591352859141</v>
      </c>
      <c r="AN51" s="6">
        <f t="shared" si="6"/>
        <v>0.88516968851696887</v>
      </c>
      <c r="AO51" s="7">
        <v>4</v>
      </c>
      <c r="AP51" s="7">
        <v>1</v>
      </c>
      <c r="AQ51" s="7">
        <v>0</v>
      </c>
      <c r="AR51" s="10">
        <v>0</v>
      </c>
      <c r="AS51" s="7">
        <v>0</v>
      </c>
      <c r="AT51" s="7">
        <v>0</v>
      </c>
      <c r="AU51" s="7">
        <v>0</v>
      </c>
      <c r="AV51" s="7">
        <v>0</v>
      </c>
      <c r="AW51" s="7">
        <v>30</v>
      </c>
      <c r="AX51" s="7">
        <v>1</v>
      </c>
      <c r="AY51" s="5">
        <v>7</v>
      </c>
      <c r="AZ51" s="7">
        <v>1</v>
      </c>
      <c r="BA51" s="7">
        <v>1</v>
      </c>
      <c r="BB51" s="7">
        <v>0</v>
      </c>
      <c r="BC51" s="7">
        <v>1</v>
      </c>
      <c r="BD51" s="7">
        <v>1</v>
      </c>
      <c r="BE51" s="7">
        <v>1</v>
      </c>
      <c r="BF51" s="3">
        <v>0</v>
      </c>
      <c r="BG51" s="3">
        <v>0</v>
      </c>
      <c r="BH51" s="3">
        <v>4</v>
      </c>
      <c r="BI51" s="3">
        <v>0</v>
      </c>
    </row>
    <row r="52" spans="1:61" ht="20.100000000000001" customHeight="1" x14ac:dyDescent="0.25">
      <c r="A52" s="3" t="s">
        <v>19</v>
      </c>
      <c r="B52" s="3">
        <v>15</v>
      </c>
      <c r="C52" s="8">
        <v>44261</v>
      </c>
      <c r="D52" s="9">
        <v>0.25</v>
      </c>
      <c r="E52" s="4">
        <v>46</v>
      </c>
      <c r="F52" s="3">
        <v>0</v>
      </c>
      <c r="G52" s="3">
        <v>0</v>
      </c>
      <c r="H52" s="3">
        <v>0</v>
      </c>
      <c r="I52" s="3">
        <v>0</v>
      </c>
      <c r="J52" s="9">
        <v>0.25694444444444448</v>
      </c>
      <c r="K52" s="3">
        <v>138</v>
      </c>
      <c r="L52" s="11">
        <f t="shared" ref="L52" si="62">K52-K51</f>
        <v>-3.4000000000000057</v>
      </c>
      <c r="M52" s="5">
        <f t="shared" ref="M52" si="63">AB51</f>
        <v>2151</v>
      </c>
      <c r="N52" s="11">
        <v>31</v>
      </c>
      <c r="O52" s="11">
        <v>32.25</v>
      </c>
      <c r="P52" s="11">
        <v>10.75</v>
      </c>
      <c r="Q52" s="11">
        <v>10.75</v>
      </c>
      <c r="R52" s="11">
        <v>19.75</v>
      </c>
      <c r="S52" s="11">
        <v>19.75</v>
      </c>
      <c r="T52" s="11">
        <v>12</v>
      </c>
      <c r="U52" s="11">
        <v>11</v>
      </c>
      <c r="V52" s="11">
        <v>17</v>
      </c>
      <c r="W52" s="11">
        <v>14</v>
      </c>
      <c r="X52" s="11">
        <v>7</v>
      </c>
      <c r="Y52" s="11">
        <v>7</v>
      </c>
      <c r="Z52" s="3" t="s">
        <v>367</v>
      </c>
      <c r="AA52" s="10" t="s">
        <v>366</v>
      </c>
      <c r="AB52" s="5">
        <f>130+105+10+200+30+559+70+81+92+559+140+260+130+200+300+322+260+615</f>
        <v>4063</v>
      </c>
      <c r="AC52" s="6">
        <f>2+0+0.5+20+2.5+17.25+5+0+0+17.25+10+9+2+20+2.5+29+9+0</f>
        <v>146</v>
      </c>
      <c r="AD52" s="6">
        <f>0+0+0+2+0+4.5+3+0+0+4.5+6+5+0+2+0+4+5+0</f>
        <v>36</v>
      </c>
      <c r="AE52" s="6">
        <f>18+1+1+5+1+35.67+5+2+2+35.67+10+2+18+5+1+4+2+0</f>
        <v>148.34</v>
      </c>
      <c r="AF52" s="6">
        <f>9+27+3+4+1+70.17+0+21+24+70.17+0+44+9+4+1+17+44+20</f>
        <v>368.34000000000003</v>
      </c>
      <c r="AG52" s="6">
        <f>2+3+1+2+0+13.33+0+4+2+13.33+0+0+2+2+0+18+0+0</f>
        <v>62.66</v>
      </c>
      <c r="AH52" s="6">
        <f>320+1+0+0+115+637+170+2+0+637+340+140+320+0+115+14+140+30</f>
        <v>2981</v>
      </c>
      <c r="AI52" s="6">
        <f t="shared" si="1"/>
        <v>3.5934038887521537E-2</v>
      </c>
      <c r="AJ52" s="6">
        <f t="shared" si="2"/>
        <v>8.8604479448683247E-3</v>
      </c>
      <c r="AK52" s="6">
        <f t="shared" si="3"/>
        <v>3.6509968003937979E-2</v>
      </c>
      <c r="AL52" s="6">
        <f t="shared" si="4"/>
        <v>9.0657149889244407E-2</v>
      </c>
      <c r="AM52" s="6">
        <f t="shared" si="5"/>
        <v>1.5422101895151365E-2</v>
      </c>
      <c r="AN52" s="6">
        <f t="shared" si="6"/>
        <v>0.73369431454590206</v>
      </c>
      <c r="AO52" s="7">
        <v>4</v>
      </c>
      <c r="AP52" s="7">
        <v>2</v>
      </c>
      <c r="AQ52" s="7">
        <v>0</v>
      </c>
      <c r="AR52" s="10">
        <v>0</v>
      </c>
      <c r="AS52" s="7">
        <v>0</v>
      </c>
      <c r="AT52" s="7">
        <v>0</v>
      </c>
      <c r="AU52" s="7">
        <v>0</v>
      </c>
      <c r="AV52" s="7">
        <v>0</v>
      </c>
      <c r="AW52" s="7">
        <v>30</v>
      </c>
      <c r="AX52" s="7">
        <v>1</v>
      </c>
      <c r="AY52" s="5">
        <v>7</v>
      </c>
      <c r="AZ52" s="7">
        <v>1</v>
      </c>
      <c r="BA52" s="7">
        <v>0</v>
      </c>
      <c r="BB52" s="7">
        <v>0</v>
      </c>
      <c r="BC52" s="7">
        <v>1</v>
      </c>
      <c r="BD52" s="7">
        <v>1</v>
      </c>
      <c r="BE52" s="7">
        <v>2</v>
      </c>
      <c r="BF52" s="3">
        <v>0</v>
      </c>
      <c r="BG52" s="3">
        <v>0</v>
      </c>
      <c r="BH52" s="3">
        <v>2</v>
      </c>
      <c r="BI52" s="3">
        <v>0</v>
      </c>
    </row>
    <row r="53" spans="1:61" ht="20.100000000000001" customHeight="1" x14ac:dyDescent="0.25">
      <c r="A53" s="3" t="s">
        <v>23</v>
      </c>
      <c r="B53" s="3">
        <v>16</v>
      </c>
      <c r="C53" s="8">
        <v>44262</v>
      </c>
      <c r="D53" s="9">
        <v>0.65972222222222221</v>
      </c>
      <c r="E53" s="4">
        <v>63</v>
      </c>
      <c r="F53" s="3">
        <v>0</v>
      </c>
      <c r="G53" s="3">
        <v>0</v>
      </c>
      <c r="H53" s="3">
        <v>0</v>
      </c>
      <c r="I53" s="3">
        <v>0</v>
      </c>
      <c r="J53" s="9">
        <v>0.32291666666666669</v>
      </c>
      <c r="K53" s="3">
        <v>141</v>
      </c>
      <c r="L53" s="11">
        <f t="shared" ref="L53" si="64">K53-K52</f>
        <v>3</v>
      </c>
      <c r="M53" s="5">
        <f t="shared" ref="M53" si="65">AB52</f>
        <v>4063</v>
      </c>
      <c r="N53" s="11">
        <v>31.5</v>
      </c>
      <c r="O53" s="11">
        <v>32.5</v>
      </c>
      <c r="P53" s="11">
        <v>10.75</v>
      </c>
      <c r="Q53" s="11">
        <v>10.75</v>
      </c>
      <c r="R53" s="11">
        <v>19.75</v>
      </c>
      <c r="S53" s="11">
        <v>19.75</v>
      </c>
      <c r="T53" s="11">
        <v>12</v>
      </c>
      <c r="U53" s="11">
        <v>11</v>
      </c>
      <c r="V53" s="11">
        <v>16</v>
      </c>
      <c r="W53" s="11">
        <v>13</v>
      </c>
      <c r="X53" s="11">
        <v>7</v>
      </c>
      <c r="Y53" s="11">
        <v>7</v>
      </c>
      <c r="Z53" s="3" t="s">
        <v>369</v>
      </c>
      <c r="AA53" s="10" t="s">
        <v>370</v>
      </c>
      <c r="AB53" s="5">
        <f>559+106.7+162+92+65+52.5+130+20+190+559+106.7+322+140+120+106.7+200</f>
        <v>2931.6</v>
      </c>
      <c r="AC53" s="6">
        <f>17.25+6.7+0+0+2.25+0+2+1+18+17.25+6.7+29+10+14+6.7+2</f>
        <v>132.85</v>
      </c>
      <c r="AD53" s="6">
        <f>4.5+4.7+0+0+1.25+0+0+0+1.5+4.5+4.7+4+3+2+4.7+0</f>
        <v>34.85</v>
      </c>
      <c r="AE53" s="6">
        <f>35.67+8+4+2+0.5+0.5+18+2+4+35.67+8+4+12+0+8+4</f>
        <v>146.34</v>
      </c>
      <c r="AF53" s="6">
        <f>70.17+1.3+42+24+11+13.5+9+6+4+70.17+1.3+17+0+0+1.3+42</f>
        <v>312.74</v>
      </c>
      <c r="AG53" s="6">
        <f>13.33+0+8+2+0+1.5+2+2+2+13.33+0+18+0+0+0+4</f>
        <v>66.16</v>
      </c>
      <c r="AH53" s="6">
        <f>637+253.3+4+0+35+0.5+320+0+0+637+253.3+14+140+0+253.3+40</f>
        <v>2587.4</v>
      </c>
      <c r="AI53" s="6">
        <f t="shared" si="1"/>
        <v>4.5316550689043528E-2</v>
      </c>
      <c r="AJ53" s="6">
        <f t="shared" si="2"/>
        <v>1.1887706371947061E-2</v>
      </c>
      <c r="AK53" s="6">
        <f t="shared" si="3"/>
        <v>4.9918133442488744E-2</v>
      </c>
      <c r="AL53" s="6">
        <f t="shared" si="4"/>
        <v>0.10667894665029336</v>
      </c>
      <c r="AM53" s="6">
        <f t="shared" si="5"/>
        <v>2.2567881020603083E-2</v>
      </c>
      <c r="AN53" s="6">
        <f t="shared" si="6"/>
        <v>0.88258971210260617</v>
      </c>
      <c r="AO53" s="7">
        <v>3</v>
      </c>
      <c r="AP53" s="7">
        <v>1</v>
      </c>
      <c r="AQ53" s="7">
        <v>0</v>
      </c>
      <c r="AR53" s="10">
        <v>0</v>
      </c>
      <c r="AS53" s="7">
        <v>0</v>
      </c>
      <c r="AT53" s="7">
        <v>0</v>
      </c>
      <c r="AU53" s="7">
        <v>0</v>
      </c>
      <c r="AV53" s="7">
        <v>0</v>
      </c>
      <c r="AW53" s="7">
        <v>30</v>
      </c>
      <c r="AX53" s="7">
        <v>1</v>
      </c>
      <c r="AY53" s="5">
        <v>2.5</v>
      </c>
      <c r="AZ53" s="7">
        <v>1</v>
      </c>
      <c r="BA53" s="7">
        <v>1</v>
      </c>
      <c r="BB53" s="7">
        <v>0</v>
      </c>
      <c r="BC53" s="7">
        <v>1</v>
      </c>
      <c r="BD53" s="7">
        <v>1</v>
      </c>
      <c r="BE53" s="7">
        <v>1</v>
      </c>
      <c r="BF53" s="3">
        <v>0</v>
      </c>
      <c r="BG53" s="3">
        <v>0</v>
      </c>
      <c r="BH53" s="3">
        <v>2</v>
      </c>
      <c r="BI53" s="3">
        <v>0</v>
      </c>
    </row>
    <row r="54" spans="1:61" ht="20.100000000000001" customHeight="1" x14ac:dyDescent="0.25">
      <c r="A54" s="3" t="s">
        <v>15</v>
      </c>
      <c r="B54" s="3">
        <v>17</v>
      </c>
      <c r="C54" s="8">
        <v>44263</v>
      </c>
      <c r="D54" s="9">
        <v>0.50694444444444442</v>
      </c>
      <c r="E54" s="4">
        <v>62</v>
      </c>
      <c r="F54" s="3">
        <v>0</v>
      </c>
      <c r="G54" s="3">
        <v>0</v>
      </c>
      <c r="H54" s="3">
        <v>0</v>
      </c>
      <c r="I54" s="3">
        <v>1</v>
      </c>
      <c r="J54" s="9">
        <v>0.20833333333333334</v>
      </c>
      <c r="K54" s="3">
        <v>141</v>
      </c>
      <c r="L54" s="11">
        <f t="shared" ref="L54" si="66">K54-K53</f>
        <v>0</v>
      </c>
      <c r="M54" s="5">
        <f t="shared" ref="M54" si="67">AB53</f>
        <v>2931.6</v>
      </c>
      <c r="N54" s="11">
        <v>31.75</v>
      </c>
      <c r="O54" s="11">
        <v>32.5</v>
      </c>
      <c r="P54" s="11">
        <v>10.75</v>
      </c>
      <c r="Q54" s="11">
        <v>10.875</v>
      </c>
      <c r="R54" s="11">
        <v>20.25</v>
      </c>
      <c r="S54" s="11">
        <v>20.25</v>
      </c>
      <c r="T54" s="11">
        <v>12</v>
      </c>
      <c r="U54" s="11">
        <v>12</v>
      </c>
      <c r="V54" s="11">
        <v>16</v>
      </c>
      <c r="W54" s="11">
        <v>15</v>
      </c>
      <c r="X54" s="11">
        <v>6</v>
      </c>
      <c r="Y54" s="11">
        <v>7</v>
      </c>
      <c r="Z54" s="3" t="s">
        <v>392</v>
      </c>
      <c r="AA54" s="10" t="s">
        <v>379</v>
      </c>
      <c r="AB54" s="5">
        <f>241.5+140+120+106.7+200+60+130+105+62+20+164+30+92+1562+92</f>
        <v>3125.2</v>
      </c>
      <c r="AC54" s="6">
        <f>21.75+10+14+6.7+2+5+2+0+0.1+1+13.5+2.5+0+46.5+0</f>
        <v>125.05000000000001</v>
      </c>
      <c r="AD54" s="6">
        <f>3+3+2+4.7+0+3.5+0+0+0+0+2.5+0+0+4+0</f>
        <v>22.7</v>
      </c>
      <c r="AE54" s="6">
        <f>3+12+0+8+4+1+18+1+0.3+2+4.7+1+2+91.5+2</f>
        <v>150.5</v>
      </c>
      <c r="AF54" s="6">
        <f>12.75+0+0+1.3+42+2+9+27+14.9+6+8.4+1+24+202+24</f>
        <v>374.35</v>
      </c>
      <c r="AG54" s="6">
        <f>13.5+0+0+0+4+0+2+3+2.5+2+0.9+0+2+74.5+2</f>
        <v>106.4</v>
      </c>
      <c r="AH54" s="6">
        <f>10.5+140+0+253.3+40+15+320+1+0+0+4+115+0+3955+0</f>
        <v>4853.8</v>
      </c>
      <c r="AI54" s="6">
        <f t="shared" si="1"/>
        <v>4.0013439139895052E-2</v>
      </c>
      <c r="AJ54" s="6">
        <f t="shared" si="2"/>
        <v>7.2635351337514403E-3</v>
      </c>
      <c r="AK54" s="6">
        <f t="shared" si="3"/>
        <v>4.8156917957250737E-2</v>
      </c>
      <c r="AL54" s="6">
        <f t="shared" si="4"/>
        <v>0.11978433380263664</v>
      </c>
      <c r="AM54" s="6">
        <f t="shared" si="5"/>
        <v>3.4045821067451687E-2</v>
      </c>
      <c r="AN54" s="6">
        <f t="shared" si="6"/>
        <v>1.5531166005375658</v>
      </c>
      <c r="AO54" s="7">
        <v>3</v>
      </c>
      <c r="AP54" s="7">
        <v>7</v>
      </c>
      <c r="AQ54" s="7">
        <v>0</v>
      </c>
      <c r="AR54" s="10" t="s">
        <v>381</v>
      </c>
      <c r="AS54" s="7">
        <v>0</v>
      </c>
      <c r="AT54" s="7" t="s">
        <v>380</v>
      </c>
      <c r="AU54" s="7">
        <v>0</v>
      </c>
      <c r="AV54" s="7">
        <v>10</v>
      </c>
      <c r="AW54" s="7">
        <v>30</v>
      </c>
      <c r="AX54" s="7">
        <v>1</v>
      </c>
      <c r="AY54" s="5">
        <v>8.5</v>
      </c>
      <c r="AZ54" s="7">
        <v>1</v>
      </c>
      <c r="BA54" s="7">
        <v>1</v>
      </c>
      <c r="BB54" s="7">
        <v>1</v>
      </c>
      <c r="BC54" s="7">
        <v>1</v>
      </c>
      <c r="BD54" s="7">
        <v>1</v>
      </c>
      <c r="BE54" s="7">
        <v>1</v>
      </c>
      <c r="BF54" s="3">
        <v>2</v>
      </c>
      <c r="BG54" s="3">
        <f>25+20</f>
        <v>45</v>
      </c>
      <c r="BH54" s="3">
        <v>2</v>
      </c>
      <c r="BI54" s="3">
        <v>1</v>
      </c>
    </row>
    <row r="55" spans="1:61" ht="20.100000000000001" customHeight="1" x14ac:dyDescent="0.25">
      <c r="A55" s="3" t="s">
        <v>16</v>
      </c>
      <c r="B55" s="3">
        <v>18</v>
      </c>
      <c r="C55" s="8">
        <v>44264</v>
      </c>
      <c r="D55" s="9">
        <v>0.3125</v>
      </c>
      <c r="E55" s="4">
        <v>44</v>
      </c>
      <c r="F55" s="3">
        <v>0</v>
      </c>
      <c r="G55" s="3">
        <v>0</v>
      </c>
      <c r="H55" s="3">
        <v>0</v>
      </c>
      <c r="I55" s="3">
        <v>0</v>
      </c>
      <c r="J55" s="9">
        <v>0.3125</v>
      </c>
      <c r="K55" s="3">
        <v>139.19999999999999</v>
      </c>
      <c r="L55" s="11">
        <f t="shared" ref="L55" si="68">K55-K54</f>
        <v>-1.8000000000000114</v>
      </c>
      <c r="M55" s="5">
        <f t="shared" ref="M55" si="69">AB54</f>
        <v>3125.2</v>
      </c>
      <c r="N55" s="11">
        <v>31.25</v>
      </c>
      <c r="O55" s="11">
        <v>32.75</v>
      </c>
      <c r="P55" s="11">
        <v>10.75</v>
      </c>
      <c r="Q55" s="11">
        <v>10.75</v>
      </c>
      <c r="R55" s="11">
        <v>19.75</v>
      </c>
      <c r="S55" s="11">
        <v>19.75</v>
      </c>
      <c r="T55" s="11">
        <v>13</v>
      </c>
      <c r="U55" s="11">
        <v>14</v>
      </c>
      <c r="V55" s="11">
        <v>16</v>
      </c>
      <c r="W55" s="11">
        <v>17</v>
      </c>
      <c r="X55" s="11">
        <v>7</v>
      </c>
      <c r="Y55" s="11">
        <v>8</v>
      </c>
      <c r="Z55" s="3" t="s">
        <v>395</v>
      </c>
      <c r="AA55" s="10" t="s">
        <v>394</v>
      </c>
      <c r="AB55" s="5">
        <f>280+60+120+322+800+240+130+105+20+30+164+92</f>
        <v>2363</v>
      </c>
      <c r="AC55" s="6">
        <f>20+5+14+29+8+15+2+0+1+2.5+13.5+0</f>
        <v>110</v>
      </c>
      <c r="AD55" s="6">
        <f>6+3.5+2+4+0+10.5+0+0+0+0+2.5+0</f>
        <v>28.5</v>
      </c>
      <c r="AE55" s="6">
        <f>24+1+0+4+16+18+18+1+2+1+4.7+2</f>
        <v>91.7</v>
      </c>
      <c r="AF55" s="6">
        <f>0+2+0+17+160+3+9+27+6+1+8.4+24</f>
        <v>257.39999999999998</v>
      </c>
      <c r="AG55" s="6">
        <f>0+0+0+18+16+0+2+3+2+0+0.9+2</f>
        <v>43.9</v>
      </c>
      <c r="AH55" s="6">
        <f>280+15+0+14+160+570+320+1+0+115+4+0</f>
        <v>1479</v>
      </c>
      <c r="AI55" s="6">
        <f t="shared" si="1"/>
        <v>4.6550994498518829E-2</v>
      </c>
      <c r="AJ55" s="6">
        <f t="shared" si="2"/>
        <v>1.2060939483707152E-2</v>
      </c>
      <c r="AK55" s="6">
        <f t="shared" si="3"/>
        <v>3.8806601777401611E-2</v>
      </c>
      <c r="AL55" s="6">
        <f t="shared" si="4"/>
        <v>0.10892932712653405</v>
      </c>
      <c r="AM55" s="6">
        <f t="shared" si="5"/>
        <v>1.8578078713499788E-2</v>
      </c>
      <c r="AN55" s="6">
        <f t="shared" si="6"/>
        <v>0.62589928057553956</v>
      </c>
      <c r="AO55" s="7">
        <v>4</v>
      </c>
      <c r="AP55" s="7">
        <v>2</v>
      </c>
      <c r="AQ55" s="7">
        <v>0</v>
      </c>
      <c r="AR55" s="10">
        <v>0</v>
      </c>
      <c r="AS55" s="7">
        <v>0</v>
      </c>
      <c r="AT55" s="7">
        <v>0</v>
      </c>
      <c r="AU55" s="7">
        <v>0</v>
      </c>
      <c r="AV55" s="7">
        <v>0</v>
      </c>
      <c r="AW55" s="7">
        <v>0</v>
      </c>
      <c r="AX55" s="7">
        <v>1</v>
      </c>
      <c r="AY55" s="5">
        <v>6.5</v>
      </c>
      <c r="AZ55" s="7">
        <v>1</v>
      </c>
      <c r="BA55" s="7">
        <v>1</v>
      </c>
      <c r="BB55" s="7">
        <v>1</v>
      </c>
      <c r="BC55" s="7">
        <v>1</v>
      </c>
      <c r="BD55" s="7">
        <v>1</v>
      </c>
      <c r="BE55" s="7">
        <v>1</v>
      </c>
      <c r="BF55" s="7">
        <v>0</v>
      </c>
      <c r="BG55" s="7">
        <v>0</v>
      </c>
      <c r="BH55" s="7">
        <v>2</v>
      </c>
      <c r="BI55" s="7">
        <v>0</v>
      </c>
    </row>
    <row r="56" spans="1:61" ht="20.100000000000001" customHeight="1" x14ac:dyDescent="0.25">
      <c r="A56" s="3" t="s">
        <v>17</v>
      </c>
      <c r="B56" s="3">
        <v>19</v>
      </c>
      <c r="C56" s="8">
        <v>44265</v>
      </c>
      <c r="D56" s="9">
        <v>0.27777777777777779</v>
      </c>
      <c r="E56" s="4">
        <v>45</v>
      </c>
      <c r="F56" s="3">
        <v>0</v>
      </c>
      <c r="G56" s="3">
        <v>0</v>
      </c>
      <c r="H56" s="3">
        <v>0</v>
      </c>
      <c r="I56" s="3">
        <v>0</v>
      </c>
      <c r="J56" s="9">
        <v>0.28125</v>
      </c>
      <c r="K56" s="3">
        <v>139.19999999999999</v>
      </c>
      <c r="L56" s="11">
        <f t="shared" ref="L56" si="70">K56-K55</f>
        <v>0</v>
      </c>
      <c r="M56" s="5">
        <f t="shared" ref="M56" si="71">AB55</f>
        <v>2363</v>
      </c>
      <c r="N56" s="11">
        <v>32</v>
      </c>
      <c r="O56" s="11">
        <v>32.75</v>
      </c>
      <c r="P56" s="11">
        <v>10.75</v>
      </c>
      <c r="Q56" s="11">
        <v>10.75</v>
      </c>
      <c r="R56" s="11">
        <v>19.5</v>
      </c>
      <c r="S56" s="11">
        <v>19.75</v>
      </c>
      <c r="T56" s="11">
        <v>12</v>
      </c>
      <c r="U56" s="11">
        <v>13</v>
      </c>
      <c r="V56" s="11">
        <v>15</v>
      </c>
      <c r="W56" s="11">
        <v>15</v>
      </c>
      <c r="X56" s="11">
        <v>7</v>
      </c>
      <c r="Y56" s="11">
        <v>7</v>
      </c>
      <c r="Z56" s="3" t="s">
        <v>396</v>
      </c>
      <c r="AA56" s="10" t="s">
        <v>397</v>
      </c>
      <c r="AB56" s="5">
        <f>130+105+20+15+164+60+92+400+300+135+290+135+300</f>
        <v>2146</v>
      </c>
      <c r="AC56" s="6">
        <f>2+0+1+1.25+13.5+0.5+0+36+14+6+12+6+14</f>
        <v>106.25</v>
      </c>
      <c r="AD56" s="6">
        <f>0+0+0+0+2.5+0+0+4+2+1.3+6+1.3+2</f>
        <v>19.100000000000001</v>
      </c>
      <c r="AE56" s="6">
        <f>18+1+2+0.5+4.7+2+2+16+4+1.5+7+1.5+4</f>
        <v>64.2</v>
      </c>
      <c r="AF56" s="6">
        <f>9+27+6+0.5+8.4+11+24+16+36+18+39+18+36</f>
        <v>248.9</v>
      </c>
      <c r="AG56" s="6">
        <f>2+3+2+0+0.9+7+2+8+2+0+3+0+2</f>
        <v>31.9</v>
      </c>
      <c r="AH56" s="6">
        <f>320+1+0+57.5+4+0+0+1840+260+155+1150+155+260</f>
        <v>4202.5</v>
      </c>
      <c r="AI56" s="6">
        <f t="shared" si="1"/>
        <v>4.9510717614165888E-2</v>
      </c>
      <c r="AJ56" s="6">
        <f t="shared" si="2"/>
        <v>8.900279589934763E-3</v>
      </c>
      <c r="AK56" s="6">
        <f t="shared" si="3"/>
        <v>2.9916123019571295E-2</v>
      </c>
      <c r="AL56" s="6">
        <f t="shared" si="4"/>
        <v>0.11598322460391426</v>
      </c>
      <c r="AM56" s="6">
        <f t="shared" si="5"/>
        <v>1.4864864864864864E-2</v>
      </c>
      <c r="AN56" s="6">
        <f t="shared" si="6"/>
        <v>1.9582945013979496</v>
      </c>
      <c r="AO56" s="7">
        <v>3</v>
      </c>
      <c r="AP56" s="7">
        <v>1</v>
      </c>
      <c r="AQ56" s="7">
        <v>0</v>
      </c>
      <c r="AR56" s="10">
        <v>0</v>
      </c>
      <c r="AS56" s="7">
        <v>0</v>
      </c>
      <c r="AT56" s="7">
        <v>0</v>
      </c>
      <c r="AU56" s="7">
        <v>0</v>
      </c>
      <c r="AV56" s="7">
        <v>0</v>
      </c>
      <c r="AW56" s="7">
        <v>31</v>
      </c>
      <c r="AX56" s="7">
        <v>1</v>
      </c>
      <c r="AY56" s="5">
        <v>8</v>
      </c>
      <c r="AZ56" s="7">
        <v>0</v>
      </c>
      <c r="BA56" s="7">
        <v>1</v>
      </c>
      <c r="BB56" s="7">
        <v>0</v>
      </c>
      <c r="BC56" s="7">
        <v>1</v>
      </c>
      <c r="BD56" s="7">
        <v>1</v>
      </c>
      <c r="BE56" s="7">
        <v>1</v>
      </c>
      <c r="BF56" s="7">
        <v>0</v>
      </c>
      <c r="BG56" s="7">
        <v>0</v>
      </c>
      <c r="BH56" s="7">
        <v>2</v>
      </c>
      <c r="BI56" s="7">
        <v>0</v>
      </c>
    </row>
    <row r="57" spans="1:61" ht="20.100000000000001" customHeight="1" x14ac:dyDescent="0.25">
      <c r="A57" s="3" t="s">
        <v>18</v>
      </c>
      <c r="B57" s="3">
        <v>20</v>
      </c>
      <c r="C57" s="8">
        <v>44266</v>
      </c>
      <c r="D57" s="9">
        <v>0.30555555555555552</v>
      </c>
      <c r="E57" s="4">
        <v>43</v>
      </c>
      <c r="F57" s="3">
        <v>0</v>
      </c>
      <c r="G57" s="3">
        <v>0</v>
      </c>
      <c r="H57" s="3">
        <v>0</v>
      </c>
      <c r="I57" s="3">
        <v>0</v>
      </c>
      <c r="J57" s="9">
        <v>0.30694444444444441</v>
      </c>
      <c r="K57" s="3">
        <v>139.19999999999999</v>
      </c>
      <c r="L57" s="11">
        <f t="shared" ref="L57" si="72">K57-K56</f>
        <v>0</v>
      </c>
      <c r="M57" s="5">
        <f t="shared" ref="M57" si="73">AB56</f>
        <v>2146</v>
      </c>
      <c r="N57" s="11">
        <v>32</v>
      </c>
      <c r="O57" s="11">
        <v>32.75</v>
      </c>
      <c r="P57" s="11">
        <v>10.75</v>
      </c>
      <c r="Q57" s="11">
        <v>10.75</v>
      </c>
      <c r="R57" s="11">
        <v>19.75</v>
      </c>
      <c r="S57" s="11">
        <v>19.75</v>
      </c>
      <c r="T57" s="11">
        <v>12</v>
      </c>
      <c r="U57" s="11">
        <v>11</v>
      </c>
      <c r="V57" s="11">
        <v>15</v>
      </c>
      <c r="W57" s="11">
        <v>16</v>
      </c>
      <c r="X57" s="11">
        <v>7</v>
      </c>
      <c r="Y57" s="11">
        <v>7</v>
      </c>
      <c r="Z57" s="3" t="s">
        <v>406</v>
      </c>
      <c r="AA57" s="10" t="s">
        <v>405</v>
      </c>
      <c r="AB57" s="5">
        <f>210+60+240+13.3+160+267+270+150+60+80+130+105+20+60+200+7.5+266.67+80+614+100+300+30</f>
        <v>3423.47</v>
      </c>
      <c r="AC57" s="6">
        <f>15+5+28+0+10+2.67+12+7+5+5+2+0+1+0+20+0.625+2.67+5+24.8+6+14+25</f>
        <v>190.76500000000001</v>
      </c>
      <c r="AD57" s="6">
        <f>4.5+3.5+4+0+7+0+2.6+1+3.5+3.5+0+0+0+0+2+0+0+3.5+6.1+4+2+17.5</f>
        <v>64.7</v>
      </c>
      <c r="AE57" s="6">
        <f>18+1+0+0.3+12+5.33+3+2+1+6+18+1+2+0+5+0.25+5.33+6+26.1+8+4+5</f>
        <v>129.31</v>
      </c>
      <c r="AF57" s="6">
        <f>0+2+0+3.3+2+53.33+36+18+2+1+9+27+6+17+4+0.25+53.33+1+72.9+2+36+10</f>
        <v>356.11</v>
      </c>
      <c r="AG57" s="6">
        <f>0+0+0+1+0+5.33+0+1+0+0+2+3+2+0+2+0+5.33+0+5.5+0+2+0</f>
        <v>29.159999999999997</v>
      </c>
      <c r="AH57" s="6">
        <f>210+15+0+0+380+53.33+310+130+15+190+320+1+0+0+0+28.75+53.33+190+798+280+260+75</f>
        <v>3309.41</v>
      </c>
      <c r="AI57" s="6">
        <f t="shared" si="1"/>
        <v>5.5722702404285715E-2</v>
      </c>
      <c r="AJ57" s="6">
        <f t="shared" si="2"/>
        <v>1.8898953401081362E-2</v>
      </c>
      <c r="AK57" s="6">
        <f t="shared" si="3"/>
        <v>3.7771617686148853E-2</v>
      </c>
      <c r="AL57" s="6">
        <f t="shared" si="4"/>
        <v>0.10402019004109866</v>
      </c>
      <c r="AM57" s="6">
        <f t="shared" si="5"/>
        <v>8.5176735884935455E-3</v>
      </c>
      <c r="AN57" s="6">
        <f t="shared" si="6"/>
        <v>0.96668292697175673</v>
      </c>
      <c r="AO57" s="7">
        <v>4</v>
      </c>
      <c r="AP57" s="7">
        <v>1</v>
      </c>
      <c r="AQ57" s="7">
        <v>0</v>
      </c>
      <c r="AR57" s="10">
        <v>0</v>
      </c>
      <c r="AS57" s="7">
        <v>0</v>
      </c>
      <c r="AT57" s="7">
        <v>0</v>
      </c>
      <c r="AU57" s="7">
        <v>0</v>
      </c>
      <c r="AV57" s="7">
        <v>0</v>
      </c>
      <c r="AW57" s="7">
        <v>30</v>
      </c>
      <c r="AX57" s="7">
        <v>1</v>
      </c>
      <c r="AY57" s="5">
        <v>6</v>
      </c>
      <c r="AZ57" s="7">
        <v>0</v>
      </c>
      <c r="BA57" s="7">
        <v>1</v>
      </c>
      <c r="BB57" s="7">
        <v>0</v>
      </c>
      <c r="BC57" s="7">
        <v>1</v>
      </c>
      <c r="BD57" s="7">
        <v>1</v>
      </c>
      <c r="BE57" s="7">
        <v>1</v>
      </c>
      <c r="BF57" s="7">
        <v>0</v>
      </c>
      <c r="BG57" s="7">
        <v>0</v>
      </c>
      <c r="BH57" s="7">
        <v>2</v>
      </c>
      <c r="BI57" s="7">
        <v>0</v>
      </c>
    </row>
    <row r="58" spans="1:61" ht="20.100000000000001" customHeight="1" x14ac:dyDescent="0.25">
      <c r="A58" s="3" t="s">
        <v>138</v>
      </c>
      <c r="B58" s="3">
        <v>21</v>
      </c>
      <c r="C58" s="8">
        <v>44267</v>
      </c>
      <c r="D58" s="9">
        <v>0.23958333333333334</v>
      </c>
      <c r="E58" s="4">
        <v>38</v>
      </c>
      <c r="F58" s="3">
        <v>0</v>
      </c>
      <c r="G58" s="3">
        <v>0</v>
      </c>
      <c r="H58" s="3">
        <v>0</v>
      </c>
      <c r="I58" s="3">
        <v>0</v>
      </c>
      <c r="J58" s="9">
        <v>0.28125</v>
      </c>
      <c r="K58" s="3">
        <v>141.19999999999999</v>
      </c>
      <c r="L58" s="11">
        <f t="shared" ref="L58" si="74">K58-K57</f>
        <v>2</v>
      </c>
      <c r="M58" s="5">
        <f t="shared" ref="M58" si="75">AB57</f>
        <v>3423.47</v>
      </c>
      <c r="N58" s="11">
        <v>31.125</v>
      </c>
      <c r="O58" s="11">
        <v>32.25</v>
      </c>
      <c r="P58" s="11">
        <v>10.75</v>
      </c>
      <c r="Q58" s="11">
        <v>10.75</v>
      </c>
      <c r="R58" s="11">
        <v>19.75</v>
      </c>
      <c r="S58" s="11">
        <v>19.75</v>
      </c>
      <c r="T58" s="11">
        <v>11</v>
      </c>
      <c r="U58" s="11">
        <v>10</v>
      </c>
      <c r="V58" s="11">
        <v>13</v>
      </c>
      <c r="W58" s="11">
        <v>13</v>
      </c>
      <c r="X58" s="11">
        <v>7</v>
      </c>
      <c r="Y58" s="11">
        <v>7</v>
      </c>
      <c r="Z58" s="3" t="s">
        <v>407</v>
      </c>
      <c r="AA58" s="10" t="s">
        <v>408</v>
      </c>
      <c r="AB58" s="5">
        <f>614+100+105+130+20+45+164+92+92+614+100</f>
        <v>2076</v>
      </c>
      <c r="AC58" s="6">
        <f>24.8+6+0+2+1+3.75+13.5+0+0+24.8+6</f>
        <v>81.849999999999994</v>
      </c>
      <c r="AD58" s="6">
        <f>6.1+4+0+0+0+0+2.5+0+0+6.1+4</f>
        <v>22.7</v>
      </c>
      <c r="AE58" s="6">
        <f>26.1+1+18+4.53+1.5+4.7+2+2+26.1+8</f>
        <v>93.93</v>
      </c>
      <c r="AF58" s="6">
        <f>72.9+2+27+9+2+1.5+8.4+24+24+72.9+2</f>
        <v>245.70000000000002</v>
      </c>
      <c r="AG58" s="6">
        <f>5.5+0+3+2+0+0+0.9+2+2+5.5+0</f>
        <v>20.9</v>
      </c>
      <c r="AH58" s="6">
        <f>798+280+1+320+0+178+4+0+0+798+280</f>
        <v>2659</v>
      </c>
      <c r="AI58" s="6">
        <f t="shared" si="1"/>
        <v>3.9426782273603078E-2</v>
      </c>
      <c r="AJ58" s="6">
        <f t="shared" si="2"/>
        <v>1.0934489402697496E-2</v>
      </c>
      <c r="AK58" s="6">
        <f t="shared" si="3"/>
        <v>4.5245664739884395E-2</v>
      </c>
      <c r="AL58" s="6">
        <f t="shared" si="4"/>
        <v>0.11835260115606937</v>
      </c>
      <c r="AM58" s="6">
        <f t="shared" si="5"/>
        <v>1.0067437379576107E-2</v>
      </c>
      <c r="AN58" s="6">
        <f t="shared" si="6"/>
        <v>1.2808285163776494</v>
      </c>
      <c r="AO58" s="7">
        <v>4</v>
      </c>
      <c r="AP58" s="7">
        <v>1</v>
      </c>
      <c r="AQ58" s="7">
        <v>0</v>
      </c>
      <c r="AR58" s="10">
        <v>0</v>
      </c>
      <c r="AS58" s="7">
        <v>0</v>
      </c>
      <c r="AT58" s="7">
        <v>0</v>
      </c>
      <c r="AU58" s="7">
        <v>0</v>
      </c>
      <c r="AV58" s="7">
        <v>0</v>
      </c>
      <c r="AW58" s="7">
        <v>31</v>
      </c>
      <c r="AX58" s="7">
        <v>1</v>
      </c>
      <c r="AY58" s="5">
        <v>7</v>
      </c>
      <c r="AZ58" s="7">
        <v>1</v>
      </c>
      <c r="BA58" s="7">
        <v>1</v>
      </c>
      <c r="BB58" s="7">
        <v>1</v>
      </c>
      <c r="BC58" s="7">
        <v>1</v>
      </c>
      <c r="BD58" s="7">
        <v>1</v>
      </c>
      <c r="BE58" s="7">
        <v>1</v>
      </c>
      <c r="BF58" s="7">
        <v>0</v>
      </c>
      <c r="BG58" s="7">
        <v>0</v>
      </c>
      <c r="BH58" s="7">
        <v>2</v>
      </c>
      <c r="BI58" s="7">
        <v>0</v>
      </c>
    </row>
    <row r="59" spans="1:61" ht="20.100000000000001" customHeight="1" x14ac:dyDescent="0.25">
      <c r="A59" s="3" t="s">
        <v>19</v>
      </c>
      <c r="B59" s="3">
        <v>22</v>
      </c>
      <c r="C59" s="8">
        <v>44268</v>
      </c>
      <c r="D59" s="9">
        <v>0.26874999999999999</v>
      </c>
      <c r="E59" s="4">
        <v>43</v>
      </c>
      <c r="F59" s="3">
        <v>0</v>
      </c>
      <c r="G59" s="3">
        <v>0</v>
      </c>
      <c r="H59" s="3">
        <v>0</v>
      </c>
      <c r="I59" s="3">
        <v>0</v>
      </c>
      <c r="J59" s="9">
        <v>0.27083333333333331</v>
      </c>
      <c r="K59" s="3">
        <v>141.19999999999999</v>
      </c>
      <c r="L59" s="11">
        <f t="shared" ref="L59" si="76">K59-K58</f>
        <v>0</v>
      </c>
      <c r="M59" s="5">
        <f t="shared" ref="M59" si="77">AB58</f>
        <v>2076</v>
      </c>
      <c r="N59" s="11">
        <v>31</v>
      </c>
      <c r="O59" s="11">
        <v>32</v>
      </c>
      <c r="P59" s="11">
        <v>10.75</v>
      </c>
      <c r="Q59" s="11">
        <v>10.75</v>
      </c>
      <c r="R59" s="11">
        <v>19.75</v>
      </c>
      <c r="S59" s="11">
        <v>19.75</v>
      </c>
      <c r="T59" s="11">
        <v>12</v>
      </c>
      <c r="U59" s="11">
        <v>10</v>
      </c>
      <c r="V59" s="11">
        <v>13</v>
      </c>
      <c r="W59" s="11">
        <v>12</v>
      </c>
      <c r="X59" s="11">
        <v>7</v>
      </c>
      <c r="Y59" s="11">
        <v>7</v>
      </c>
      <c r="Z59" s="3" t="s">
        <v>410</v>
      </c>
      <c r="AA59" s="10" t="s">
        <v>409</v>
      </c>
      <c r="AB59" s="5">
        <f>614+100+105+130+20+45+164+614+100+400+200</f>
        <v>2492</v>
      </c>
      <c r="AC59" s="6">
        <f>24.8+6+0+2+1+3.75+13.5+24.8+6+4+12</f>
        <v>97.85</v>
      </c>
      <c r="AD59" s="6">
        <f>6.1+4+0+0+0+0+2.5+6.1+4+0+8</f>
        <v>30.7</v>
      </c>
      <c r="AE59" s="6">
        <f>26.1+8+1+18+4.53+1.5+4.7+26.1+8+8+4</f>
        <v>109.93</v>
      </c>
      <c r="AF59" s="6">
        <f>72.9+2+27+9+2+1.5+8.4+72.9+2+80+560</f>
        <v>837.7</v>
      </c>
      <c r="AG59" s="6">
        <f>5.5+0+3+2+0+0+0.9+5.5+0+8+4</f>
        <v>28.9</v>
      </c>
      <c r="AH59" s="6">
        <f>798+280+1+320+178+4+798+280+80+560</f>
        <v>3299</v>
      </c>
      <c r="AI59" s="6">
        <f t="shared" si="1"/>
        <v>3.9265650080256821E-2</v>
      </c>
      <c r="AJ59" s="6">
        <f t="shared" si="2"/>
        <v>1.2319422150882825E-2</v>
      </c>
      <c r="AK59" s="6">
        <f t="shared" si="3"/>
        <v>4.4113162118780101E-2</v>
      </c>
      <c r="AL59" s="6">
        <f t="shared" si="4"/>
        <v>0.33615569823434993</v>
      </c>
      <c r="AM59" s="6">
        <f t="shared" si="5"/>
        <v>1.1597110754414124E-2</v>
      </c>
      <c r="AN59" s="6">
        <f t="shared" si="6"/>
        <v>1.323836276083467</v>
      </c>
      <c r="AO59" s="7">
        <v>4</v>
      </c>
      <c r="AP59" s="7">
        <v>1</v>
      </c>
      <c r="AQ59" s="7">
        <v>0</v>
      </c>
      <c r="AR59" s="10">
        <v>0</v>
      </c>
      <c r="AS59" s="7">
        <v>0</v>
      </c>
      <c r="AT59" s="7">
        <v>0</v>
      </c>
      <c r="AU59" s="7">
        <v>0</v>
      </c>
      <c r="AV59" s="7">
        <v>0</v>
      </c>
      <c r="AW59" s="7">
        <v>31</v>
      </c>
      <c r="AX59" s="7">
        <v>1</v>
      </c>
      <c r="AY59" s="5">
        <v>7</v>
      </c>
      <c r="AZ59" s="7">
        <v>1</v>
      </c>
      <c r="BA59" s="7">
        <v>0</v>
      </c>
      <c r="BB59" s="7">
        <v>1</v>
      </c>
      <c r="BC59" s="7">
        <v>1</v>
      </c>
      <c r="BD59" s="7">
        <v>1</v>
      </c>
      <c r="BE59" s="7">
        <v>1</v>
      </c>
      <c r="BF59" s="7">
        <v>0</v>
      </c>
      <c r="BG59" s="7">
        <v>0</v>
      </c>
      <c r="BH59" s="7">
        <v>2</v>
      </c>
      <c r="BI59" s="7">
        <v>0</v>
      </c>
    </row>
    <row r="60" spans="1:61" ht="20.100000000000001" customHeight="1" x14ac:dyDescent="0.25">
      <c r="A60" s="3" t="s">
        <v>23</v>
      </c>
      <c r="B60" s="3">
        <v>23</v>
      </c>
      <c r="C60" s="8">
        <v>44269</v>
      </c>
      <c r="D60" s="9">
        <v>0.30694444444444441</v>
      </c>
      <c r="E60" s="4">
        <v>48</v>
      </c>
      <c r="F60" s="3">
        <v>0</v>
      </c>
      <c r="G60" s="3">
        <v>0</v>
      </c>
      <c r="H60" s="3">
        <v>0</v>
      </c>
      <c r="I60" s="3">
        <v>0</v>
      </c>
      <c r="J60" s="9">
        <v>0.30208333333333331</v>
      </c>
      <c r="K60" s="3">
        <v>141.19999999999999</v>
      </c>
      <c r="L60" s="11">
        <f t="shared" ref="L60" si="78">K60-K59</f>
        <v>0</v>
      </c>
      <c r="M60" s="5">
        <f t="shared" ref="M60" si="79">AB59</f>
        <v>2492</v>
      </c>
      <c r="N60" s="11">
        <v>31.5</v>
      </c>
      <c r="O60" s="11">
        <v>32.5</v>
      </c>
      <c r="P60" s="11">
        <v>10.75</v>
      </c>
      <c r="Q60" s="11">
        <v>10.9375</v>
      </c>
      <c r="R60" s="11">
        <v>19.75</v>
      </c>
      <c r="S60" s="11">
        <v>19.75</v>
      </c>
      <c r="T60" s="11">
        <v>12</v>
      </c>
      <c r="U60" s="11">
        <v>14</v>
      </c>
      <c r="V60" s="11">
        <v>14</v>
      </c>
      <c r="W60" s="11">
        <v>13</v>
      </c>
      <c r="X60" s="11">
        <v>7</v>
      </c>
      <c r="Y60" s="11">
        <v>7</v>
      </c>
      <c r="Z60" s="3" t="s">
        <v>416</v>
      </c>
      <c r="AA60" s="10" t="s">
        <v>415</v>
      </c>
      <c r="AB60" s="5">
        <f>614+100+240+20+90+164+42+105+70+322+90+40+280</f>
        <v>2177</v>
      </c>
      <c r="AC60" s="6">
        <f>24.8+6+4+1+7.5+13.5+0+0+5+29+7.5+0.2+14</f>
        <v>112.5</v>
      </c>
      <c r="AD60" s="6">
        <f>6.1+4+0+0+0+2.5+0+0+3.5+4+5.25+0.1+2</f>
        <v>27.450000000000003</v>
      </c>
      <c r="AE60" s="6">
        <f>26.1+8+36+2+3+4.7+1+1+1+4+1.5+0.6+4</f>
        <v>92.899999999999991</v>
      </c>
      <c r="AF60" s="6">
        <f>72.9+2+12+6+3+8.4+13+27+17+3+10.1+36</f>
        <v>210.4</v>
      </c>
      <c r="AG60" s="6">
        <f>5.5+0+2+2+0+0.9+2+3+0+18+0+1.4+4</f>
        <v>38.799999999999997</v>
      </c>
      <c r="AH60" s="6">
        <f>798+280+720+0+345+4+1+1+15+14+22.5+2+180</f>
        <v>2382.5</v>
      </c>
      <c r="AI60" s="6">
        <f t="shared" si="1"/>
        <v>5.1676619200734956E-2</v>
      </c>
      <c r="AJ60" s="6">
        <f t="shared" si="2"/>
        <v>1.260909508497933E-2</v>
      </c>
      <c r="AK60" s="6">
        <f t="shared" si="3"/>
        <v>4.2673403766651352E-2</v>
      </c>
      <c r="AL60" s="6">
        <f t="shared" si="4"/>
        <v>9.6646761598530084E-2</v>
      </c>
      <c r="AM60" s="6">
        <f t="shared" si="5"/>
        <v>1.78226917776757E-2</v>
      </c>
      <c r="AN60" s="6">
        <f t="shared" si="6"/>
        <v>1.0943959577400091</v>
      </c>
      <c r="AO60" s="7">
        <v>5</v>
      </c>
      <c r="AP60" s="7">
        <v>1</v>
      </c>
      <c r="AQ60" s="7">
        <v>0</v>
      </c>
      <c r="AR60" s="10">
        <v>0</v>
      </c>
      <c r="AS60" s="7">
        <v>0</v>
      </c>
      <c r="AT60" s="7">
        <v>0</v>
      </c>
      <c r="AU60" s="7">
        <v>0</v>
      </c>
      <c r="AV60" s="7">
        <v>0</v>
      </c>
      <c r="AW60" s="7">
        <v>31</v>
      </c>
      <c r="AX60" s="7">
        <v>1</v>
      </c>
      <c r="AY60" s="5">
        <v>7</v>
      </c>
      <c r="AZ60" s="7">
        <v>1</v>
      </c>
      <c r="BA60" s="7">
        <v>1</v>
      </c>
      <c r="BB60" s="7">
        <v>1</v>
      </c>
      <c r="BC60" s="7">
        <v>1</v>
      </c>
      <c r="BD60" s="7">
        <v>1</v>
      </c>
      <c r="BE60" s="7">
        <v>2</v>
      </c>
      <c r="BF60" s="7">
        <v>0</v>
      </c>
      <c r="BG60" s="7">
        <v>0</v>
      </c>
      <c r="BH60" s="7">
        <v>2</v>
      </c>
      <c r="BI60" s="7">
        <v>0</v>
      </c>
    </row>
    <row r="61" spans="1:61" ht="20.100000000000001" customHeight="1" x14ac:dyDescent="0.25">
      <c r="A61" s="3" t="s">
        <v>15</v>
      </c>
      <c r="B61" s="3">
        <v>24</v>
      </c>
      <c r="C61" s="8">
        <v>44270</v>
      </c>
      <c r="D61" s="9">
        <v>0.34861111111111115</v>
      </c>
      <c r="E61" s="4">
        <v>49</v>
      </c>
      <c r="F61" s="3">
        <v>0</v>
      </c>
      <c r="G61" s="3">
        <v>0</v>
      </c>
      <c r="H61" s="3">
        <v>0</v>
      </c>
      <c r="I61" s="3">
        <v>0</v>
      </c>
      <c r="J61" s="9">
        <v>0.34861111111111115</v>
      </c>
      <c r="K61" s="3">
        <v>141.19999999999999</v>
      </c>
      <c r="L61" s="11">
        <f t="shared" ref="L61" si="80">K61-K60</f>
        <v>0</v>
      </c>
      <c r="M61" s="5">
        <f t="shared" ref="M61" si="81">AB60</f>
        <v>2177</v>
      </c>
      <c r="N61" s="11">
        <v>31.5</v>
      </c>
      <c r="O61" s="11">
        <v>32.5</v>
      </c>
      <c r="P61" s="11">
        <v>10.75</v>
      </c>
      <c r="Q61" s="11">
        <v>10.75</v>
      </c>
      <c r="R61" s="11">
        <v>19.375</v>
      </c>
      <c r="S61" s="11">
        <v>20.25</v>
      </c>
      <c r="T61" s="11">
        <v>11</v>
      </c>
      <c r="U61" s="11">
        <v>11</v>
      </c>
      <c r="V61" s="11">
        <v>15</v>
      </c>
      <c r="W61" s="11">
        <v>13</v>
      </c>
      <c r="X61" s="11">
        <v>7</v>
      </c>
      <c r="Y61" s="11">
        <v>7</v>
      </c>
      <c r="Z61" s="3" t="s">
        <v>418</v>
      </c>
      <c r="AA61" s="10" t="s">
        <v>417</v>
      </c>
      <c r="AB61" s="5">
        <f>140+120+322+200+100+120+20+45+37.5+40+15+35+27.3+1404+120</f>
        <v>2745.8</v>
      </c>
      <c r="AC61" s="6">
        <f>10+14+29+2+6+2+1+3.75+0+0.67+1.25+0+2.25+41.85+0.6</f>
        <v>114.37</v>
      </c>
      <c r="AD61" s="6">
        <f>3+2+4+0+4+0+0+0+0+0+0+0.33+0.42+3.6+0.3</f>
        <v>17.650000000000002</v>
      </c>
      <c r="AE61" s="6">
        <f>12+0+4+4+8+18+2+1.5+0+6+0.5+9+0.78+82.35+1.8</f>
        <v>149.93</v>
      </c>
      <c r="AF61" s="6">
        <f>0+0+17+42+2+6+6+1.5+9+2+0.5+1+0.26+181.8+30.3</f>
        <v>299.36</v>
      </c>
      <c r="AG61" s="6">
        <f>0+0+18+4+0+1+2+0+1.5+0.3+0+0.33+0.15+67.05+4.2</f>
        <v>98.53</v>
      </c>
      <c r="AH61" s="6">
        <f>140+0+14+40+280+360+0+177.5+0+120+59.2+0.33+0.67+3559.5+6</f>
        <v>4757.2</v>
      </c>
      <c r="AI61" s="6">
        <f t="shared" si="1"/>
        <v>4.1652705950906838E-2</v>
      </c>
      <c r="AJ61" s="6">
        <f t="shared" si="2"/>
        <v>6.427999125937796E-3</v>
      </c>
      <c r="AK61" s="6">
        <f t="shared" si="3"/>
        <v>5.460339427489256E-2</v>
      </c>
      <c r="AL61" s="6">
        <f t="shared" si="4"/>
        <v>0.10902469225726565</v>
      </c>
      <c r="AM61" s="6">
        <f t="shared" si="5"/>
        <v>3.5883895403889574E-2</v>
      </c>
      <c r="AN61" s="6">
        <f t="shared" si="6"/>
        <v>1.7325369655473812</v>
      </c>
      <c r="AO61" s="7">
        <v>4</v>
      </c>
      <c r="AP61" s="7">
        <v>1</v>
      </c>
      <c r="AQ61" s="7">
        <v>0</v>
      </c>
      <c r="AR61" s="10">
        <v>0</v>
      </c>
      <c r="AS61" s="7">
        <v>0</v>
      </c>
      <c r="AT61" s="7">
        <v>0</v>
      </c>
      <c r="AU61" s="7">
        <v>0</v>
      </c>
      <c r="AV61" s="7">
        <v>0</v>
      </c>
      <c r="AW61" s="7">
        <v>31</v>
      </c>
      <c r="AX61" s="7">
        <v>1</v>
      </c>
      <c r="AY61" s="5">
        <v>5.5</v>
      </c>
      <c r="AZ61" s="7">
        <v>1</v>
      </c>
      <c r="BA61" s="7">
        <v>1</v>
      </c>
      <c r="BB61" s="7">
        <v>1</v>
      </c>
      <c r="BC61" s="7">
        <v>1</v>
      </c>
      <c r="BD61" s="7">
        <v>1</v>
      </c>
      <c r="BE61" s="7">
        <v>1.33</v>
      </c>
      <c r="BF61" s="7">
        <v>2</v>
      </c>
      <c r="BG61" s="7">
        <v>60</v>
      </c>
      <c r="BH61" s="7">
        <v>2</v>
      </c>
      <c r="BI61" s="7">
        <v>0</v>
      </c>
    </row>
    <row r="62" spans="1:61" ht="20.100000000000001" customHeight="1" x14ac:dyDescent="0.25">
      <c r="A62" s="3" t="s">
        <v>16</v>
      </c>
      <c r="B62" s="3">
        <v>25</v>
      </c>
      <c r="C62" s="8">
        <v>44271</v>
      </c>
      <c r="D62" s="9">
        <v>0.2951388888888889</v>
      </c>
      <c r="E62" s="4">
        <v>39</v>
      </c>
      <c r="F62" s="3">
        <v>0</v>
      </c>
      <c r="G62" s="3">
        <v>0</v>
      </c>
      <c r="H62" s="3">
        <v>0</v>
      </c>
      <c r="I62" s="3">
        <v>0</v>
      </c>
      <c r="J62" s="9">
        <v>0.29166666666666669</v>
      </c>
      <c r="K62" s="3">
        <v>141.19999999999999</v>
      </c>
      <c r="L62" s="11">
        <f t="shared" ref="L62" si="82">K62-K61</f>
        <v>0</v>
      </c>
      <c r="M62" s="5">
        <f t="shared" ref="M62" si="83">AB61</f>
        <v>2745.8</v>
      </c>
      <c r="N62" s="11">
        <v>31.5</v>
      </c>
      <c r="O62" s="11">
        <v>32.75</v>
      </c>
      <c r="P62" s="11">
        <v>10.75</v>
      </c>
      <c r="Q62" s="11">
        <v>10.75</v>
      </c>
      <c r="R62" s="11">
        <v>19.75</v>
      </c>
      <c r="S62" s="11">
        <v>19.75</v>
      </c>
      <c r="T62" s="11">
        <v>11</v>
      </c>
      <c r="U62" s="11">
        <v>11</v>
      </c>
      <c r="V62" s="11">
        <v>17</v>
      </c>
      <c r="W62" s="11">
        <v>15</v>
      </c>
      <c r="X62" s="11">
        <v>7</v>
      </c>
      <c r="Y62" s="11">
        <v>7</v>
      </c>
      <c r="Z62" s="3" t="s">
        <v>421</v>
      </c>
      <c r="AA62" s="10" t="s">
        <v>420</v>
      </c>
      <c r="AB62" s="5">
        <f>280+120+20+45+644+300+200+400+10+60+7.5</f>
        <v>2086.5</v>
      </c>
      <c r="AC62" s="6">
        <f>14+2+1+3.75+58+3+12+10+0.5+0+0.625</f>
        <v>104.875</v>
      </c>
      <c r="AD62" s="6">
        <f>2+0+0+0+8+0+8+5+0+0+0</f>
        <v>23</v>
      </c>
      <c r="AE62" s="6">
        <f>4+18+2+1.5+8+6+16+4+1+0+0.25</f>
        <v>60.75</v>
      </c>
      <c r="AF62" s="6">
        <f>36+6+6+1.5+34+63+4+74+3+17+0.25</f>
        <v>244.75</v>
      </c>
      <c r="AG62" s="6">
        <f>4+1+2+0+36+6+0+1+0+0</f>
        <v>50</v>
      </c>
      <c r="AH62" s="6">
        <f>180+360+0+172.5+28+60+560+0+0+28.75</f>
        <v>1389.25</v>
      </c>
      <c r="AI62" s="6">
        <f t="shared" si="1"/>
        <v>5.0263599329019887E-2</v>
      </c>
      <c r="AJ62" s="6">
        <f t="shared" si="2"/>
        <v>1.1023244668104481E-2</v>
      </c>
      <c r="AK62" s="6">
        <f t="shared" si="3"/>
        <v>2.9115744069015098E-2</v>
      </c>
      <c r="AL62" s="6">
        <f t="shared" si="4"/>
        <v>0.11730170141385095</v>
      </c>
      <c r="AM62" s="6">
        <f t="shared" si="5"/>
        <v>2.3963575365444523E-2</v>
      </c>
      <c r="AN62" s="6">
        <f t="shared" si="6"/>
        <v>0.66582794152887614</v>
      </c>
      <c r="AO62" s="7">
        <v>4</v>
      </c>
      <c r="AP62" s="7">
        <v>1</v>
      </c>
      <c r="AQ62" s="7">
        <v>0</v>
      </c>
      <c r="AR62" s="10">
        <v>0</v>
      </c>
      <c r="AS62" s="7">
        <v>0</v>
      </c>
      <c r="AT62" s="7">
        <v>0</v>
      </c>
      <c r="AU62" s="7">
        <v>0</v>
      </c>
      <c r="AV62" s="7">
        <v>0</v>
      </c>
      <c r="AW62" s="7">
        <v>31</v>
      </c>
      <c r="AX62" s="7">
        <v>1</v>
      </c>
      <c r="AY62" s="5">
        <v>7</v>
      </c>
      <c r="AZ62" s="7">
        <v>1</v>
      </c>
      <c r="BA62" s="7">
        <v>1</v>
      </c>
      <c r="BB62" s="7">
        <v>0</v>
      </c>
      <c r="BC62" s="7">
        <v>1</v>
      </c>
      <c r="BD62" s="7">
        <v>1</v>
      </c>
      <c r="BE62" s="7">
        <v>1</v>
      </c>
      <c r="BF62" s="7">
        <v>0</v>
      </c>
      <c r="BG62" s="7">
        <v>0</v>
      </c>
      <c r="BH62" s="7">
        <v>3</v>
      </c>
      <c r="BI62" s="7">
        <v>0</v>
      </c>
    </row>
    <row r="63" spans="1:61" ht="20.100000000000001" customHeight="1" x14ac:dyDescent="0.25">
      <c r="A63" s="3" t="s">
        <v>17</v>
      </c>
      <c r="B63" s="3">
        <v>26</v>
      </c>
      <c r="C63" s="8">
        <v>44272</v>
      </c>
      <c r="D63" s="9">
        <v>0.29166666666666669</v>
      </c>
      <c r="E63" s="4">
        <v>39</v>
      </c>
      <c r="F63" s="3">
        <v>0</v>
      </c>
      <c r="G63" s="3">
        <v>0</v>
      </c>
      <c r="H63" s="3">
        <v>0</v>
      </c>
      <c r="I63" s="3">
        <v>0</v>
      </c>
      <c r="J63" s="9">
        <v>0.29166666666666669</v>
      </c>
      <c r="K63" s="3">
        <v>143</v>
      </c>
      <c r="L63" s="11">
        <f t="shared" ref="L63" si="84">K63-K62</f>
        <v>1.8000000000000114</v>
      </c>
      <c r="M63" s="5">
        <f t="shared" ref="M63" si="85">AB62</f>
        <v>2086.5</v>
      </c>
      <c r="N63" s="11">
        <v>31.5</v>
      </c>
      <c r="O63" s="11">
        <v>32.75</v>
      </c>
      <c r="P63" s="11">
        <v>10.75</v>
      </c>
      <c r="Q63" s="11">
        <v>10.75</v>
      </c>
      <c r="R63" s="11">
        <v>20.25</v>
      </c>
      <c r="S63" s="11">
        <v>20.75</v>
      </c>
      <c r="T63" s="11">
        <v>13</v>
      </c>
      <c r="U63" s="11">
        <v>12</v>
      </c>
      <c r="V63" s="11">
        <v>16</v>
      </c>
      <c r="W63" s="11">
        <v>13</v>
      </c>
      <c r="X63" s="11">
        <v>7</v>
      </c>
      <c r="Y63" s="11">
        <v>7</v>
      </c>
      <c r="Z63" s="3" t="s">
        <v>424</v>
      </c>
      <c r="AA63" s="10" t="s">
        <v>423</v>
      </c>
      <c r="AB63" s="5">
        <f>164+120+20+45+105+644+140+300+200</f>
        <v>1738</v>
      </c>
      <c r="AC63" s="6">
        <f>5.4+2+1+3.75+0+58+7+3+12</f>
        <v>92.15</v>
      </c>
      <c r="AD63" s="6">
        <f>1.2+0+0+0+0+8+1+0+8</f>
        <v>18.2</v>
      </c>
      <c r="AE63" s="6">
        <f>1.7+18+2+1.5+1+8+2+6+16</f>
        <v>56.2</v>
      </c>
      <c r="AF63" s="6">
        <f>29.2+6+6+1.5+27+34+18+63+4</f>
        <v>188.7</v>
      </c>
      <c r="AG63" s="6">
        <f>0.7+1+2+0+3+36+2+6+0</f>
        <v>50.7</v>
      </c>
      <c r="AH63" s="6">
        <f>176+360+0+173+1+28+90+60+560</f>
        <v>1448</v>
      </c>
      <c r="AI63" s="6">
        <f t="shared" si="1"/>
        <v>5.3020713463751444E-2</v>
      </c>
      <c r="AJ63" s="6">
        <f t="shared" si="2"/>
        <v>1.047180667433832E-2</v>
      </c>
      <c r="AK63" s="6">
        <f t="shared" si="3"/>
        <v>3.233601841196778E-2</v>
      </c>
      <c r="AL63" s="6">
        <f t="shared" si="4"/>
        <v>0.10857307249712313</v>
      </c>
      <c r="AM63" s="6">
        <f t="shared" si="5"/>
        <v>2.9171461449942464E-2</v>
      </c>
      <c r="AN63" s="6">
        <f t="shared" si="6"/>
        <v>0.83314154200230151</v>
      </c>
      <c r="AO63" s="7">
        <v>4</v>
      </c>
      <c r="AP63" s="7">
        <v>1</v>
      </c>
      <c r="AQ63" s="7">
        <v>0</v>
      </c>
      <c r="AR63" s="10">
        <v>0</v>
      </c>
      <c r="AS63" s="7">
        <v>0</v>
      </c>
      <c r="AT63" s="7">
        <v>0</v>
      </c>
      <c r="AU63" s="7">
        <v>0</v>
      </c>
      <c r="AV63" s="7">
        <v>0</v>
      </c>
      <c r="AW63" s="7">
        <v>31</v>
      </c>
      <c r="AX63" s="7">
        <v>1</v>
      </c>
      <c r="AY63" s="5">
        <v>6</v>
      </c>
      <c r="AZ63" s="7">
        <v>0</v>
      </c>
      <c r="BA63" s="7">
        <v>1</v>
      </c>
      <c r="BB63" s="7">
        <v>0</v>
      </c>
      <c r="BC63" s="7">
        <v>1</v>
      </c>
      <c r="BD63" s="7">
        <v>1</v>
      </c>
      <c r="BE63" s="7">
        <v>1</v>
      </c>
      <c r="BF63" s="7">
        <v>0</v>
      </c>
      <c r="BG63" s="7">
        <v>0</v>
      </c>
      <c r="BH63" s="7">
        <v>2</v>
      </c>
      <c r="BI63" s="7">
        <v>0</v>
      </c>
    </row>
    <row r="64" spans="1:61" ht="20.100000000000001" customHeight="1" x14ac:dyDescent="0.25">
      <c r="A64" s="3" t="s">
        <v>18</v>
      </c>
      <c r="B64" s="3">
        <v>0</v>
      </c>
      <c r="C64" s="8">
        <v>44273</v>
      </c>
      <c r="D64" s="9">
        <v>0.91249999999999998</v>
      </c>
      <c r="E64" s="4">
        <v>55</v>
      </c>
      <c r="F64" s="3">
        <v>0</v>
      </c>
      <c r="G64" s="3">
        <v>0</v>
      </c>
      <c r="H64" s="3">
        <v>0</v>
      </c>
      <c r="I64" s="3">
        <v>0</v>
      </c>
      <c r="J64" s="9">
        <v>0.35416666666666669</v>
      </c>
      <c r="K64" s="3">
        <v>141.4</v>
      </c>
      <c r="L64" s="11">
        <f t="shared" ref="L64" si="86">K64-K63</f>
        <v>-1.5999999999999943</v>
      </c>
      <c r="M64" s="5">
        <f t="shared" ref="M64" si="87">AB63</f>
        <v>1738</v>
      </c>
      <c r="N64" s="11">
        <v>31.25</v>
      </c>
      <c r="O64" s="11">
        <v>32.25</v>
      </c>
      <c r="P64" s="11">
        <v>10.625</v>
      </c>
      <c r="Q64" s="11">
        <v>10.625</v>
      </c>
      <c r="R64" s="11">
        <v>19.75</v>
      </c>
      <c r="S64" s="11">
        <v>19.75</v>
      </c>
      <c r="T64" s="11">
        <v>11</v>
      </c>
      <c r="U64" s="11">
        <v>12</v>
      </c>
      <c r="V64" s="11">
        <v>15</v>
      </c>
      <c r="W64" s="11">
        <v>15</v>
      </c>
      <c r="X64" s="11">
        <v>7</v>
      </c>
      <c r="Y64" s="11">
        <v>7</v>
      </c>
      <c r="Z64" s="3" t="s">
        <v>425</v>
      </c>
      <c r="AA64" s="10" t="s">
        <v>428</v>
      </c>
      <c r="AB64" s="5">
        <f>140+200+133.3+120+105+15+20+160+328+458.5+200</f>
        <v>1879.8</v>
      </c>
      <c r="AC64" s="6">
        <f>10+2+8+2+0+1.25+1+0.8+10.8+11.2+12</f>
        <v>59.05</v>
      </c>
      <c r="AD64" s="6">
        <f>3+0+5.3+0+0+0+0+0.4+2.4+2.2+8</f>
        <v>21.3</v>
      </c>
      <c r="AE64" s="6">
        <f>12+4+10.7+18+1+0.5+2+2.4+3.4+23.6+16</f>
        <v>93.6</v>
      </c>
      <c r="AF64" s="6">
        <f>0+42+2.7+6+27+0.5+6+40.4+58.4+71.7+4</f>
        <v>258.7</v>
      </c>
      <c r="AG64" s="6">
        <f>0+4+0+1+3+0+2+5.6+1.4+12.3+0</f>
        <v>29.3</v>
      </c>
      <c r="AH64" s="6">
        <f>140+40+373+360+1+57.5+0+8+352+603+560</f>
        <v>2494.5</v>
      </c>
      <c r="AI64" s="6">
        <f t="shared" si="1"/>
        <v>3.1412916267688051E-2</v>
      </c>
      <c r="AJ64" s="6">
        <f t="shared" si="2"/>
        <v>1.133099265879349E-2</v>
      </c>
      <c r="AK64" s="6">
        <f t="shared" si="3"/>
        <v>4.9792531120331947E-2</v>
      </c>
      <c r="AL64" s="6">
        <f t="shared" si="4"/>
        <v>0.13762102351313971</v>
      </c>
      <c r="AM64" s="6">
        <f t="shared" si="5"/>
        <v>1.5586764549420151E-2</v>
      </c>
      <c r="AN64" s="6">
        <f t="shared" si="6"/>
        <v>1.3270028726460261</v>
      </c>
      <c r="AO64" s="7">
        <v>3</v>
      </c>
      <c r="AP64" s="7">
        <v>1</v>
      </c>
      <c r="AQ64" s="7">
        <v>1</v>
      </c>
      <c r="AR64" s="10">
        <v>0</v>
      </c>
      <c r="AS64" s="7">
        <v>0</v>
      </c>
      <c r="AT64" s="7">
        <v>0</v>
      </c>
      <c r="AU64" s="7">
        <v>0</v>
      </c>
      <c r="AV64" s="7">
        <v>0</v>
      </c>
      <c r="AW64" s="7">
        <v>0</v>
      </c>
      <c r="AX64" s="7">
        <v>0</v>
      </c>
      <c r="AY64" s="5">
        <v>6.5</v>
      </c>
      <c r="AZ64" s="7">
        <v>0</v>
      </c>
      <c r="BA64" s="7">
        <v>1</v>
      </c>
      <c r="BB64" s="7">
        <v>0</v>
      </c>
      <c r="BC64" s="7">
        <v>1</v>
      </c>
      <c r="BD64" s="7">
        <v>1</v>
      </c>
      <c r="BE64" s="7">
        <v>1</v>
      </c>
      <c r="BF64" s="7">
        <v>0</v>
      </c>
      <c r="BG64" s="7">
        <v>0</v>
      </c>
      <c r="BH64" s="7">
        <v>2</v>
      </c>
      <c r="BI64" s="7">
        <v>0</v>
      </c>
    </row>
    <row r="65" spans="1:61" ht="20.100000000000001" customHeight="1" x14ac:dyDescent="0.25">
      <c r="A65" s="3" t="s">
        <v>138</v>
      </c>
      <c r="B65" s="3">
        <v>1</v>
      </c>
      <c r="C65" s="8">
        <v>44274</v>
      </c>
      <c r="D65" s="9">
        <v>0.2722222222222222</v>
      </c>
      <c r="E65" s="4">
        <v>45</v>
      </c>
      <c r="F65" s="3">
        <v>0</v>
      </c>
      <c r="G65" s="3">
        <v>0</v>
      </c>
      <c r="H65" s="3">
        <v>0</v>
      </c>
      <c r="I65" s="3">
        <v>0</v>
      </c>
      <c r="J65" s="9">
        <v>0.27083333333333331</v>
      </c>
      <c r="K65" s="3">
        <v>141.4</v>
      </c>
      <c r="L65" s="11">
        <f t="shared" ref="L65" si="88">K65-K64</f>
        <v>0</v>
      </c>
      <c r="M65" s="5">
        <f t="shared" ref="M65" si="89">AB64</f>
        <v>1879.8</v>
      </c>
      <c r="N65" s="11">
        <v>31.125</v>
      </c>
      <c r="O65" s="11">
        <v>32.25</v>
      </c>
      <c r="P65" s="11">
        <v>10.625</v>
      </c>
      <c r="Q65" s="11">
        <v>10.625</v>
      </c>
      <c r="R65" s="11">
        <v>19.5</v>
      </c>
      <c r="S65" s="11">
        <v>19.75</v>
      </c>
      <c r="T65" s="11">
        <v>12</v>
      </c>
      <c r="U65" s="11">
        <v>14</v>
      </c>
      <c r="V65" s="11">
        <v>15</v>
      </c>
      <c r="W65" s="11">
        <v>13</v>
      </c>
      <c r="X65" s="11">
        <v>7</v>
      </c>
      <c r="Y65" s="11">
        <v>7</v>
      </c>
      <c r="Z65" s="3" t="s">
        <v>431</v>
      </c>
      <c r="AA65" s="10" t="s">
        <v>430</v>
      </c>
      <c r="AB65" s="5">
        <f>120+20+42+105+458.5+458.5+70+80+90</f>
        <v>1444</v>
      </c>
      <c r="AC65" s="6">
        <f>2+1+0+0+11.2+11.2+5+5+7.5</f>
        <v>42.9</v>
      </c>
      <c r="AD65" s="6">
        <f>0+0+0+0+2.2+2.2+3.5+3.5+5.25</f>
        <v>16.649999999999999</v>
      </c>
      <c r="AE65" s="6">
        <f>18+2+1+1+23.6+23.6+1+6+1.5</f>
        <v>77.7</v>
      </c>
      <c r="AF65" s="6">
        <f>6+6+13+27+71.7+71.7+4+1+3</f>
        <v>203.4</v>
      </c>
      <c r="AG65" s="6">
        <f>1+2+2+3+12.3+12.3+0+0+0</f>
        <v>32.6</v>
      </c>
      <c r="AH65" s="6">
        <f>360+0+1+1+602.8+602.8+20+190+22.5</f>
        <v>1800.1</v>
      </c>
      <c r="AI65" s="6">
        <f t="shared" si="1"/>
        <v>2.9709141274238227E-2</v>
      </c>
      <c r="AJ65" s="6">
        <f t="shared" si="2"/>
        <v>1.1530470914127422E-2</v>
      </c>
      <c r="AK65" s="6">
        <f t="shared" si="3"/>
        <v>5.3808864265927979E-2</v>
      </c>
      <c r="AL65" s="6">
        <f t="shared" si="4"/>
        <v>0.14085872576177286</v>
      </c>
      <c r="AM65" s="6">
        <f t="shared" si="5"/>
        <v>2.257617728531856E-2</v>
      </c>
      <c r="AN65" s="6">
        <f t="shared" si="6"/>
        <v>1.246606648199446</v>
      </c>
      <c r="AO65" s="7">
        <v>4</v>
      </c>
      <c r="AP65" s="7">
        <v>1</v>
      </c>
      <c r="AQ65" s="7">
        <v>1</v>
      </c>
      <c r="AR65" s="10">
        <v>0</v>
      </c>
      <c r="AS65" s="7">
        <v>0</v>
      </c>
      <c r="AT65" s="7">
        <v>0</v>
      </c>
      <c r="AU65" s="7">
        <v>0</v>
      </c>
      <c r="AV65" s="7">
        <v>0</v>
      </c>
      <c r="AW65" s="7">
        <v>31</v>
      </c>
      <c r="AX65" s="7">
        <v>1</v>
      </c>
      <c r="AY65" s="5">
        <v>6</v>
      </c>
      <c r="AZ65" s="7">
        <v>1</v>
      </c>
      <c r="BA65" s="7">
        <v>1</v>
      </c>
      <c r="BB65" s="7">
        <v>0</v>
      </c>
      <c r="BC65" s="7">
        <v>1</v>
      </c>
      <c r="BD65" s="7">
        <v>1</v>
      </c>
      <c r="BE65" s="7">
        <v>1</v>
      </c>
      <c r="BF65" s="7">
        <v>0</v>
      </c>
      <c r="BG65" s="7">
        <v>0</v>
      </c>
      <c r="BH65" s="7">
        <v>2</v>
      </c>
      <c r="BI65" s="7">
        <v>0</v>
      </c>
    </row>
    <row r="66" spans="1:61" ht="20.100000000000001" customHeight="1" x14ac:dyDescent="0.25">
      <c r="A66" s="3" t="s">
        <v>19</v>
      </c>
      <c r="B66" s="3">
        <v>2</v>
      </c>
      <c r="C66" s="8">
        <v>44275</v>
      </c>
      <c r="D66" s="9">
        <v>0.28125</v>
      </c>
      <c r="E66" s="4">
        <v>55</v>
      </c>
      <c r="F66" s="3">
        <v>0</v>
      </c>
      <c r="G66" s="3">
        <v>0</v>
      </c>
      <c r="H66" s="3">
        <v>0</v>
      </c>
      <c r="I66" s="3">
        <v>0</v>
      </c>
      <c r="J66" s="9">
        <v>0.27777777777777779</v>
      </c>
      <c r="K66" s="3">
        <v>140.4</v>
      </c>
      <c r="L66" s="11">
        <f t="shared" ref="L66" si="90">K66-K65</f>
        <v>-1</v>
      </c>
      <c r="M66" s="5">
        <f t="shared" ref="M66" si="91">AB65</f>
        <v>1444</v>
      </c>
      <c r="N66" s="11">
        <v>31</v>
      </c>
      <c r="O66" s="11">
        <v>32</v>
      </c>
      <c r="P66" s="11">
        <v>10.625</v>
      </c>
      <c r="Q66" s="11">
        <v>10.625</v>
      </c>
      <c r="R66" s="11">
        <v>19.625</v>
      </c>
      <c r="S66" s="11">
        <v>19.625</v>
      </c>
      <c r="T66" s="11">
        <v>13</v>
      </c>
      <c r="U66" s="11">
        <v>12</v>
      </c>
      <c r="V66" s="11">
        <v>16</v>
      </c>
      <c r="W66" s="11">
        <v>17</v>
      </c>
      <c r="X66" s="11">
        <v>7</v>
      </c>
      <c r="Y66" s="11">
        <v>7</v>
      </c>
      <c r="Z66" s="3" t="s">
        <v>446</v>
      </c>
      <c r="AA66" s="10" t="s">
        <v>445</v>
      </c>
      <c r="AB66" s="5">
        <f>120+20+42+105+134+106+80+32+20.5+4+51+324+2+5+300+160+164</f>
        <v>1669.5</v>
      </c>
      <c r="AC66" s="6">
        <f>2+1+0+0+3.9+0.4+9+0.2+0.005+0.025+4.3+2.7+0.1+0.1+3+10+5.4</f>
        <v>42.13</v>
      </c>
      <c r="AD66" s="6">
        <f>0+0+0+0+0.9+0.1+2+0+0.025+0.025+0.6+0.6+0.1+0+0+7+1.2</f>
        <v>12.549999999999999</v>
      </c>
      <c r="AE66" s="6">
        <f>18+2+1+1+7.1+8+0+2.2+0.225+0.175+1.5+7.5+0.1+0.2+6+12+1.7</f>
        <v>68.7</v>
      </c>
      <c r="AF66" s="6">
        <f>6+6+13+27+16.7+16.7+0+5.6+5.4+0.95+2.3+67.2+0.4+1.2+63+2+29.2</f>
        <v>262.65000000000003</v>
      </c>
      <c r="AG66" s="6">
        <f>1+2+2+3+0.6+0.6+0.2+0.575+0.125+1.3+5.25+0.1+0.4+6+0+0.7</f>
        <v>23.849999999999998</v>
      </c>
      <c r="AH66" s="6">
        <f>360+0+1+1+193+186+80+1380+0.5+0.5+1+15+1+1+60+380+176</f>
        <v>2836</v>
      </c>
      <c r="AI66" s="6">
        <f t="shared" si="1"/>
        <v>2.5235100329439954E-2</v>
      </c>
      <c r="AJ66" s="6">
        <f t="shared" si="2"/>
        <v>7.5172207247678939E-3</v>
      </c>
      <c r="AK66" s="6">
        <f t="shared" si="3"/>
        <v>4.1150044923629829E-2</v>
      </c>
      <c r="AL66" s="6">
        <f t="shared" si="4"/>
        <v>0.15732255166217432</v>
      </c>
      <c r="AM66" s="6">
        <f t="shared" si="5"/>
        <v>1.4285714285714285E-2</v>
      </c>
      <c r="AN66" s="6">
        <f t="shared" si="6"/>
        <v>1.6987121892782271</v>
      </c>
      <c r="AO66" s="7">
        <v>5</v>
      </c>
      <c r="AP66" s="7">
        <v>1</v>
      </c>
      <c r="AQ66" s="7">
        <v>1</v>
      </c>
      <c r="AR66" s="10">
        <v>0</v>
      </c>
      <c r="AS66" s="7">
        <v>0</v>
      </c>
      <c r="AT66" s="7">
        <v>0</v>
      </c>
      <c r="AU66" s="7">
        <v>0</v>
      </c>
      <c r="AV66" s="7">
        <v>0</v>
      </c>
      <c r="AW66" s="7">
        <v>31</v>
      </c>
      <c r="AX66" s="7">
        <v>1</v>
      </c>
      <c r="AY66" s="5">
        <v>6.25</v>
      </c>
      <c r="AZ66" s="7">
        <v>0</v>
      </c>
      <c r="BA66" s="7">
        <v>1</v>
      </c>
      <c r="BB66" s="7">
        <v>0</v>
      </c>
      <c r="BC66" s="7">
        <v>1</v>
      </c>
      <c r="BD66" s="7">
        <v>0</v>
      </c>
      <c r="BE66" s="7">
        <v>1</v>
      </c>
      <c r="BF66" s="7">
        <v>0</v>
      </c>
      <c r="BG66" s="7">
        <v>0</v>
      </c>
      <c r="BH66" s="7">
        <v>2</v>
      </c>
      <c r="BI66" s="7">
        <v>0</v>
      </c>
    </row>
    <row r="67" spans="1:61" ht="20.100000000000001" customHeight="1" x14ac:dyDescent="0.25">
      <c r="A67" s="3" t="s">
        <v>23</v>
      </c>
      <c r="B67" s="3">
        <v>3</v>
      </c>
      <c r="C67" s="8">
        <v>44276</v>
      </c>
      <c r="D67" s="9">
        <v>0.28819444444444448</v>
      </c>
      <c r="E67" s="4">
        <v>45</v>
      </c>
      <c r="F67" s="3">
        <v>0</v>
      </c>
      <c r="G67" s="3">
        <v>0</v>
      </c>
      <c r="H67" s="3">
        <v>0</v>
      </c>
      <c r="I67" s="3">
        <v>0</v>
      </c>
      <c r="J67" s="9">
        <v>0.28125</v>
      </c>
      <c r="K67" s="3">
        <v>139.4</v>
      </c>
      <c r="L67" s="11">
        <f t="shared" ref="L67" si="92">K67-K66</f>
        <v>-1</v>
      </c>
      <c r="M67" s="5">
        <f t="shared" ref="M67" si="93">AB66</f>
        <v>1669.5</v>
      </c>
      <c r="N67" s="11">
        <v>31</v>
      </c>
      <c r="O67" s="11">
        <v>32.25</v>
      </c>
      <c r="P67" s="11">
        <v>10.625</v>
      </c>
      <c r="Q67" s="11">
        <v>10.625</v>
      </c>
      <c r="R67" s="11">
        <v>19.25</v>
      </c>
      <c r="S67" s="11">
        <v>19.5</v>
      </c>
      <c r="T67" s="11">
        <v>11</v>
      </c>
      <c r="U67" s="11">
        <v>12</v>
      </c>
      <c r="V67" s="11">
        <v>17</v>
      </c>
      <c r="W67" s="11">
        <v>13</v>
      </c>
      <c r="X67" s="11">
        <v>7</v>
      </c>
      <c r="Y67" s="11">
        <v>7</v>
      </c>
      <c r="Z67" s="3" t="s">
        <v>447</v>
      </c>
      <c r="AO67" s="7">
        <v>4</v>
      </c>
      <c r="AP67" s="7">
        <v>1</v>
      </c>
      <c r="AQ67" s="7">
        <v>1</v>
      </c>
      <c r="AR67" s="10">
        <v>0</v>
      </c>
      <c r="AS67" s="7">
        <v>0</v>
      </c>
      <c r="AT67" s="7">
        <v>0</v>
      </c>
      <c r="AU67" s="7">
        <v>0</v>
      </c>
      <c r="AV67" s="7">
        <v>0</v>
      </c>
      <c r="AW67" s="7">
        <v>31</v>
      </c>
      <c r="AX67" s="7">
        <v>1</v>
      </c>
      <c r="AY67" s="5">
        <v>6</v>
      </c>
      <c r="AZ67" s="7">
        <v>1</v>
      </c>
      <c r="BA67" s="7">
        <v>1</v>
      </c>
      <c r="BB67" s="7">
        <v>1</v>
      </c>
      <c r="BC67" s="7">
        <v>1</v>
      </c>
      <c r="BD67" s="7">
        <v>1</v>
      </c>
      <c r="BE67" s="7">
        <v>1</v>
      </c>
      <c r="BF67" s="7">
        <v>0</v>
      </c>
      <c r="BG67" s="7">
        <v>0</v>
      </c>
      <c r="BH67" s="7">
        <v>0</v>
      </c>
      <c r="BI67" s="7">
        <v>0</v>
      </c>
    </row>
    <row r="68" spans="1:61" ht="20.100000000000001" customHeight="1" x14ac:dyDescent="0.25"/>
    <row r="69" spans="1:61" ht="20.100000000000001" customHeight="1" x14ac:dyDescent="0.25"/>
    <row r="70" spans="1:61" ht="20.100000000000001" customHeight="1" x14ac:dyDescent="0.25"/>
    <row r="71" spans="1:61" ht="20.100000000000001" customHeight="1" x14ac:dyDescent="0.25"/>
    <row r="72" spans="1:61" ht="20.100000000000001" customHeight="1" x14ac:dyDescent="0.25"/>
    <row r="73" spans="1:61" ht="20.100000000000001" customHeight="1" x14ac:dyDescent="0.25"/>
    <row r="74" spans="1:61" ht="20.100000000000001" customHeight="1" x14ac:dyDescent="0.25"/>
    <row r="75" spans="1:61" ht="20.100000000000001" customHeight="1" x14ac:dyDescent="0.25"/>
    <row r="76" spans="1:61" ht="20.100000000000001" customHeight="1" x14ac:dyDescent="0.25"/>
    <row r="77" spans="1:61" ht="20.100000000000001" customHeight="1" x14ac:dyDescent="0.25"/>
    <row r="78" spans="1:61" ht="20.100000000000001" customHeight="1" x14ac:dyDescent="0.25"/>
    <row r="79" spans="1:61" ht="20.100000000000001" customHeight="1" x14ac:dyDescent="0.25"/>
    <row r="80" spans="1:61" ht="20.100000000000001" customHeight="1" x14ac:dyDescent="0.25"/>
    <row r="81" ht="20.100000000000001" customHeight="1" x14ac:dyDescent="0.25"/>
    <row r="82" ht="20.100000000000001" customHeight="1" x14ac:dyDescent="0.25"/>
    <row r="83" ht="20.100000000000001" customHeight="1" x14ac:dyDescent="0.25"/>
    <row r="84" ht="20.100000000000001" customHeight="1" x14ac:dyDescent="0.25"/>
    <row r="85" ht="20.100000000000001" customHeight="1" x14ac:dyDescent="0.25"/>
    <row r="86" ht="20.100000000000001" customHeight="1" x14ac:dyDescent="0.25"/>
    <row r="87" ht="20.100000000000001" customHeight="1" x14ac:dyDescent="0.25"/>
    <row r="88" ht="20.100000000000001" customHeight="1" x14ac:dyDescent="0.25"/>
    <row r="89" ht="20.100000000000001" customHeight="1" x14ac:dyDescent="0.25"/>
    <row r="90" ht="20.100000000000001" customHeight="1" x14ac:dyDescent="0.25"/>
    <row r="91" ht="20.100000000000001" customHeight="1" x14ac:dyDescent="0.25"/>
    <row r="92" ht="20.100000000000001" customHeight="1" x14ac:dyDescent="0.25"/>
    <row r="93" ht="20.100000000000001" customHeight="1" x14ac:dyDescent="0.25"/>
    <row r="94" ht="20.100000000000001" customHeight="1" x14ac:dyDescent="0.25"/>
    <row r="95" ht="20.100000000000001" customHeight="1" x14ac:dyDescent="0.25"/>
    <row r="96" ht="20.100000000000001" customHeight="1" x14ac:dyDescent="0.25"/>
    <row r="97" ht="20.100000000000001" customHeight="1" x14ac:dyDescent="0.25"/>
    <row r="98" ht="20.100000000000001" customHeight="1" x14ac:dyDescent="0.25"/>
    <row r="99" ht="20.100000000000001" customHeight="1" x14ac:dyDescent="0.25"/>
    <row r="100" ht="20.100000000000001" customHeight="1" x14ac:dyDescent="0.25"/>
    <row r="101" ht="20.100000000000001" customHeight="1" x14ac:dyDescent="0.25"/>
    <row r="102" ht="20.100000000000001" customHeight="1" x14ac:dyDescent="0.25"/>
    <row r="103" ht="20.100000000000001" customHeight="1" x14ac:dyDescent="0.25"/>
    <row r="104" ht="20.100000000000001" customHeight="1" x14ac:dyDescent="0.25"/>
    <row r="105" ht="20.100000000000001" customHeight="1" x14ac:dyDescent="0.25"/>
    <row r="106" ht="20.100000000000001" customHeight="1" x14ac:dyDescent="0.25"/>
    <row r="107" ht="20.100000000000001" customHeight="1" x14ac:dyDescent="0.25"/>
    <row r="108" ht="20.100000000000001" customHeight="1" x14ac:dyDescent="0.25"/>
    <row r="109" ht="20.100000000000001" customHeight="1" x14ac:dyDescent="0.25"/>
    <row r="110" ht="20.100000000000001" customHeight="1" x14ac:dyDescent="0.25"/>
    <row r="111" ht="20.100000000000001" customHeight="1" x14ac:dyDescent="0.25"/>
    <row r="112" ht="20.100000000000001" customHeight="1" x14ac:dyDescent="0.25"/>
    <row r="113" ht="20.100000000000001" customHeight="1" x14ac:dyDescent="0.25"/>
    <row r="114" ht="20.100000000000001" customHeight="1" x14ac:dyDescent="0.25"/>
    <row r="115" ht="20.100000000000001" customHeight="1" x14ac:dyDescent="0.25"/>
    <row r="116" ht="20.100000000000001" customHeight="1" x14ac:dyDescent="0.25"/>
    <row r="117" ht="20.100000000000001" customHeight="1" x14ac:dyDescent="0.25"/>
    <row r="118" ht="20.100000000000001" customHeight="1" x14ac:dyDescent="0.25"/>
    <row r="119" ht="20.100000000000001" customHeight="1" x14ac:dyDescent="0.25"/>
    <row r="120" ht="20.100000000000001" customHeight="1" x14ac:dyDescent="0.25"/>
    <row r="121" ht="20.100000000000001" customHeight="1" x14ac:dyDescent="0.25"/>
    <row r="122" ht="20.100000000000001" customHeight="1" x14ac:dyDescent="0.25"/>
    <row r="123" ht="20.100000000000001" customHeight="1" x14ac:dyDescent="0.25"/>
    <row r="124" ht="20.100000000000001" customHeight="1" x14ac:dyDescent="0.25"/>
    <row r="125" ht="20.100000000000001" customHeight="1" x14ac:dyDescent="0.25"/>
    <row r="126" ht="20.100000000000001" customHeight="1" x14ac:dyDescent="0.25"/>
    <row r="127" ht="20.100000000000001" customHeight="1" x14ac:dyDescent="0.25"/>
    <row r="128" ht="20.100000000000001" customHeight="1" x14ac:dyDescent="0.25"/>
    <row r="129" ht="20.100000000000001" customHeight="1" x14ac:dyDescent="0.25"/>
    <row r="130" ht="20.100000000000001" customHeight="1" x14ac:dyDescent="0.25"/>
    <row r="131" ht="20.100000000000001" customHeight="1" x14ac:dyDescent="0.25"/>
    <row r="132" ht="20.100000000000001" customHeight="1" x14ac:dyDescent="0.25"/>
    <row r="133" ht="20.100000000000001" customHeight="1" x14ac:dyDescent="0.25"/>
    <row r="134" ht="20.100000000000001" customHeight="1" x14ac:dyDescent="0.25"/>
    <row r="135" ht="20.100000000000001" customHeight="1" x14ac:dyDescent="0.25"/>
    <row r="136" ht="20.100000000000001" customHeight="1" x14ac:dyDescent="0.25"/>
    <row r="137" ht="20.100000000000001" customHeight="1" x14ac:dyDescent="0.25"/>
    <row r="138" ht="20.100000000000001" customHeight="1" x14ac:dyDescent="0.25"/>
    <row r="139" ht="20.100000000000001" customHeight="1" x14ac:dyDescent="0.25"/>
    <row r="140" ht="20.100000000000001" customHeight="1" x14ac:dyDescent="0.25"/>
    <row r="141" ht="20.100000000000001" customHeight="1" x14ac:dyDescent="0.25"/>
    <row r="142" ht="20.100000000000001" customHeight="1" x14ac:dyDescent="0.25"/>
    <row r="143" ht="20.100000000000001" customHeight="1" x14ac:dyDescent="0.25"/>
    <row r="144" ht="20.100000000000001" customHeight="1" x14ac:dyDescent="0.25"/>
    <row r="145" ht="20.100000000000001" customHeight="1" x14ac:dyDescent="0.25"/>
    <row r="146" ht="20.100000000000001" customHeight="1" x14ac:dyDescent="0.25"/>
    <row r="147" ht="20.100000000000001" customHeight="1" x14ac:dyDescent="0.25"/>
    <row r="148" ht="20.100000000000001" customHeight="1" x14ac:dyDescent="0.25"/>
    <row r="149" ht="20.100000000000001" customHeight="1" x14ac:dyDescent="0.25"/>
    <row r="150" ht="20.100000000000001" customHeight="1" x14ac:dyDescent="0.25"/>
    <row r="151" ht="20.100000000000001" customHeight="1" x14ac:dyDescent="0.25"/>
    <row r="152" ht="20.100000000000001" customHeight="1" x14ac:dyDescent="0.25"/>
    <row r="153" ht="20.100000000000001" customHeight="1" x14ac:dyDescent="0.25"/>
    <row r="154" ht="20.100000000000001" customHeight="1" x14ac:dyDescent="0.25"/>
    <row r="155" ht="20.100000000000001" customHeight="1" x14ac:dyDescent="0.25"/>
    <row r="156" ht="20.100000000000001" customHeight="1" x14ac:dyDescent="0.25"/>
    <row r="157" ht="20.100000000000001" customHeight="1" x14ac:dyDescent="0.25"/>
    <row r="158" ht="20.100000000000001" customHeight="1" x14ac:dyDescent="0.25"/>
    <row r="159" ht="20.100000000000001" customHeight="1" x14ac:dyDescent="0.25"/>
    <row r="160" ht="20.100000000000001" customHeight="1" x14ac:dyDescent="0.25"/>
    <row r="161" ht="20.100000000000001" customHeight="1" x14ac:dyDescent="0.25"/>
    <row r="162" ht="20.100000000000001" customHeight="1" x14ac:dyDescent="0.25"/>
    <row r="163" ht="20.100000000000001" customHeight="1" x14ac:dyDescent="0.25"/>
    <row r="164" ht="20.100000000000001" customHeight="1" x14ac:dyDescent="0.25"/>
    <row r="165" ht="20.100000000000001" customHeight="1" x14ac:dyDescent="0.25"/>
    <row r="166" ht="20.100000000000001" customHeight="1" x14ac:dyDescent="0.25"/>
    <row r="167" ht="20.100000000000001" customHeight="1" x14ac:dyDescent="0.25"/>
    <row r="168" ht="20.100000000000001" customHeight="1" x14ac:dyDescent="0.25"/>
    <row r="169" ht="20.100000000000001" customHeight="1" x14ac:dyDescent="0.25"/>
    <row r="170" ht="20.100000000000001" customHeight="1" x14ac:dyDescent="0.25"/>
    <row r="171" ht="20.100000000000001" customHeight="1" x14ac:dyDescent="0.25"/>
    <row r="172" ht="20.100000000000001" customHeight="1" x14ac:dyDescent="0.25"/>
    <row r="173" ht="20.100000000000001" customHeight="1" x14ac:dyDescent="0.25"/>
    <row r="174" ht="20.100000000000001" customHeight="1" x14ac:dyDescent="0.25"/>
    <row r="175" ht="20.100000000000001" customHeight="1" x14ac:dyDescent="0.25"/>
    <row r="176" ht="20.100000000000001" customHeight="1" x14ac:dyDescent="0.25"/>
    <row r="177" ht="20.100000000000001" customHeight="1" x14ac:dyDescent="0.25"/>
    <row r="178" ht="20.100000000000001" customHeight="1" x14ac:dyDescent="0.25"/>
    <row r="179" ht="20.100000000000001" customHeight="1" x14ac:dyDescent="0.25"/>
    <row r="180" ht="20.100000000000001" customHeight="1" x14ac:dyDescent="0.25"/>
    <row r="181" ht="20.100000000000001" customHeight="1" x14ac:dyDescent="0.25"/>
  </sheetData>
  <phoneticPr fontId="1" type="noConversion"/>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608201-0651-4E9B-9EC9-991C0BB98E8A}">
  <dimension ref="A1:B1032253"/>
  <sheetViews>
    <sheetView topLeftCell="A56" workbookViewId="0">
      <selection activeCell="B62" sqref="B62"/>
    </sheetView>
  </sheetViews>
  <sheetFormatPr defaultRowHeight="15" x14ac:dyDescent="0.25"/>
  <cols>
    <col min="1" max="1" width="29.28515625" style="13" customWidth="1"/>
    <col min="2" max="2" width="77.42578125" customWidth="1"/>
  </cols>
  <sheetData>
    <row r="1" spans="1:2" x14ac:dyDescent="0.25">
      <c r="A1" s="13" t="s">
        <v>0</v>
      </c>
      <c r="B1" t="s">
        <v>244</v>
      </c>
    </row>
    <row r="2" spans="1:2" x14ac:dyDescent="0.25">
      <c r="A2" s="13" t="s">
        <v>125</v>
      </c>
      <c r="B2" t="s">
        <v>301</v>
      </c>
    </row>
    <row r="3" spans="1:2" x14ac:dyDescent="0.25">
      <c r="A3" s="13" t="s">
        <v>1</v>
      </c>
      <c r="B3" t="s">
        <v>245</v>
      </c>
    </row>
    <row r="4" spans="1:2" x14ac:dyDescent="0.25">
      <c r="A4" s="13" t="s">
        <v>2</v>
      </c>
      <c r="B4" t="s">
        <v>246</v>
      </c>
    </row>
    <row r="5" spans="1:2" x14ac:dyDescent="0.25">
      <c r="A5" s="14" t="s">
        <v>25</v>
      </c>
      <c r="B5" t="s">
        <v>247</v>
      </c>
    </row>
    <row r="6" spans="1:2" x14ac:dyDescent="0.25">
      <c r="A6" s="13" t="s">
        <v>126</v>
      </c>
      <c r="B6" t="s">
        <v>248</v>
      </c>
    </row>
    <row r="7" spans="1:2" x14ac:dyDescent="0.25">
      <c r="A7" s="13" t="s">
        <v>127</v>
      </c>
      <c r="B7" t="s">
        <v>249</v>
      </c>
    </row>
    <row r="8" spans="1:2" x14ac:dyDescent="0.25">
      <c r="A8" s="13" t="s">
        <v>88</v>
      </c>
      <c r="B8" t="s">
        <v>243</v>
      </c>
    </row>
    <row r="9" spans="1:2" x14ac:dyDescent="0.25">
      <c r="A9" s="13" t="s">
        <v>251</v>
      </c>
      <c r="B9" t="s">
        <v>252</v>
      </c>
    </row>
    <row r="10" spans="1:2" x14ac:dyDescent="0.25">
      <c r="A10" s="13" t="s">
        <v>22</v>
      </c>
      <c r="B10" t="s">
        <v>242</v>
      </c>
    </row>
    <row r="11" spans="1:2" x14ac:dyDescent="0.25">
      <c r="A11" s="13" t="s">
        <v>3</v>
      </c>
      <c r="B11" t="s">
        <v>241</v>
      </c>
    </row>
    <row r="12" spans="1:2" x14ac:dyDescent="0.25">
      <c r="A12" s="15" t="s">
        <v>95</v>
      </c>
      <c r="B12" t="s">
        <v>240</v>
      </c>
    </row>
    <row r="13" spans="1:2" x14ac:dyDescent="0.25">
      <c r="A13" s="15" t="s">
        <v>94</v>
      </c>
      <c r="B13" t="s">
        <v>239</v>
      </c>
    </row>
    <row r="14" spans="1:2" x14ac:dyDescent="0.25">
      <c r="A14" s="15" t="s">
        <v>4</v>
      </c>
      <c r="B14" t="s">
        <v>238</v>
      </c>
    </row>
    <row r="15" spans="1:2" x14ac:dyDescent="0.25">
      <c r="A15" s="15" t="s">
        <v>118</v>
      </c>
      <c r="B15" t="s">
        <v>237</v>
      </c>
    </row>
    <row r="16" spans="1:2" x14ac:dyDescent="0.25">
      <c r="A16" s="15" t="s">
        <v>5</v>
      </c>
      <c r="B16" t="s">
        <v>236</v>
      </c>
    </row>
    <row r="17" spans="1:2" x14ac:dyDescent="0.25">
      <c r="A17" s="15" t="s">
        <v>6</v>
      </c>
      <c r="B17" t="s">
        <v>235</v>
      </c>
    </row>
    <row r="18" spans="1:2" x14ac:dyDescent="0.25">
      <c r="A18" s="15" t="s">
        <v>7</v>
      </c>
      <c r="B18" t="s">
        <v>234</v>
      </c>
    </row>
    <row r="19" spans="1:2" x14ac:dyDescent="0.25">
      <c r="A19" s="15" t="s">
        <v>8</v>
      </c>
      <c r="B19" t="s">
        <v>233</v>
      </c>
    </row>
    <row r="20" spans="1:2" x14ac:dyDescent="0.25">
      <c r="A20" s="15" t="s">
        <v>9</v>
      </c>
      <c r="B20" t="s">
        <v>229</v>
      </c>
    </row>
    <row r="21" spans="1:2" x14ac:dyDescent="0.25">
      <c r="A21" s="15" t="s">
        <v>10</v>
      </c>
      <c r="B21" t="s">
        <v>230</v>
      </c>
    </row>
    <row r="22" spans="1:2" x14ac:dyDescent="0.25">
      <c r="A22" s="15" t="s">
        <v>11</v>
      </c>
      <c r="B22" t="s">
        <v>227</v>
      </c>
    </row>
    <row r="23" spans="1:2" x14ac:dyDescent="0.25">
      <c r="A23" s="15" t="s">
        <v>12</v>
      </c>
      <c r="B23" t="s">
        <v>228</v>
      </c>
    </row>
    <row r="24" spans="1:2" x14ac:dyDescent="0.25">
      <c r="A24" s="15" t="s">
        <v>13</v>
      </c>
      <c r="B24" t="s">
        <v>231</v>
      </c>
    </row>
    <row r="25" spans="1:2" x14ac:dyDescent="0.25">
      <c r="A25" s="15" t="s">
        <v>14</v>
      </c>
      <c r="B25" t="s">
        <v>232</v>
      </c>
    </row>
    <row r="26" spans="1:2" x14ac:dyDescent="0.25">
      <c r="A26" s="13" t="s">
        <v>31</v>
      </c>
      <c r="B26" t="s">
        <v>226</v>
      </c>
    </row>
    <row r="27" spans="1:2" x14ac:dyDescent="0.25">
      <c r="A27" s="13" t="s">
        <v>87</v>
      </c>
      <c r="B27" t="s">
        <v>225</v>
      </c>
    </row>
    <row r="28" spans="1:2" x14ac:dyDescent="0.25">
      <c r="A28" s="15" t="s">
        <v>30</v>
      </c>
      <c r="B28" t="s">
        <v>223</v>
      </c>
    </row>
    <row r="29" spans="1:2" x14ac:dyDescent="0.25">
      <c r="A29" s="15" t="s">
        <v>26</v>
      </c>
      <c r="B29" t="s">
        <v>222</v>
      </c>
    </row>
    <row r="30" spans="1:2" x14ac:dyDescent="0.25">
      <c r="A30" s="15" t="s">
        <v>27</v>
      </c>
      <c r="B30" t="s">
        <v>221</v>
      </c>
    </row>
    <row r="31" spans="1:2" x14ac:dyDescent="0.25">
      <c r="A31" s="15" t="s">
        <v>28</v>
      </c>
      <c r="B31" t="s">
        <v>220</v>
      </c>
    </row>
    <row r="32" spans="1:2" x14ac:dyDescent="0.25">
      <c r="A32" s="15" t="s">
        <v>89</v>
      </c>
      <c r="B32" t="s">
        <v>224</v>
      </c>
    </row>
    <row r="33" spans="1:2" x14ac:dyDescent="0.25">
      <c r="A33" s="15" t="s">
        <v>90</v>
      </c>
      <c r="B33" t="s">
        <v>219</v>
      </c>
    </row>
    <row r="34" spans="1:2" x14ac:dyDescent="0.25">
      <c r="A34" s="15" t="s">
        <v>185</v>
      </c>
      <c r="B34" t="s">
        <v>218</v>
      </c>
    </row>
    <row r="35" spans="1:2" x14ac:dyDescent="0.25">
      <c r="A35" s="15" t="s">
        <v>186</v>
      </c>
      <c r="B35" t="s">
        <v>216</v>
      </c>
    </row>
    <row r="36" spans="1:2" x14ac:dyDescent="0.25">
      <c r="A36" s="15" t="s">
        <v>187</v>
      </c>
      <c r="B36" t="s">
        <v>215</v>
      </c>
    </row>
    <row r="37" spans="1:2" x14ac:dyDescent="0.25">
      <c r="A37" s="15" t="s">
        <v>188</v>
      </c>
      <c r="B37" t="s">
        <v>214</v>
      </c>
    </row>
    <row r="38" spans="1:2" x14ac:dyDescent="0.25">
      <c r="A38" s="15" t="s">
        <v>189</v>
      </c>
      <c r="B38" t="s">
        <v>217</v>
      </c>
    </row>
    <row r="39" spans="1:2" x14ac:dyDescent="0.25">
      <c r="A39" s="15" t="s">
        <v>190</v>
      </c>
      <c r="B39" t="s">
        <v>213</v>
      </c>
    </row>
    <row r="40" spans="1:2" x14ac:dyDescent="0.25">
      <c r="A40" s="15" t="s">
        <v>272</v>
      </c>
      <c r="B40" t="s">
        <v>212</v>
      </c>
    </row>
    <row r="41" spans="1:2" x14ac:dyDescent="0.25">
      <c r="A41" s="14" t="s">
        <v>47</v>
      </c>
      <c r="B41" t="s">
        <v>211</v>
      </c>
    </row>
    <row r="42" spans="1:2" x14ac:dyDescent="0.25">
      <c r="A42" s="14" t="s">
        <v>119</v>
      </c>
      <c r="B42" t="s">
        <v>210</v>
      </c>
    </row>
    <row r="43" spans="1:2" x14ac:dyDescent="0.25">
      <c r="A43" s="14" t="s">
        <v>86</v>
      </c>
      <c r="B43" t="s">
        <v>302</v>
      </c>
    </row>
    <row r="44" spans="1:2" x14ac:dyDescent="0.25">
      <c r="A44" s="13" t="s">
        <v>21</v>
      </c>
      <c r="B44" t="s">
        <v>209</v>
      </c>
    </row>
    <row r="45" spans="1:2" x14ac:dyDescent="0.25">
      <c r="A45" s="14" t="s">
        <v>92</v>
      </c>
      <c r="B45" t="s">
        <v>208</v>
      </c>
    </row>
    <row r="46" spans="1:2" x14ac:dyDescent="0.25">
      <c r="A46" s="14" t="s">
        <v>93</v>
      </c>
      <c r="B46" t="s">
        <v>207</v>
      </c>
    </row>
    <row r="47" spans="1:2" x14ac:dyDescent="0.25">
      <c r="A47" s="14" t="s">
        <v>99</v>
      </c>
      <c r="B47" t="s">
        <v>206</v>
      </c>
    </row>
    <row r="48" spans="1:2" x14ac:dyDescent="0.25">
      <c r="A48" s="14" t="s">
        <v>100</v>
      </c>
      <c r="B48" t="s">
        <v>205</v>
      </c>
    </row>
    <row r="49" spans="1:2" x14ac:dyDescent="0.25">
      <c r="A49" s="13" t="s">
        <v>24</v>
      </c>
      <c r="B49" t="s">
        <v>204</v>
      </c>
    </row>
    <row r="50" spans="1:2" x14ac:dyDescent="0.25">
      <c r="A50" s="13" t="s">
        <v>83</v>
      </c>
      <c r="B50" t="s">
        <v>203</v>
      </c>
    </row>
    <row r="51" spans="1:2" x14ac:dyDescent="0.25">
      <c r="A51" s="13" t="s">
        <v>106</v>
      </c>
      <c r="B51" t="s">
        <v>202</v>
      </c>
    </row>
    <row r="52" spans="1:2" x14ac:dyDescent="0.25">
      <c r="A52" s="13" t="s">
        <v>101</v>
      </c>
      <c r="B52" t="s">
        <v>201</v>
      </c>
    </row>
    <row r="53" spans="1:2" x14ac:dyDescent="0.25">
      <c r="A53" s="13" t="s">
        <v>102</v>
      </c>
      <c r="B53" t="s">
        <v>197</v>
      </c>
    </row>
    <row r="54" spans="1:2" x14ac:dyDescent="0.25">
      <c r="A54" s="13" t="s">
        <v>103</v>
      </c>
      <c r="B54" t="s">
        <v>198</v>
      </c>
    </row>
    <row r="55" spans="1:2" x14ac:dyDescent="0.25">
      <c r="A55" s="13" t="s">
        <v>104</v>
      </c>
      <c r="B55" t="s">
        <v>199</v>
      </c>
    </row>
    <row r="56" spans="1:2" x14ac:dyDescent="0.25">
      <c r="A56" s="13" t="s">
        <v>105</v>
      </c>
      <c r="B56" t="s">
        <v>200</v>
      </c>
    </row>
    <row r="57" spans="1:2" x14ac:dyDescent="0.25">
      <c r="A57" s="3" t="s">
        <v>382</v>
      </c>
      <c r="B57" t="s">
        <v>387</v>
      </c>
    </row>
    <row r="58" spans="1:2" x14ac:dyDescent="0.25">
      <c r="A58" s="3" t="s">
        <v>383</v>
      </c>
      <c r="B58" t="s">
        <v>388</v>
      </c>
    </row>
    <row r="59" spans="1:2" x14ac:dyDescent="0.25">
      <c r="A59" s="3" t="s">
        <v>384</v>
      </c>
      <c r="B59" t="s">
        <v>389</v>
      </c>
    </row>
    <row r="60" spans="1:2" x14ac:dyDescent="0.25">
      <c r="A60" s="3" t="s">
        <v>385</v>
      </c>
      <c r="B60" t="s">
        <v>390</v>
      </c>
    </row>
    <row r="61" spans="1:2" x14ac:dyDescent="0.25">
      <c r="A61" s="3" t="s">
        <v>386</v>
      </c>
      <c r="B61" t="s">
        <v>391</v>
      </c>
    </row>
    <row r="16386" spans="1:1" x14ac:dyDescent="0.25">
      <c r="A16386" s="13" t="s">
        <v>0</v>
      </c>
    </row>
    <row r="16387" spans="1:1" x14ac:dyDescent="0.25">
      <c r="A16387" s="13" t="s">
        <v>125</v>
      </c>
    </row>
    <row r="16388" spans="1:1" x14ac:dyDescent="0.25">
      <c r="A16388" s="13" t="s">
        <v>1</v>
      </c>
    </row>
    <row r="16389" spans="1:1" x14ac:dyDescent="0.25">
      <c r="A16389" s="13" t="s">
        <v>2</v>
      </c>
    </row>
    <row r="16390" spans="1:1" x14ac:dyDescent="0.25">
      <c r="A16390" s="14" t="s">
        <v>25</v>
      </c>
    </row>
    <row r="16391" spans="1:1" x14ac:dyDescent="0.25">
      <c r="A16391" s="13" t="s">
        <v>126</v>
      </c>
    </row>
    <row r="16392" spans="1:1" x14ac:dyDescent="0.25">
      <c r="A16392" s="13" t="s">
        <v>127</v>
      </c>
    </row>
    <row r="16393" spans="1:1" x14ac:dyDescent="0.25">
      <c r="A16393" s="13" t="s">
        <v>88</v>
      </c>
    </row>
    <row r="16394" spans="1:1" x14ac:dyDescent="0.25">
      <c r="A16394" s="13" t="s">
        <v>22</v>
      </c>
    </row>
    <row r="16395" spans="1:1" x14ac:dyDescent="0.25">
      <c r="A16395" s="13" t="s">
        <v>3</v>
      </c>
    </row>
    <row r="16396" spans="1:1" x14ac:dyDescent="0.25">
      <c r="A16396" s="15" t="s">
        <v>95</v>
      </c>
    </row>
    <row r="16397" spans="1:1" x14ac:dyDescent="0.25">
      <c r="A16397" s="15" t="s">
        <v>94</v>
      </c>
    </row>
    <row r="16398" spans="1:1" x14ac:dyDescent="0.25">
      <c r="A16398" s="15" t="s">
        <v>4</v>
      </c>
    </row>
    <row r="16399" spans="1:1" x14ac:dyDescent="0.25">
      <c r="A16399" s="15" t="s">
        <v>118</v>
      </c>
    </row>
    <row r="16400" spans="1:1" x14ac:dyDescent="0.25">
      <c r="A16400" s="15" t="s">
        <v>5</v>
      </c>
    </row>
    <row r="16401" spans="1:1" x14ac:dyDescent="0.25">
      <c r="A16401" s="15" t="s">
        <v>6</v>
      </c>
    </row>
    <row r="16402" spans="1:1" x14ac:dyDescent="0.25">
      <c r="A16402" s="15" t="s">
        <v>7</v>
      </c>
    </row>
    <row r="16403" spans="1:1" x14ac:dyDescent="0.25">
      <c r="A16403" s="15" t="s">
        <v>8</v>
      </c>
    </row>
    <row r="16404" spans="1:1" x14ac:dyDescent="0.25">
      <c r="A16404" s="15" t="s">
        <v>9</v>
      </c>
    </row>
    <row r="16405" spans="1:1" x14ac:dyDescent="0.25">
      <c r="A16405" s="15" t="s">
        <v>10</v>
      </c>
    </row>
    <row r="16406" spans="1:1" x14ac:dyDescent="0.25">
      <c r="A16406" s="15" t="s">
        <v>11</v>
      </c>
    </row>
    <row r="16407" spans="1:1" x14ac:dyDescent="0.25">
      <c r="A16407" s="15" t="s">
        <v>12</v>
      </c>
    </row>
    <row r="16408" spans="1:1" x14ac:dyDescent="0.25">
      <c r="A16408" s="15" t="s">
        <v>13</v>
      </c>
    </row>
    <row r="16409" spans="1:1" x14ac:dyDescent="0.25">
      <c r="A16409" s="15" t="s">
        <v>14</v>
      </c>
    </row>
    <row r="16410" spans="1:1" x14ac:dyDescent="0.25">
      <c r="A16410" s="13" t="s">
        <v>31</v>
      </c>
    </row>
    <row r="16411" spans="1:1" x14ac:dyDescent="0.25">
      <c r="A16411" s="13" t="s">
        <v>87</v>
      </c>
    </row>
    <row r="16412" spans="1:1" x14ac:dyDescent="0.25">
      <c r="A16412" s="15" t="s">
        <v>30</v>
      </c>
    </row>
    <row r="16413" spans="1:1" x14ac:dyDescent="0.25">
      <c r="A16413" s="15" t="s">
        <v>26</v>
      </c>
    </row>
    <row r="16414" spans="1:1" x14ac:dyDescent="0.25">
      <c r="A16414" s="15" t="s">
        <v>27</v>
      </c>
    </row>
    <row r="16415" spans="1:1" x14ac:dyDescent="0.25">
      <c r="A16415" s="15" t="s">
        <v>28</v>
      </c>
    </row>
    <row r="16416" spans="1:1" x14ac:dyDescent="0.25">
      <c r="A16416" s="15" t="s">
        <v>89</v>
      </c>
    </row>
    <row r="16417" spans="1:1" x14ac:dyDescent="0.25">
      <c r="A16417" s="15" t="s">
        <v>90</v>
      </c>
    </row>
    <row r="16418" spans="1:1" x14ac:dyDescent="0.25">
      <c r="A16418" s="15" t="s">
        <v>185</v>
      </c>
    </row>
    <row r="16419" spans="1:1" x14ac:dyDescent="0.25">
      <c r="A16419" s="15" t="s">
        <v>186</v>
      </c>
    </row>
    <row r="16420" spans="1:1" x14ac:dyDescent="0.25">
      <c r="A16420" s="15" t="s">
        <v>187</v>
      </c>
    </row>
    <row r="16421" spans="1:1" x14ac:dyDescent="0.25">
      <c r="A16421" s="15" t="s">
        <v>188</v>
      </c>
    </row>
    <row r="16422" spans="1:1" x14ac:dyDescent="0.25">
      <c r="A16422" s="15" t="s">
        <v>189</v>
      </c>
    </row>
    <row r="16423" spans="1:1" x14ac:dyDescent="0.25">
      <c r="A16423" s="15" t="s">
        <v>190</v>
      </c>
    </row>
    <row r="16424" spans="1:1" x14ac:dyDescent="0.25">
      <c r="A16424" s="15" t="s">
        <v>191</v>
      </c>
    </row>
    <row r="16425" spans="1:1" x14ac:dyDescent="0.25">
      <c r="A16425" s="14" t="s">
        <v>47</v>
      </c>
    </row>
    <row r="16426" spans="1:1" x14ac:dyDescent="0.25">
      <c r="A16426" s="14" t="s">
        <v>119</v>
      </c>
    </row>
    <row r="16427" spans="1:1" x14ac:dyDescent="0.25">
      <c r="A16427" s="14" t="s">
        <v>86</v>
      </c>
    </row>
    <row r="16428" spans="1:1" x14ac:dyDescent="0.25">
      <c r="A16428" s="13" t="s">
        <v>21</v>
      </c>
    </row>
    <row r="16429" spans="1:1" x14ac:dyDescent="0.25">
      <c r="A16429" s="14" t="s">
        <v>92</v>
      </c>
    </row>
    <row r="16430" spans="1:1" x14ac:dyDescent="0.25">
      <c r="A16430" s="14" t="s">
        <v>93</v>
      </c>
    </row>
    <row r="16431" spans="1:1" x14ac:dyDescent="0.25">
      <c r="A16431" s="14" t="s">
        <v>99</v>
      </c>
    </row>
    <row r="16432" spans="1:1" x14ac:dyDescent="0.25">
      <c r="A16432" s="14" t="s">
        <v>100</v>
      </c>
    </row>
    <row r="16433" spans="1:1" x14ac:dyDescent="0.25">
      <c r="A16433" s="13" t="s">
        <v>24</v>
      </c>
    </row>
    <row r="16434" spans="1:1" x14ac:dyDescent="0.25">
      <c r="A16434" s="13" t="s">
        <v>83</v>
      </c>
    </row>
    <row r="16435" spans="1:1" x14ac:dyDescent="0.25">
      <c r="A16435" s="13" t="s">
        <v>106</v>
      </c>
    </row>
    <row r="16436" spans="1:1" x14ac:dyDescent="0.25">
      <c r="A16436" s="13" t="s">
        <v>101</v>
      </c>
    </row>
    <row r="16437" spans="1:1" x14ac:dyDescent="0.25">
      <c r="A16437" s="13" t="s">
        <v>102</v>
      </c>
    </row>
    <row r="16438" spans="1:1" x14ac:dyDescent="0.25">
      <c r="A16438" s="13" t="s">
        <v>103</v>
      </c>
    </row>
    <row r="16439" spans="1:1" x14ac:dyDescent="0.25">
      <c r="A16439" s="13" t="s">
        <v>104</v>
      </c>
    </row>
    <row r="16440" spans="1:1" x14ac:dyDescent="0.25">
      <c r="A16440" s="13" t="s">
        <v>105</v>
      </c>
    </row>
    <row r="32770" spans="1:1" x14ac:dyDescent="0.25">
      <c r="A32770" s="13" t="s">
        <v>0</v>
      </c>
    </row>
    <row r="32771" spans="1:1" x14ac:dyDescent="0.25">
      <c r="A32771" s="13" t="s">
        <v>125</v>
      </c>
    </row>
    <row r="32772" spans="1:1" x14ac:dyDescent="0.25">
      <c r="A32772" s="13" t="s">
        <v>1</v>
      </c>
    </row>
    <row r="32773" spans="1:1" x14ac:dyDescent="0.25">
      <c r="A32773" s="13" t="s">
        <v>2</v>
      </c>
    </row>
    <row r="32774" spans="1:1" x14ac:dyDescent="0.25">
      <c r="A32774" s="14" t="s">
        <v>25</v>
      </c>
    </row>
    <row r="32775" spans="1:1" x14ac:dyDescent="0.25">
      <c r="A32775" s="13" t="s">
        <v>126</v>
      </c>
    </row>
    <row r="32776" spans="1:1" x14ac:dyDescent="0.25">
      <c r="A32776" s="13" t="s">
        <v>127</v>
      </c>
    </row>
    <row r="32777" spans="1:1" x14ac:dyDescent="0.25">
      <c r="A32777" s="13" t="s">
        <v>88</v>
      </c>
    </row>
    <row r="32778" spans="1:1" x14ac:dyDescent="0.25">
      <c r="A32778" s="13" t="s">
        <v>22</v>
      </c>
    </row>
    <row r="32779" spans="1:1" x14ac:dyDescent="0.25">
      <c r="A32779" s="13" t="s">
        <v>3</v>
      </c>
    </row>
    <row r="32780" spans="1:1" x14ac:dyDescent="0.25">
      <c r="A32780" s="15" t="s">
        <v>95</v>
      </c>
    </row>
    <row r="32781" spans="1:1" x14ac:dyDescent="0.25">
      <c r="A32781" s="15" t="s">
        <v>94</v>
      </c>
    </row>
    <row r="32782" spans="1:1" x14ac:dyDescent="0.25">
      <c r="A32782" s="15" t="s">
        <v>4</v>
      </c>
    </row>
    <row r="32783" spans="1:1" x14ac:dyDescent="0.25">
      <c r="A32783" s="15" t="s">
        <v>118</v>
      </c>
    </row>
    <row r="32784" spans="1:1" x14ac:dyDescent="0.25">
      <c r="A32784" s="15" t="s">
        <v>5</v>
      </c>
    </row>
    <row r="32785" spans="1:1" x14ac:dyDescent="0.25">
      <c r="A32785" s="15" t="s">
        <v>6</v>
      </c>
    </row>
    <row r="32786" spans="1:1" x14ac:dyDescent="0.25">
      <c r="A32786" s="15" t="s">
        <v>7</v>
      </c>
    </row>
    <row r="32787" spans="1:1" x14ac:dyDescent="0.25">
      <c r="A32787" s="15" t="s">
        <v>8</v>
      </c>
    </row>
    <row r="32788" spans="1:1" x14ac:dyDescent="0.25">
      <c r="A32788" s="15" t="s">
        <v>9</v>
      </c>
    </row>
    <row r="32789" spans="1:1" x14ac:dyDescent="0.25">
      <c r="A32789" s="15" t="s">
        <v>10</v>
      </c>
    </row>
    <row r="32790" spans="1:1" x14ac:dyDescent="0.25">
      <c r="A32790" s="15" t="s">
        <v>11</v>
      </c>
    </row>
    <row r="32791" spans="1:1" x14ac:dyDescent="0.25">
      <c r="A32791" s="15" t="s">
        <v>12</v>
      </c>
    </row>
    <row r="32792" spans="1:1" x14ac:dyDescent="0.25">
      <c r="A32792" s="15" t="s">
        <v>13</v>
      </c>
    </row>
    <row r="32793" spans="1:1" x14ac:dyDescent="0.25">
      <c r="A32793" s="15" t="s">
        <v>14</v>
      </c>
    </row>
    <row r="32794" spans="1:1" x14ac:dyDescent="0.25">
      <c r="A32794" s="13" t="s">
        <v>31</v>
      </c>
    </row>
    <row r="32795" spans="1:1" x14ac:dyDescent="0.25">
      <c r="A32795" s="13" t="s">
        <v>87</v>
      </c>
    </row>
    <row r="32796" spans="1:1" x14ac:dyDescent="0.25">
      <c r="A32796" s="15" t="s">
        <v>30</v>
      </c>
    </row>
    <row r="32797" spans="1:1" x14ac:dyDescent="0.25">
      <c r="A32797" s="15" t="s">
        <v>26</v>
      </c>
    </row>
    <row r="32798" spans="1:1" x14ac:dyDescent="0.25">
      <c r="A32798" s="15" t="s">
        <v>27</v>
      </c>
    </row>
    <row r="32799" spans="1:1" x14ac:dyDescent="0.25">
      <c r="A32799" s="15" t="s">
        <v>28</v>
      </c>
    </row>
    <row r="32800" spans="1:1" x14ac:dyDescent="0.25">
      <c r="A32800" s="15" t="s">
        <v>89</v>
      </c>
    </row>
    <row r="32801" spans="1:1" x14ac:dyDescent="0.25">
      <c r="A32801" s="15" t="s">
        <v>90</v>
      </c>
    </row>
    <row r="32802" spans="1:1" x14ac:dyDescent="0.25">
      <c r="A32802" s="15" t="s">
        <v>185</v>
      </c>
    </row>
    <row r="32803" spans="1:1" x14ac:dyDescent="0.25">
      <c r="A32803" s="15" t="s">
        <v>186</v>
      </c>
    </row>
    <row r="32804" spans="1:1" x14ac:dyDescent="0.25">
      <c r="A32804" s="15" t="s">
        <v>187</v>
      </c>
    </row>
    <row r="32805" spans="1:1" x14ac:dyDescent="0.25">
      <c r="A32805" s="15" t="s">
        <v>188</v>
      </c>
    </row>
    <row r="32806" spans="1:1" x14ac:dyDescent="0.25">
      <c r="A32806" s="15" t="s">
        <v>189</v>
      </c>
    </row>
    <row r="32807" spans="1:1" x14ac:dyDescent="0.25">
      <c r="A32807" s="15" t="s">
        <v>190</v>
      </c>
    </row>
    <row r="32808" spans="1:1" x14ac:dyDescent="0.25">
      <c r="A32808" s="15" t="s">
        <v>191</v>
      </c>
    </row>
    <row r="32809" spans="1:1" x14ac:dyDescent="0.25">
      <c r="A32809" s="14" t="s">
        <v>47</v>
      </c>
    </row>
    <row r="32810" spans="1:1" x14ac:dyDescent="0.25">
      <c r="A32810" s="14" t="s">
        <v>119</v>
      </c>
    </row>
    <row r="32811" spans="1:1" x14ac:dyDescent="0.25">
      <c r="A32811" s="14" t="s">
        <v>86</v>
      </c>
    </row>
    <row r="32812" spans="1:1" x14ac:dyDescent="0.25">
      <c r="A32812" s="13" t="s">
        <v>21</v>
      </c>
    </row>
    <row r="32813" spans="1:1" x14ac:dyDescent="0.25">
      <c r="A32813" s="14" t="s">
        <v>92</v>
      </c>
    </row>
    <row r="32814" spans="1:1" x14ac:dyDescent="0.25">
      <c r="A32814" s="14" t="s">
        <v>93</v>
      </c>
    </row>
    <row r="32815" spans="1:1" x14ac:dyDescent="0.25">
      <c r="A32815" s="14" t="s">
        <v>99</v>
      </c>
    </row>
    <row r="32816" spans="1:1" x14ac:dyDescent="0.25">
      <c r="A32816" s="14" t="s">
        <v>100</v>
      </c>
    </row>
    <row r="32817" spans="1:1" x14ac:dyDescent="0.25">
      <c r="A32817" s="13" t="s">
        <v>24</v>
      </c>
    </row>
    <row r="32818" spans="1:1" x14ac:dyDescent="0.25">
      <c r="A32818" s="13" t="s">
        <v>83</v>
      </c>
    </row>
    <row r="32819" spans="1:1" x14ac:dyDescent="0.25">
      <c r="A32819" s="13" t="s">
        <v>106</v>
      </c>
    </row>
    <row r="32820" spans="1:1" x14ac:dyDescent="0.25">
      <c r="A32820" s="13" t="s">
        <v>101</v>
      </c>
    </row>
    <row r="32821" spans="1:1" x14ac:dyDescent="0.25">
      <c r="A32821" s="13" t="s">
        <v>102</v>
      </c>
    </row>
    <row r="32822" spans="1:1" x14ac:dyDescent="0.25">
      <c r="A32822" s="13" t="s">
        <v>103</v>
      </c>
    </row>
    <row r="32823" spans="1:1" x14ac:dyDescent="0.25">
      <c r="A32823" s="13" t="s">
        <v>104</v>
      </c>
    </row>
    <row r="32824" spans="1:1" x14ac:dyDescent="0.25">
      <c r="A32824" s="13" t="s">
        <v>105</v>
      </c>
    </row>
    <row r="49154" spans="1:1" x14ac:dyDescent="0.25">
      <c r="A49154" s="13" t="s">
        <v>0</v>
      </c>
    </row>
    <row r="49155" spans="1:1" x14ac:dyDescent="0.25">
      <c r="A49155" s="13" t="s">
        <v>125</v>
      </c>
    </row>
    <row r="49156" spans="1:1" x14ac:dyDescent="0.25">
      <c r="A49156" s="13" t="s">
        <v>1</v>
      </c>
    </row>
    <row r="49157" spans="1:1" x14ac:dyDescent="0.25">
      <c r="A49157" s="13" t="s">
        <v>2</v>
      </c>
    </row>
    <row r="49158" spans="1:1" x14ac:dyDescent="0.25">
      <c r="A49158" s="14" t="s">
        <v>25</v>
      </c>
    </row>
    <row r="49159" spans="1:1" x14ac:dyDescent="0.25">
      <c r="A49159" s="13" t="s">
        <v>126</v>
      </c>
    </row>
    <row r="49160" spans="1:1" x14ac:dyDescent="0.25">
      <c r="A49160" s="13" t="s">
        <v>127</v>
      </c>
    </row>
    <row r="49161" spans="1:1" x14ac:dyDescent="0.25">
      <c r="A49161" s="13" t="s">
        <v>88</v>
      </c>
    </row>
    <row r="49162" spans="1:1" x14ac:dyDescent="0.25">
      <c r="A49162" s="13" t="s">
        <v>22</v>
      </c>
    </row>
    <row r="49163" spans="1:1" x14ac:dyDescent="0.25">
      <c r="A49163" s="13" t="s">
        <v>3</v>
      </c>
    </row>
    <row r="49164" spans="1:1" x14ac:dyDescent="0.25">
      <c r="A49164" s="15" t="s">
        <v>95</v>
      </c>
    </row>
    <row r="49165" spans="1:1" x14ac:dyDescent="0.25">
      <c r="A49165" s="15" t="s">
        <v>94</v>
      </c>
    </row>
    <row r="49166" spans="1:1" x14ac:dyDescent="0.25">
      <c r="A49166" s="15" t="s">
        <v>4</v>
      </c>
    </row>
    <row r="49167" spans="1:1" x14ac:dyDescent="0.25">
      <c r="A49167" s="15" t="s">
        <v>118</v>
      </c>
    </row>
    <row r="49168" spans="1:1" x14ac:dyDescent="0.25">
      <c r="A49168" s="15" t="s">
        <v>5</v>
      </c>
    </row>
    <row r="49169" spans="1:1" x14ac:dyDescent="0.25">
      <c r="A49169" s="15" t="s">
        <v>6</v>
      </c>
    </row>
    <row r="49170" spans="1:1" x14ac:dyDescent="0.25">
      <c r="A49170" s="15" t="s">
        <v>7</v>
      </c>
    </row>
    <row r="49171" spans="1:1" x14ac:dyDescent="0.25">
      <c r="A49171" s="15" t="s">
        <v>8</v>
      </c>
    </row>
    <row r="49172" spans="1:1" x14ac:dyDescent="0.25">
      <c r="A49172" s="15" t="s">
        <v>9</v>
      </c>
    </row>
    <row r="49173" spans="1:1" x14ac:dyDescent="0.25">
      <c r="A49173" s="15" t="s">
        <v>10</v>
      </c>
    </row>
    <row r="49174" spans="1:1" x14ac:dyDescent="0.25">
      <c r="A49174" s="15" t="s">
        <v>11</v>
      </c>
    </row>
    <row r="49175" spans="1:1" x14ac:dyDescent="0.25">
      <c r="A49175" s="15" t="s">
        <v>12</v>
      </c>
    </row>
    <row r="49176" spans="1:1" x14ac:dyDescent="0.25">
      <c r="A49176" s="15" t="s">
        <v>13</v>
      </c>
    </row>
    <row r="49177" spans="1:1" x14ac:dyDescent="0.25">
      <c r="A49177" s="15" t="s">
        <v>14</v>
      </c>
    </row>
    <row r="49178" spans="1:1" x14ac:dyDescent="0.25">
      <c r="A49178" s="13" t="s">
        <v>31</v>
      </c>
    </row>
    <row r="49179" spans="1:1" x14ac:dyDescent="0.25">
      <c r="A49179" s="13" t="s">
        <v>87</v>
      </c>
    </row>
    <row r="49180" spans="1:1" x14ac:dyDescent="0.25">
      <c r="A49180" s="15" t="s">
        <v>30</v>
      </c>
    </row>
    <row r="49181" spans="1:1" x14ac:dyDescent="0.25">
      <c r="A49181" s="15" t="s">
        <v>26</v>
      </c>
    </row>
    <row r="49182" spans="1:1" x14ac:dyDescent="0.25">
      <c r="A49182" s="15" t="s">
        <v>27</v>
      </c>
    </row>
    <row r="49183" spans="1:1" x14ac:dyDescent="0.25">
      <c r="A49183" s="15" t="s">
        <v>28</v>
      </c>
    </row>
    <row r="49184" spans="1:1" x14ac:dyDescent="0.25">
      <c r="A49184" s="15" t="s">
        <v>89</v>
      </c>
    </row>
    <row r="49185" spans="1:1" x14ac:dyDescent="0.25">
      <c r="A49185" s="15" t="s">
        <v>90</v>
      </c>
    </row>
    <row r="49186" spans="1:1" x14ac:dyDescent="0.25">
      <c r="A49186" s="15" t="s">
        <v>185</v>
      </c>
    </row>
    <row r="49187" spans="1:1" x14ac:dyDescent="0.25">
      <c r="A49187" s="15" t="s">
        <v>186</v>
      </c>
    </row>
    <row r="49188" spans="1:1" x14ac:dyDescent="0.25">
      <c r="A49188" s="15" t="s">
        <v>187</v>
      </c>
    </row>
    <row r="49189" spans="1:1" x14ac:dyDescent="0.25">
      <c r="A49189" s="15" t="s">
        <v>188</v>
      </c>
    </row>
    <row r="49190" spans="1:1" x14ac:dyDescent="0.25">
      <c r="A49190" s="15" t="s">
        <v>189</v>
      </c>
    </row>
    <row r="49191" spans="1:1" x14ac:dyDescent="0.25">
      <c r="A49191" s="15" t="s">
        <v>190</v>
      </c>
    </row>
    <row r="49192" spans="1:1" x14ac:dyDescent="0.25">
      <c r="A49192" s="15" t="s">
        <v>191</v>
      </c>
    </row>
    <row r="49193" spans="1:1" x14ac:dyDescent="0.25">
      <c r="A49193" s="14" t="s">
        <v>47</v>
      </c>
    </row>
    <row r="49194" spans="1:1" x14ac:dyDescent="0.25">
      <c r="A49194" s="14" t="s">
        <v>119</v>
      </c>
    </row>
    <row r="49195" spans="1:1" x14ac:dyDescent="0.25">
      <c r="A49195" s="14" t="s">
        <v>86</v>
      </c>
    </row>
    <row r="49196" spans="1:1" x14ac:dyDescent="0.25">
      <c r="A49196" s="13" t="s">
        <v>21</v>
      </c>
    </row>
    <row r="49197" spans="1:1" x14ac:dyDescent="0.25">
      <c r="A49197" s="14" t="s">
        <v>92</v>
      </c>
    </row>
    <row r="49198" spans="1:1" x14ac:dyDescent="0.25">
      <c r="A49198" s="14" t="s">
        <v>93</v>
      </c>
    </row>
    <row r="49199" spans="1:1" x14ac:dyDescent="0.25">
      <c r="A49199" s="14" t="s">
        <v>99</v>
      </c>
    </row>
    <row r="49200" spans="1:1" x14ac:dyDescent="0.25">
      <c r="A49200" s="14" t="s">
        <v>100</v>
      </c>
    </row>
    <row r="49201" spans="1:1" x14ac:dyDescent="0.25">
      <c r="A49201" s="13" t="s">
        <v>24</v>
      </c>
    </row>
    <row r="49202" spans="1:1" x14ac:dyDescent="0.25">
      <c r="A49202" s="13" t="s">
        <v>83</v>
      </c>
    </row>
    <row r="49203" spans="1:1" x14ac:dyDescent="0.25">
      <c r="A49203" s="13" t="s">
        <v>106</v>
      </c>
    </row>
    <row r="49204" spans="1:1" x14ac:dyDescent="0.25">
      <c r="A49204" s="13" t="s">
        <v>101</v>
      </c>
    </row>
    <row r="49205" spans="1:1" x14ac:dyDescent="0.25">
      <c r="A49205" s="13" t="s">
        <v>102</v>
      </c>
    </row>
    <row r="49206" spans="1:1" x14ac:dyDescent="0.25">
      <c r="A49206" s="13" t="s">
        <v>103</v>
      </c>
    </row>
    <row r="49207" spans="1:1" x14ac:dyDescent="0.25">
      <c r="A49207" s="13" t="s">
        <v>104</v>
      </c>
    </row>
    <row r="49208" spans="1:1" x14ac:dyDescent="0.25">
      <c r="A49208" s="13" t="s">
        <v>105</v>
      </c>
    </row>
    <row r="65538" spans="1:1" x14ac:dyDescent="0.25">
      <c r="A65538" s="13" t="s">
        <v>0</v>
      </c>
    </row>
    <row r="65539" spans="1:1" x14ac:dyDescent="0.25">
      <c r="A65539" s="13" t="s">
        <v>125</v>
      </c>
    </row>
    <row r="65540" spans="1:1" x14ac:dyDescent="0.25">
      <c r="A65540" s="13" t="s">
        <v>1</v>
      </c>
    </row>
    <row r="65541" spans="1:1" x14ac:dyDescent="0.25">
      <c r="A65541" s="13" t="s">
        <v>2</v>
      </c>
    </row>
    <row r="65542" spans="1:1" x14ac:dyDescent="0.25">
      <c r="A65542" s="14" t="s">
        <v>25</v>
      </c>
    </row>
    <row r="65543" spans="1:1" x14ac:dyDescent="0.25">
      <c r="A65543" s="13" t="s">
        <v>126</v>
      </c>
    </row>
    <row r="65544" spans="1:1" x14ac:dyDescent="0.25">
      <c r="A65544" s="13" t="s">
        <v>127</v>
      </c>
    </row>
    <row r="65545" spans="1:1" x14ac:dyDescent="0.25">
      <c r="A65545" s="13" t="s">
        <v>88</v>
      </c>
    </row>
    <row r="65546" spans="1:1" x14ac:dyDescent="0.25">
      <c r="A65546" s="13" t="s">
        <v>22</v>
      </c>
    </row>
    <row r="65547" spans="1:1" x14ac:dyDescent="0.25">
      <c r="A65547" s="13" t="s">
        <v>3</v>
      </c>
    </row>
    <row r="65548" spans="1:1" x14ac:dyDescent="0.25">
      <c r="A65548" s="15" t="s">
        <v>95</v>
      </c>
    </row>
    <row r="65549" spans="1:1" x14ac:dyDescent="0.25">
      <c r="A65549" s="15" t="s">
        <v>94</v>
      </c>
    </row>
    <row r="65550" spans="1:1" x14ac:dyDescent="0.25">
      <c r="A65550" s="15" t="s">
        <v>4</v>
      </c>
    </row>
    <row r="65551" spans="1:1" x14ac:dyDescent="0.25">
      <c r="A65551" s="15" t="s">
        <v>118</v>
      </c>
    </row>
    <row r="65552" spans="1:1" x14ac:dyDescent="0.25">
      <c r="A65552" s="15" t="s">
        <v>5</v>
      </c>
    </row>
    <row r="65553" spans="1:1" x14ac:dyDescent="0.25">
      <c r="A65553" s="15" t="s">
        <v>6</v>
      </c>
    </row>
    <row r="65554" spans="1:1" x14ac:dyDescent="0.25">
      <c r="A65554" s="15" t="s">
        <v>7</v>
      </c>
    </row>
    <row r="65555" spans="1:1" x14ac:dyDescent="0.25">
      <c r="A65555" s="15" t="s">
        <v>8</v>
      </c>
    </row>
    <row r="65556" spans="1:1" x14ac:dyDescent="0.25">
      <c r="A65556" s="15" t="s">
        <v>9</v>
      </c>
    </row>
    <row r="65557" spans="1:1" x14ac:dyDescent="0.25">
      <c r="A65557" s="15" t="s">
        <v>10</v>
      </c>
    </row>
    <row r="65558" spans="1:1" x14ac:dyDescent="0.25">
      <c r="A65558" s="15" t="s">
        <v>11</v>
      </c>
    </row>
    <row r="65559" spans="1:1" x14ac:dyDescent="0.25">
      <c r="A65559" s="15" t="s">
        <v>12</v>
      </c>
    </row>
    <row r="65560" spans="1:1" x14ac:dyDescent="0.25">
      <c r="A65560" s="15" t="s">
        <v>13</v>
      </c>
    </row>
    <row r="65561" spans="1:1" x14ac:dyDescent="0.25">
      <c r="A65561" s="15" t="s">
        <v>14</v>
      </c>
    </row>
    <row r="65562" spans="1:1" x14ac:dyDescent="0.25">
      <c r="A65562" s="13" t="s">
        <v>31</v>
      </c>
    </row>
    <row r="65563" spans="1:1" x14ac:dyDescent="0.25">
      <c r="A65563" s="13" t="s">
        <v>87</v>
      </c>
    </row>
    <row r="65564" spans="1:1" x14ac:dyDescent="0.25">
      <c r="A65564" s="15" t="s">
        <v>30</v>
      </c>
    </row>
    <row r="65565" spans="1:1" x14ac:dyDescent="0.25">
      <c r="A65565" s="15" t="s">
        <v>26</v>
      </c>
    </row>
    <row r="65566" spans="1:1" x14ac:dyDescent="0.25">
      <c r="A65566" s="15" t="s">
        <v>27</v>
      </c>
    </row>
    <row r="65567" spans="1:1" x14ac:dyDescent="0.25">
      <c r="A65567" s="15" t="s">
        <v>28</v>
      </c>
    </row>
    <row r="65568" spans="1:1" x14ac:dyDescent="0.25">
      <c r="A65568" s="15" t="s">
        <v>89</v>
      </c>
    </row>
    <row r="65569" spans="1:1" x14ac:dyDescent="0.25">
      <c r="A65569" s="15" t="s">
        <v>90</v>
      </c>
    </row>
    <row r="65570" spans="1:1" x14ac:dyDescent="0.25">
      <c r="A65570" s="15" t="s">
        <v>185</v>
      </c>
    </row>
    <row r="65571" spans="1:1" x14ac:dyDescent="0.25">
      <c r="A65571" s="15" t="s">
        <v>186</v>
      </c>
    </row>
    <row r="65572" spans="1:1" x14ac:dyDescent="0.25">
      <c r="A65572" s="15" t="s">
        <v>187</v>
      </c>
    </row>
    <row r="65573" spans="1:1" x14ac:dyDescent="0.25">
      <c r="A65573" s="15" t="s">
        <v>188</v>
      </c>
    </row>
    <row r="65574" spans="1:1" x14ac:dyDescent="0.25">
      <c r="A65574" s="15" t="s">
        <v>189</v>
      </c>
    </row>
    <row r="65575" spans="1:1" x14ac:dyDescent="0.25">
      <c r="A65575" s="15" t="s">
        <v>190</v>
      </c>
    </row>
    <row r="65576" spans="1:1" x14ac:dyDescent="0.25">
      <c r="A65576" s="15" t="s">
        <v>191</v>
      </c>
    </row>
    <row r="65577" spans="1:1" x14ac:dyDescent="0.25">
      <c r="A65577" s="14" t="s">
        <v>47</v>
      </c>
    </row>
    <row r="65578" spans="1:1" x14ac:dyDescent="0.25">
      <c r="A65578" s="14" t="s">
        <v>119</v>
      </c>
    </row>
    <row r="65579" spans="1:1" x14ac:dyDescent="0.25">
      <c r="A65579" s="14" t="s">
        <v>86</v>
      </c>
    </row>
    <row r="65580" spans="1:1" x14ac:dyDescent="0.25">
      <c r="A65580" s="13" t="s">
        <v>21</v>
      </c>
    </row>
    <row r="65581" spans="1:1" x14ac:dyDescent="0.25">
      <c r="A65581" s="14" t="s">
        <v>92</v>
      </c>
    </row>
    <row r="65582" spans="1:1" x14ac:dyDescent="0.25">
      <c r="A65582" s="14" t="s">
        <v>93</v>
      </c>
    </row>
    <row r="65583" spans="1:1" x14ac:dyDescent="0.25">
      <c r="A65583" s="14" t="s">
        <v>99</v>
      </c>
    </row>
    <row r="65584" spans="1:1" x14ac:dyDescent="0.25">
      <c r="A65584" s="14" t="s">
        <v>100</v>
      </c>
    </row>
    <row r="65585" spans="1:1" x14ac:dyDescent="0.25">
      <c r="A65585" s="13" t="s">
        <v>24</v>
      </c>
    </row>
    <row r="65586" spans="1:1" x14ac:dyDescent="0.25">
      <c r="A65586" s="13" t="s">
        <v>83</v>
      </c>
    </row>
    <row r="65587" spans="1:1" x14ac:dyDescent="0.25">
      <c r="A65587" s="13" t="s">
        <v>106</v>
      </c>
    </row>
    <row r="65588" spans="1:1" x14ac:dyDescent="0.25">
      <c r="A65588" s="13" t="s">
        <v>101</v>
      </c>
    </row>
    <row r="65589" spans="1:1" x14ac:dyDescent="0.25">
      <c r="A65589" s="13" t="s">
        <v>102</v>
      </c>
    </row>
    <row r="65590" spans="1:1" x14ac:dyDescent="0.25">
      <c r="A65590" s="13" t="s">
        <v>103</v>
      </c>
    </row>
    <row r="65591" spans="1:1" x14ac:dyDescent="0.25">
      <c r="A65591" s="13" t="s">
        <v>104</v>
      </c>
    </row>
    <row r="65592" spans="1:1" x14ac:dyDescent="0.25">
      <c r="A65592" s="13" t="s">
        <v>105</v>
      </c>
    </row>
    <row r="81922" spans="1:1" x14ac:dyDescent="0.25">
      <c r="A81922" s="13" t="s">
        <v>0</v>
      </c>
    </row>
    <row r="81923" spans="1:1" x14ac:dyDescent="0.25">
      <c r="A81923" s="13" t="s">
        <v>125</v>
      </c>
    </row>
    <row r="81924" spans="1:1" x14ac:dyDescent="0.25">
      <c r="A81924" s="13" t="s">
        <v>1</v>
      </c>
    </row>
    <row r="81925" spans="1:1" x14ac:dyDescent="0.25">
      <c r="A81925" s="13" t="s">
        <v>2</v>
      </c>
    </row>
    <row r="81926" spans="1:1" x14ac:dyDescent="0.25">
      <c r="A81926" s="14" t="s">
        <v>25</v>
      </c>
    </row>
    <row r="81927" spans="1:1" x14ac:dyDescent="0.25">
      <c r="A81927" s="13" t="s">
        <v>126</v>
      </c>
    </row>
    <row r="81928" spans="1:1" x14ac:dyDescent="0.25">
      <c r="A81928" s="13" t="s">
        <v>127</v>
      </c>
    </row>
    <row r="81929" spans="1:1" x14ac:dyDescent="0.25">
      <c r="A81929" s="13" t="s">
        <v>88</v>
      </c>
    </row>
    <row r="81930" spans="1:1" x14ac:dyDescent="0.25">
      <c r="A81930" s="13" t="s">
        <v>22</v>
      </c>
    </row>
    <row r="81931" spans="1:1" x14ac:dyDescent="0.25">
      <c r="A81931" s="13" t="s">
        <v>3</v>
      </c>
    </row>
    <row r="81932" spans="1:1" x14ac:dyDescent="0.25">
      <c r="A81932" s="15" t="s">
        <v>95</v>
      </c>
    </row>
    <row r="81933" spans="1:1" x14ac:dyDescent="0.25">
      <c r="A81933" s="15" t="s">
        <v>94</v>
      </c>
    </row>
    <row r="81934" spans="1:1" x14ac:dyDescent="0.25">
      <c r="A81934" s="15" t="s">
        <v>4</v>
      </c>
    </row>
    <row r="81935" spans="1:1" x14ac:dyDescent="0.25">
      <c r="A81935" s="15" t="s">
        <v>118</v>
      </c>
    </row>
    <row r="81936" spans="1:1" x14ac:dyDescent="0.25">
      <c r="A81936" s="15" t="s">
        <v>5</v>
      </c>
    </row>
    <row r="81937" spans="1:1" x14ac:dyDescent="0.25">
      <c r="A81937" s="15" t="s">
        <v>6</v>
      </c>
    </row>
    <row r="81938" spans="1:1" x14ac:dyDescent="0.25">
      <c r="A81938" s="15" t="s">
        <v>7</v>
      </c>
    </row>
    <row r="81939" spans="1:1" x14ac:dyDescent="0.25">
      <c r="A81939" s="15" t="s">
        <v>8</v>
      </c>
    </row>
    <row r="81940" spans="1:1" x14ac:dyDescent="0.25">
      <c r="A81940" s="15" t="s">
        <v>9</v>
      </c>
    </row>
    <row r="81941" spans="1:1" x14ac:dyDescent="0.25">
      <c r="A81941" s="15" t="s">
        <v>10</v>
      </c>
    </row>
    <row r="81942" spans="1:1" x14ac:dyDescent="0.25">
      <c r="A81942" s="15" t="s">
        <v>11</v>
      </c>
    </row>
    <row r="81943" spans="1:1" x14ac:dyDescent="0.25">
      <c r="A81943" s="15" t="s">
        <v>12</v>
      </c>
    </row>
    <row r="81944" spans="1:1" x14ac:dyDescent="0.25">
      <c r="A81944" s="15" t="s">
        <v>13</v>
      </c>
    </row>
    <row r="81945" spans="1:1" x14ac:dyDescent="0.25">
      <c r="A81945" s="15" t="s">
        <v>14</v>
      </c>
    </row>
    <row r="81946" spans="1:1" x14ac:dyDescent="0.25">
      <c r="A81946" s="13" t="s">
        <v>31</v>
      </c>
    </row>
    <row r="81947" spans="1:1" x14ac:dyDescent="0.25">
      <c r="A81947" s="13" t="s">
        <v>87</v>
      </c>
    </row>
    <row r="81948" spans="1:1" x14ac:dyDescent="0.25">
      <c r="A81948" s="15" t="s">
        <v>30</v>
      </c>
    </row>
    <row r="81949" spans="1:1" x14ac:dyDescent="0.25">
      <c r="A81949" s="15" t="s">
        <v>26</v>
      </c>
    </row>
    <row r="81950" spans="1:1" x14ac:dyDescent="0.25">
      <c r="A81950" s="15" t="s">
        <v>27</v>
      </c>
    </row>
    <row r="81951" spans="1:1" x14ac:dyDescent="0.25">
      <c r="A81951" s="15" t="s">
        <v>28</v>
      </c>
    </row>
    <row r="81952" spans="1:1" x14ac:dyDescent="0.25">
      <c r="A81952" s="15" t="s">
        <v>89</v>
      </c>
    </row>
    <row r="81953" spans="1:1" x14ac:dyDescent="0.25">
      <c r="A81953" s="15" t="s">
        <v>90</v>
      </c>
    </row>
    <row r="81954" spans="1:1" x14ac:dyDescent="0.25">
      <c r="A81954" s="15" t="s">
        <v>185</v>
      </c>
    </row>
    <row r="81955" spans="1:1" x14ac:dyDescent="0.25">
      <c r="A81955" s="15" t="s">
        <v>186</v>
      </c>
    </row>
    <row r="81956" spans="1:1" x14ac:dyDescent="0.25">
      <c r="A81956" s="15" t="s">
        <v>187</v>
      </c>
    </row>
    <row r="81957" spans="1:1" x14ac:dyDescent="0.25">
      <c r="A81957" s="15" t="s">
        <v>188</v>
      </c>
    </row>
    <row r="81958" spans="1:1" x14ac:dyDescent="0.25">
      <c r="A81958" s="15" t="s">
        <v>189</v>
      </c>
    </row>
    <row r="81959" spans="1:1" x14ac:dyDescent="0.25">
      <c r="A81959" s="15" t="s">
        <v>190</v>
      </c>
    </row>
    <row r="81960" spans="1:1" x14ac:dyDescent="0.25">
      <c r="A81960" s="15" t="s">
        <v>191</v>
      </c>
    </row>
    <row r="81961" spans="1:1" x14ac:dyDescent="0.25">
      <c r="A81961" s="14" t="s">
        <v>47</v>
      </c>
    </row>
    <row r="81962" spans="1:1" x14ac:dyDescent="0.25">
      <c r="A81962" s="14" t="s">
        <v>119</v>
      </c>
    </row>
    <row r="81963" spans="1:1" x14ac:dyDescent="0.25">
      <c r="A81963" s="14" t="s">
        <v>86</v>
      </c>
    </row>
    <row r="81964" spans="1:1" x14ac:dyDescent="0.25">
      <c r="A81964" s="13" t="s">
        <v>21</v>
      </c>
    </row>
    <row r="81965" spans="1:1" x14ac:dyDescent="0.25">
      <c r="A81965" s="14" t="s">
        <v>92</v>
      </c>
    </row>
    <row r="81966" spans="1:1" x14ac:dyDescent="0.25">
      <c r="A81966" s="14" t="s">
        <v>93</v>
      </c>
    </row>
    <row r="81967" spans="1:1" x14ac:dyDescent="0.25">
      <c r="A81967" s="14" t="s">
        <v>99</v>
      </c>
    </row>
    <row r="81968" spans="1:1" x14ac:dyDescent="0.25">
      <c r="A81968" s="14" t="s">
        <v>100</v>
      </c>
    </row>
    <row r="81969" spans="1:1" x14ac:dyDescent="0.25">
      <c r="A81969" s="13" t="s">
        <v>24</v>
      </c>
    </row>
    <row r="81970" spans="1:1" x14ac:dyDescent="0.25">
      <c r="A81970" s="13" t="s">
        <v>83</v>
      </c>
    </row>
    <row r="81971" spans="1:1" x14ac:dyDescent="0.25">
      <c r="A81971" s="13" t="s">
        <v>106</v>
      </c>
    </row>
    <row r="81972" spans="1:1" x14ac:dyDescent="0.25">
      <c r="A81972" s="13" t="s">
        <v>101</v>
      </c>
    </row>
    <row r="81973" spans="1:1" x14ac:dyDescent="0.25">
      <c r="A81973" s="13" t="s">
        <v>102</v>
      </c>
    </row>
    <row r="81974" spans="1:1" x14ac:dyDescent="0.25">
      <c r="A81974" s="13" t="s">
        <v>103</v>
      </c>
    </row>
    <row r="81975" spans="1:1" x14ac:dyDescent="0.25">
      <c r="A81975" s="13" t="s">
        <v>104</v>
      </c>
    </row>
    <row r="81976" spans="1:1" x14ac:dyDescent="0.25">
      <c r="A81976" s="13" t="s">
        <v>105</v>
      </c>
    </row>
    <row r="98306" spans="1:1" x14ac:dyDescent="0.25">
      <c r="A98306" s="13" t="s">
        <v>0</v>
      </c>
    </row>
    <row r="98307" spans="1:1" x14ac:dyDescent="0.25">
      <c r="A98307" s="13" t="s">
        <v>125</v>
      </c>
    </row>
    <row r="98308" spans="1:1" x14ac:dyDescent="0.25">
      <c r="A98308" s="13" t="s">
        <v>1</v>
      </c>
    </row>
    <row r="98309" spans="1:1" x14ac:dyDescent="0.25">
      <c r="A98309" s="13" t="s">
        <v>2</v>
      </c>
    </row>
    <row r="98310" spans="1:1" x14ac:dyDescent="0.25">
      <c r="A98310" s="14" t="s">
        <v>25</v>
      </c>
    </row>
    <row r="98311" spans="1:1" x14ac:dyDescent="0.25">
      <c r="A98311" s="13" t="s">
        <v>126</v>
      </c>
    </row>
    <row r="98312" spans="1:1" x14ac:dyDescent="0.25">
      <c r="A98312" s="13" t="s">
        <v>127</v>
      </c>
    </row>
    <row r="98313" spans="1:1" x14ac:dyDescent="0.25">
      <c r="A98313" s="13" t="s">
        <v>88</v>
      </c>
    </row>
    <row r="98314" spans="1:1" x14ac:dyDescent="0.25">
      <c r="A98314" s="13" t="s">
        <v>22</v>
      </c>
    </row>
    <row r="98315" spans="1:1" x14ac:dyDescent="0.25">
      <c r="A98315" s="13" t="s">
        <v>3</v>
      </c>
    </row>
    <row r="98316" spans="1:1" x14ac:dyDescent="0.25">
      <c r="A98316" s="15" t="s">
        <v>95</v>
      </c>
    </row>
    <row r="98317" spans="1:1" x14ac:dyDescent="0.25">
      <c r="A98317" s="15" t="s">
        <v>94</v>
      </c>
    </row>
    <row r="98318" spans="1:1" x14ac:dyDescent="0.25">
      <c r="A98318" s="15" t="s">
        <v>4</v>
      </c>
    </row>
    <row r="98319" spans="1:1" x14ac:dyDescent="0.25">
      <c r="A98319" s="15" t="s">
        <v>118</v>
      </c>
    </row>
    <row r="98320" spans="1:1" x14ac:dyDescent="0.25">
      <c r="A98320" s="15" t="s">
        <v>5</v>
      </c>
    </row>
    <row r="98321" spans="1:1" x14ac:dyDescent="0.25">
      <c r="A98321" s="15" t="s">
        <v>6</v>
      </c>
    </row>
    <row r="98322" spans="1:1" x14ac:dyDescent="0.25">
      <c r="A98322" s="15" t="s">
        <v>7</v>
      </c>
    </row>
    <row r="98323" spans="1:1" x14ac:dyDescent="0.25">
      <c r="A98323" s="15" t="s">
        <v>8</v>
      </c>
    </row>
    <row r="98324" spans="1:1" x14ac:dyDescent="0.25">
      <c r="A98324" s="15" t="s">
        <v>9</v>
      </c>
    </row>
    <row r="98325" spans="1:1" x14ac:dyDescent="0.25">
      <c r="A98325" s="15" t="s">
        <v>10</v>
      </c>
    </row>
    <row r="98326" spans="1:1" x14ac:dyDescent="0.25">
      <c r="A98326" s="15" t="s">
        <v>11</v>
      </c>
    </row>
    <row r="98327" spans="1:1" x14ac:dyDescent="0.25">
      <c r="A98327" s="15" t="s">
        <v>12</v>
      </c>
    </row>
    <row r="98328" spans="1:1" x14ac:dyDescent="0.25">
      <c r="A98328" s="15" t="s">
        <v>13</v>
      </c>
    </row>
    <row r="98329" spans="1:1" x14ac:dyDescent="0.25">
      <c r="A98329" s="15" t="s">
        <v>14</v>
      </c>
    </row>
    <row r="98330" spans="1:1" x14ac:dyDescent="0.25">
      <c r="A98330" s="13" t="s">
        <v>31</v>
      </c>
    </row>
    <row r="98331" spans="1:1" x14ac:dyDescent="0.25">
      <c r="A98331" s="13" t="s">
        <v>87</v>
      </c>
    </row>
    <row r="98332" spans="1:1" x14ac:dyDescent="0.25">
      <c r="A98332" s="15" t="s">
        <v>30</v>
      </c>
    </row>
    <row r="98333" spans="1:1" x14ac:dyDescent="0.25">
      <c r="A98333" s="15" t="s">
        <v>26</v>
      </c>
    </row>
    <row r="98334" spans="1:1" x14ac:dyDescent="0.25">
      <c r="A98334" s="15" t="s">
        <v>27</v>
      </c>
    </row>
    <row r="98335" spans="1:1" x14ac:dyDescent="0.25">
      <c r="A98335" s="15" t="s">
        <v>28</v>
      </c>
    </row>
    <row r="98336" spans="1:1" x14ac:dyDescent="0.25">
      <c r="A98336" s="15" t="s">
        <v>89</v>
      </c>
    </row>
    <row r="98337" spans="1:1" x14ac:dyDescent="0.25">
      <c r="A98337" s="15" t="s">
        <v>90</v>
      </c>
    </row>
    <row r="98338" spans="1:1" x14ac:dyDescent="0.25">
      <c r="A98338" s="15" t="s">
        <v>185</v>
      </c>
    </row>
    <row r="98339" spans="1:1" x14ac:dyDescent="0.25">
      <c r="A98339" s="15" t="s">
        <v>186</v>
      </c>
    </row>
    <row r="98340" spans="1:1" x14ac:dyDescent="0.25">
      <c r="A98340" s="15" t="s">
        <v>187</v>
      </c>
    </row>
    <row r="98341" spans="1:1" x14ac:dyDescent="0.25">
      <c r="A98341" s="15" t="s">
        <v>188</v>
      </c>
    </row>
    <row r="98342" spans="1:1" x14ac:dyDescent="0.25">
      <c r="A98342" s="15" t="s">
        <v>189</v>
      </c>
    </row>
    <row r="98343" spans="1:1" x14ac:dyDescent="0.25">
      <c r="A98343" s="15" t="s">
        <v>190</v>
      </c>
    </row>
    <row r="98344" spans="1:1" x14ac:dyDescent="0.25">
      <c r="A98344" s="15" t="s">
        <v>191</v>
      </c>
    </row>
    <row r="98345" spans="1:1" x14ac:dyDescent="0.25">
      <c r="A98345" s="14" t="s">
        <v>47</v>
      </c>
    </row>
    <row r="98346" spans="1:1" x14ac:dyDescent="0.25">
      <c r="A98346" s="14" t="s">
        <v>119</v>
      </c>
    </row>
    <row r="98347" spans="1:1" x14ac:dyDescent="0.25">
      <c r="A98347" s="14" t="s">
        <v>86</v>
      </c>
    </row>
    <row r="98348" spans="1:1" x14ac:dyDescent="0.25">
      <c r="A98348" s="13" t="s">
        <v>21</v>
      </c>
    </row>
    <row r="98349" spans="1:1" x14ac:dyDescent="0.25">
      <c r="A98349" s="14" t="s">
        <v>92</v>
      </c>
    </row>
    <row r="98350" spans="1:1" x14ac:dyDescent="0.25">
      <c r="A98350" s="14" t="s">
        <v>93</v>
      </c>
    </row>
    <row r="98351" spans="1:1" x14ac:dyDescent="0.25">
      <c r="A98351" s="14" t="s">
        <v>99</v>
      </c>
    </row>
    <row r="98352" spans="1:1" x14ac:dyDescent="0.25">
      <c r="A98352" s="14" t="s">
        <v>100</v>
      </c>
    </row>
    <row r="98353" spans="1:1" x14ac:dyDescent="0.25">
      <c r="A98353" s="13" t="s">
        <v>24</v>
      </c>
    </row>
    <row r="98354" spans="1:1" x14ac:dyDescent="0.25">
      <c r="A98354" s="13" t="s">
        <v>83</v>
      </c>
    </row>
    <row r="98355" spans="1:1" x14ac:dyDescent="0.25">
      <c r="A98355" s="13" t="s">
        <v>106</v>
      </c>
    </row>
    <row r="98356" spans="1:1" x14ac:dyDescent="0.25">
      <c r="A98356" s="13" t="s">
        <v>101</v>
      </c>
    </row>
    <row r="98357" spans="1:1" x14ac:dyDescent="0.25">
      <c r="A98357" s="13" t="s">
        <v>102</v>
      </c>
    </row>
    <row r="98358" spans="1:1" x14ac:dyDescent="0.25">
      <c r="A98358" s="13" t="s">
        <v>103</v>
      </c>
    </row>
    <row r="98359" spans="1:1" x14ac:dyDescent="0.25">
      <c r="A98359" s="13" t="s">
        <v>104</v>
      </c>
    </row>
    <row r="98360" spans="1:1" x14ac:dyDescent="0.25">
      <c r="A98360" s="13" t="s">
        <v>105</v>
      </c>
    </row>
    <row r="114690" spans="1:1" x14ac:dyDescent="0.25">
      <c r="A114690" s="13" t="s">
        <v>0</v>
      </c>
    </row>
    <row r="114691" spans="1:1" x14ac:dyDescent="0.25">
      <c r="A114691" s="13" t="s">
        <v>125</v>
      </c>
    </row>
    <row r="114692" spans="1:1" x14ac:dyDescent="0.25">
      <c r="A114692" s="13" t="s">
        <v>1</v>
      </c>
    </row>
    <row r="114693" spans="1:1" x14ac:dyDescent="0.25">
      <c r="A114693" s="13" t="s">
        <v>2</v>
      </c>
    </row>
    <row r="114694" spans="1:1" x14ac:dyDescent="0.25">
      <c r="A114694" s="14" t="s">
        <v>25</v>
      </c>
    </row>
    <row r="114695" spans="1:1" x14ac:dyDescent="0.25">
      <c r="A114695" s="13" t="s">
        <v>126</v>
      </c>
    </row>
    <row r="114696" spans="1:1" x14ac:dyDescent="0.25">
      <c r="A114696" s="13" t="s">
        <v>127</v>
      </c>
    </row>
    <row r="114697" spans="1:1" x14ac:dyDescent="0.25">
      <c r="A114697" s="13" t="s">
        <v>88</v>
      </c>
    </row>
    <row r="114698" spans="1:1" x14ac:dyDescent="0.25">
      <c r="A114698" s="13" t="s">
        <v>22</v>
      </c>
    </row>
    <row r="114699" spans="1:1" x14ac:dyDescent="0.25">
      <c r="A114699" s="13" t="s">
        <v>3</v>
      </c>
    </row>
    <row r="114700" spans="1:1" x14ac:dyDescent="0.25">
      <c r="A114700" s="15" t="s">
        <v>95</v>
      </c>
    </row>
    <row r="114701" spans="1:1" x14ac:dyDescent="0.25">
      <c r="A114701" s="15" t="s">
        <v>94</v>
      </c>
    </row>
    <row r="114702" spans="1:1" x14ac:dyDescent="0.25">
      <c r="A114702" s="15" t="s">
        <v>4</v>
      </c>
    </row>
    <row r="114703" spans="1:1" x14ac:dyDescent="0.25">
      <c r="A114703" s="15" t="s">
        <v>118</v>
      </c>
    </row>
    <row r="114704" spans="1:1" x14ac:dyDescent="0.25">
      <c r="A114704" s="15" t="s">
        <v>5</v>
      </c>
    </row>
    <row r="114705" spans="1:1" x14ac:dyDescent="0.25">
      <c r="A114705" s="15" t="s">
        <v>6</v>
      </c>
    </row>
    <row r="114706" spans="1:1" x14ac:dyDescent="0.25">
      <c r="A114706" s="15" t="s">
        <v>7</v>
      </c>
    </row>
    <row r="114707" spans="1:1" x14ac:dyDescent="0.25">
      <c r="A114707" s="15" t="s">
        <v>8</v>
      </c>
    </row>
    <row r="114708" spans="1:1" x14ac:dyDescent="0.25">
      <c r="A114708" s="15" t="s">
        <v>9</v>
      </c>
    </row>
    <row r="114709" spans="1:1" x14ac:dyDescent="0.25">
      <c r="A114709" s="15" t="s">
        <v>10</v>
      </c>
    </row>
    <row r="114710" spans="1:1" x14ac:dyDescent="0.25">
      <c r="A114710" s="15" t="s">
        <v>11</v>
      </c>
    </row>
    <row r="114711" spans="1:1" x14ac:dyDescent="0.25">
      <c r="A114711" s="15" t="s">
        <v>12</v>
      </c>
    </row>
    <row r="114712" spans="1:1" x14ac:dyDescent="0.25">
      <c r="A114712" s="15" t="s">
        <v>13</v>
      </c>
    </row>
    <row r="114713" spans="1:1" x14ac:dyDescent="0.25">
      <c r="A114713" s="15" t="s">
        <v>14</v>
      </c>
    </row>
    <row r="114714" spans="1:1" x14ac:dyDescent="0.25">
      <c r="A114714" s="13" t="s">
        <v>31</v>
      </c>
    </row>
    <row r="114715" spans="1:1" x14ac:dyDescent="0.25">
      <c r="A114715" s="13" t="s">
        <v>87</v>
      </c>
    </row>
    <row r="114716" spans="1:1" x14ac:dyDescent="0.25">
      <c r="A114716" s="15" t="s">
        <v>30</v>
      </c>
    </row>
    <row r="114717" spans="1:1" x14ac:dyDescent="0.25">
      <c r="A114717" s="15" t="s">
        <v>26</v>
      </c>
    </row>
    <row r="114718" spans="1:1" x14ac:dyDescent="0.25">
      <c r="A114718" s="15" t="s">
        <v>27</v>
      </c>
    </row>
    <row r="114719" spans="1:1" x14ac:dyDescent="0.25">
      <c r="A114719" s="15" t="s">
        <v>28</v>
      </c>
    </row>
    <row r="114720" spans="1:1" x14ac:dyDescent="0.25">
      <c r="A114720" s="15" t="s">
        <v>89</v>
      </c>
    </row>
    <row r="114721" spans="1:1" x14ac:dyDescent="0.25">
      <c r="A114721" s="15" t="s">
        <v>90</v>
      </c>
    </row>
    <row r="114722" spans="1:1" x14ac:dyDescent="0.25">
      <c r="A114722" s="15" t="s">
        <v>185</v>
      </c>
    </row>
    <row r="114723" spans="1:1" x14ac:dyDescent="0.25">
      <c r="A114723" s="15" t="s">
        <v>186</v>
      </c>
    </row>
    <row r="114724" spans="1:1" x14ac:dyDescent="0.25">
      <c r="A114724" s="15" t="s">
        <v>187</v>
      </c>
    </row>
    <row r="114725" spans="1:1" x14ac:dyDescent="0.25">
      <c r="A114725" s="15" t="s">
        <v>188</v>
      </c>
    </row>
    <row r="114726" spans="1:1" x14ac:dyDescent="0.25">
      <c r="A114726" s="15" t="s">
        <v>189</v>
      </c>
    </row>
    <row r="114727" spans="1:1" x14ac:dyDescent="0.25">
      <c r="A114727" s="15" t="s">
        <v>190</v>
      </c>
    </row>
    <row r="114728" spans="1:1" x14ac:dyDescent="0.25">
      <c r="A114728" s="15" t="s">
        <v>191</v>
      </c>
    </row>
    <row r="114729" spans="1:1" x14ac:dyDescent="0.25">
      <c r="A114729" s="14" t="s">
        <v>47</v>
      </c>
    </row>
    <row r="114730" spans="1:1" x14ac:dyDescent="0.25">
      <c r="A114730" s="14" t="s">
        <v>119</v>
      </c>
    </row>
    <row r="114731" spans="1:1" x14ac:dyDescent="0.25">
      <c r="A114731" s="14" t="s">
        <v>86</v>
      </c>
    </row>
    <row r="114732" spans="1:1" x14ac:dyDescent="0.25">
      <c r="A114732" s="13" t="s">
        <v>21</v>
      </c>
    </row>
    <row r="114733" spans="1:1" x14ac:dyDescent="0.25">
      <c r="A114733" s="14" t="s">
        <v>92</v>
      </c>
    </row>
    <row r="114734" spans="1:1" x14ac:dyDescent="0.25">
      <c r="A114734" s="14" t="s">
        <v>93</v>
      </c>
    </row>
    <row r="114735" spans="1:1" x14ac:dyDescent="0.25">
      <c r="A114735" s="14" t="s">
        <v>99</v>
      </c>
    </row>
    <row r="114736" spans="1:1" x14ac:dyDescent="0.25">
      <c r="A114736" s="14" t="s">
        <v>100</v>
      </c>
    </row>
    <row r="114737" spans="1:1" x14ac:dyDescent="0.25">
      <c r="A114737" s="13" t="s">
        <v>24</v>
      </c>
    </row>
    <row r="114738" spans="1:1" x14ac:dyDescent="0.25">
      <c r="A114738" s="13" t="s">
        <v>83</v>
      </c>
    </row>
    <row r="114739" spans="1:1" x14ac:dyDescent="0.25">
      <c r="A114739" s="13" t="s">
        <v>106</v>
      </c>
    </row>
    <row r="114740" spans="1:1" x14ac:dyDescent="0.25">
      <c r="A114740" s="13" t="s">
        <v>101</v>
      </c>
    </row>
    <row r="114741" spans="1:1" x14ac:dyDescent="0.25">
      <c r="A114741" s="13" t="s">
        <v>102</v>
      </c>
    </row>
    <row r="114742" spans="1:1" x14ac:dyDescent="0.25">
      <c r="A114742" s="13" t="s">
        <v>103</v>
      </c>
    </row>
    <row r="114743" spans="1:1" x14ac:dyDescent="0.25">
      <c r="A114743" s="13" t="s">
        <v>104</v>
      </c>
    </row>
    <row r="114744" spans="1:1" x14ac:dyDescent="0.25">
      <c r="A114744" s="13" t="s">
        <v>105</v>
      </c>
    </row>
    <row r="131074" spans="1:1" x14ac:dyDescent="0.25">
      <c r="A131074" s="13" t="s">
        <v>0</v>
      </c>
    </row>
    <row r="131075" spans="1:1" x14ac:dyDescent="0.25">
      <c r="A131075" s="13" t="s">
        <v>125</v>
      </c>
    </row>
    <row r="131076" spans="1:1" x14ac:dyDescent="0.25">
      <c r="A131076" s="13" t="s">
        <v>1</v>
      </c>
    </row>
    <row r="131077" spans="1:1" x14ac:dyDescent="0.25">
      <c r="A131077" s="13" t="s">
        <v>2</v>
      </c>
    </row>
    <row r="131078" spans="1:1" x14ac:dyDescent="0.25">
      <c r="A131078" s="14" t="s">
        <v>25</v>
      </c>
    </row>
    <row r="131079" spans="1:1" x14ac:dyDescent="0.25">
      <c r="A131079" s="13" t="s">
        <v>126</v>
      </c>
    </row>
    <row r="131080" spans="1:1" x14ac:dyDescent="0.25">
      <c r="A131080" s="13" t="s">
        <v>127</v>
      </c>
    </row>
    <row r="131081" spans="1:1" x14ac:dyDescent="0.25">
      <c r="A131081" s="13" t="s">
        <v>88</v>
      </c>
    </row>
    <row r="131082" spans="1:1" x14ac:dyDescent="0.25">
      <c r="A131082" s="13" t="s">
        <v>22</v>
      </c>
    </row>
    <row r="131083" spans="1:1" x14ac:dyDescent="0.25">
      <c r="A131083" s="13" t="s">
        <v>3</v>
      </c>
    </row>
    <row r="131084" spans="1:1" x14ac:dyDescent="0.25">
      <c r="A131084" s="15" t="s">
        <v>95</v>
      </c>
    </row>
    <row r="131085" spans="1:1" x14ac:dyDescent="0.25">
      <c r="A131085" s="15" t="s">
        <v>94</v>
      </c>
    </row>
    <row r="131086" spans="1:1" x14ac:dyDescent="0.25">
      <c r="A131086" s="15" t="s">
        <v>4</v>
      </c>
    </row>
    <row r="131087" spans="1:1" x14ac:dyDescent="0.25">
      <c r="A131087" s="15" t="s">
        <v>118</v>
      </c>
    </row>
    <row r="131088" spans="1:1" x14ac:dyDescent="0.25">
      <c r="A131088" s="15" t="s">
        <v>5</v>
      </c>
    </row>
    <row r="131089" spans="1:1" x14ac:dyDescent="0.25">
      <c r="A131089" s="15" t="s">
        <v>6</v>
      </c>
    </row>
    <row r="131090" spans="1:1" x14ac:dyDescent="0.25">
      <c r="A131090" s="15" t="s">
        <v>7</v>
      </c>
    </row>
    <row r="131091" spans="1:1" x14ac:dyDescent="0.25">
      <c r="A131091" s="15" t="s">
        <v>8</v>
      </c>
    </row>
    <row r="131092" spans="1:1" x14ac:dyDescent="0.25">
      <c r="A131092" s="15" t="s">
        <v>9</v>
      </c>
    </row>
    <row r="131093" spans="1:1" x14ac:dyDescent="0.25">
      <c r="A131093" s="15" t="s">
        <v>10</v>
      </c>
    </row>
    <row r="131094" spans="1:1" x14ac:dyDescent="0.25">
      <c r="A131094" s="15" t="s">
        <v>11</v>
      </c>
    </row>
    <row r="131095" spans="1:1" x14ac:dyDescent="0.25">
      <c r="A131095" s="15" t="s">
        <v>12</v>
      </c>
    </row>
    <row r="131096" spans="1:1" x14ac:dyDescent="0.25">
      <c r="A131096" s="15" t="s">
        <v>13</v>
      </c>
    </row>
    <row r="131097" spans="1:1" x14ac:dyDescent="0.25">
      <c r="A131097" s="15" t="s">
        <v>14</v>
      </c>
    </row>
    <row r="131098" spans="1:1" x14ac:dyDescent="0.25">
      <c r="A131098" s="13" t="s">
        <v>31</v>
      </c>
    </row>
    <row r="131099" spans="1:1" x14ac:dyDescent="0.25">
      <c r="A131099" s="13" t="s">
        <v>87</v>
      </c>
    </row>
    <row r="131100" spans="1:1" x14ac:dyDescent="0.25">
      <c r="A131100" s="15" t="s">
        <v>30</v>
      </c>
    </row>
    <row r="131101" spans="1:1" x14ac:dyDescent="0.25">
      <c r="A131101" s="15" t="s">
        <v>26</v>
      </c>
    </row>
    <row r="131102" spans="1:1" x14ac:dyDescent="0.25">
      <c r="A131102" s="15" t="s">
        <v>27</v>
      </c>
    </row>
    <row r="131103" spans="1:1" x14ac:dyDescent="0.25">
      <c r="A131103" s="15" t="s">
        <v>28</v>
      </c>
    </row>
    <row r="131104" spans="1:1" x14ac:dyDescent="0.25">
      <c r="A131104" s="15" t="s">
        <v>89</v>
      </c>
    </row>
    <row r="131105" spans="1:1" x14ac:dyDescent="0.25">
      <c r="A131105" s="15" t="s">
        <v>90</v>
      </c>
    </row>
    <row r="131106" spans="1:1" x14ac:dyDescent="0.25">
      <c r="A131106" s="15" t="s">
        <v>185</v>
      </c>
    </row>
    <row r="131107" spans="1:1" x14ac:dyDescent="0.25">
      <c r="A131107" s="15" t="s">
        <v>186</v>
      </c>
    </row>
    <row r="131108" spans="1:1" x14ac:dyDescent="0.25">
      <c r="A131108" s="15" t="s">
        <v>187</v>
      </c>
    </row>
    <row r="131109" spans="1:1" x14ac:dyDescent="0.25">
      <c r="A131109" s="15" t="s">
        <v>188</v>
      </c>
    </row>
    <row r="131110" spans="1:1" x14ac:dyDescent="0.25">
      <c r="A131110" s="15" t="s">
        <v>189</v>
      </c>
    </row>
    <row r="131111" spans="1:1" x14ac:dyDescent="0.25">
      <c r="A131111" s="15" t="s">
        <v>190</v>
      </c>
    </row>
    <row r="131112" spans="1:1" x14ac:dyDescent="0.25">
      <c r="A131112" s="15" t="s">
        <v>191</v>
      </c>
    </row>
    <row r="131113" spans="1:1" x14ac:dyDescent="0.25">
      <c r="A131113" s="14" t="s">
        <v>47</v>
      </c>
    </row>
    <row r="131114" spans="1:1" x14ac:dyDescent="0.25">
      <c r="A131114" s="14" t="s">
        <v>119</v>
      </c>
    </row>
    <row r="131115" spans="1:1" x14ac:dyDescent="0.25">
      <c r="A131115" s="14" t="s">
        <v>86</v>
      </c>
    </row>
    <row r="131116" spans="1:1" x14ac:dyDescent="0.25">
      <c r="A131116" s="13" t="s">
        <v>21</v>
      </c>
    </row>
    <row r="131117" spans="1:1" x14ac:dyDescent="0.25">
      <c r="A131117" s="14" t="s">
        <v>92</v>
      </c>
    </row>
    <row r="131118" spans="1:1" x14ac:dyDescent="0.25">
      <c r="A131118" s="14" t="s">
        <v>93</v>
      </c>
    </row>
    <row r="131119" spans="1:1" x14ac:dyDescent="0.25">
      <c r="A131119" s="14" t="s">
        <v>99</v>
      </c>
    </row>
    <row r="131120" spans="1:1" x14ac:dyDescent="0.25">
      <c r="A131120" s="14" t="s">
        <v>100</v>
      </c>
    </row>
    <row r="131121" spans="1:1" x14ac:dyDescent="0.25">
      <c r="A131121" s="13" t="s">
        <v>24</v>
      </c>
    </row>
    <row r="131122" spans="1:1" x14ac:dyDescent="0.25">
      <c r="A131122" s="13" t="s">
        <v>83</v>
      </c>
    </row>
    <row r="131123" spans="1:1" x14ac:dyDescent="0.25">
      <c r="A131123" s="13" t="s">
        <v>106</v>
      </c>
    </row>
    <row r="131124" spans="1:1" x14ac:dyDescent="0.25">
      <c r="A131124" s="13" t="s">
        <v>101</v>
      </c>
    </row>
    <row r="131125" spans="1:1" x14ac:dyDescent="0.25">
      <c r="A131125" s="13" t="s">
        <v>102</v>
      </c>
    </row>
    <row r="131126" spans="1:1" x14ac:dyDescent="0.25">
      <c r="A131126" s="13" t="s">
        <v>103</v>
      </c>
    </row>
    <row r="131127" spans="1:1" x14ac:dyDescent="0.25">
      <c r="A131127" s="13" t="s">
        <v>104</v>
      </c>
    </row>
    <row r="131128" spans="1:1" x14ac:dyDescent="0.25">
      <c r="A131128" s="13" t="s">
        <v>105</v>
      </c>
    </row>
    <row r="147458" spans="1:1" x14ac:dyDescent="0.25">
      <c r="A147458" s="13" t="s">
        <v>0</v>
      </c>
    </row>
    <row r="147459" spans="1:1" x14ac:dyDescent="0.25">
      <c r="A147459" s="13" t="s">
        <v>125</v>
      </c>
    </row>
    <row r="147460" spans="1:1" x14ac:dyDescent="0.25">
      <c r="A147460" s="13" t="s">
        <v>1</v>
      </c>
    </row>
    <row r="147461" spans="1:1" x14ac:dyDescent="0.25">
      <c r="A147461" s="13" t="s">
        <v>2</v>
      </c>
    </row>
    <row r="147462" spans="1:1" x14ac:dyDescent="0.25">
      <c r="A147462" s="14" t="s">
        <v>25</v>
      </c>
    </row>
    <row r="147463" spans="1:1" x14ac:dyDescent="0.25">
      <c r="A147463" s="13" t="s">
        <v>126</v>
      </c>
    </row>
    <row r="147464" spans="1:1" x14ac:dyDescent="0.25">
      <c r="A147464" s="13" t="s">
        <v>127</v>
      </c>
    </row>
    <row r="147465" spans="1:1" x14ac:dyDescent="0.25">
      <c r="A147465" s="13" t="s">
        <v>88</v>
      </c>
    </row>
    <row r="147466" spans="1:1" x14ac:dyDescent="0.25">
      <c r="A147466" s="13" t="s">
        <v>22</v>
      </c>
    </row>
    <row r="147467" spans="1:1" x14ac:dyDescent="0.25">
      <c r="A147467" s="13" t="s">
        <v>3</v>
      </c>
    </row>
    <row r="147468" spans="1:1" x14ac:dyDescent="0.25">
      <c r="A147468" s="15" t="s">
        <v>95</v>
      </c>
    </row>
    <row r="147469" spans="1:1" x14ac:dyDescent="0.25">
      <c r="A147469" s="15" t="s">
        <v>94</v>
      </c>
    </row>
    <row r="147470" spans="1:1" x14ac:dyDescent="0.25">
      <c r="A147470" s="15" t="s">
        <v>4</v>
      </c>
    </row>
    <row r="147471" spans="1:1" x14ac:dyDescent="0.25">
      <c r="A147471" s="15" t="s">
        <v>118</v>
      </c>
    </row>
    <row r="147472" spans="1:1" x14ac:dyDescent="0.25">
      <c r="A147472" s="15" t="s">
        <v>5</v>
      </c>
    </row>
    <row r="147473" spans="1:1" x14ac:dyDescent="0.25">
      <c r="A147473" s="15" t="s">
        <v>6</v>
      </c>
    </row>
    <row r="147474" spans="1:1" x14ac:dyDescent="0.25">
      <c r="A147474" s="15" t="s">
        <v>7</v>
      </c>
    </row>
    <row r="147475" spans="1:1" x14ac:dyDescent="0.25">
      <c r="A147475" s="15" t="s">
        <v>8</v>
      </c>
    </row>
    <row r="147476" spans="1:1" x14ac:dyDescent="0.25">
      <c r="A147476" s="15" t="s">
        <v>9</v>
      </c>
    </row>
    <row r="147477" spans="1:1" x14ac:dyDescent="0.25">
      <c r="A147477" s="15" t="s">
        <v>10</v>
      </c>
    </row>
    <row r="147478" spans="1:1" x14ac:dyDescent="0.25">
      <c r="A147478" s="15" t="s">
        <v>11</v>
      </c>
    </row>
    <row r="147479" spans="1:1" x14ac:dyDescent="0.25">
      <c r="A147479" s="15" t="s">
        <v>12</v>
      </c>
    </row>
    <row r="147480" spans="1:1" x14ac:dyDescent="0.25">
      <c r="A147480" s="15" t="s">
        <v>13</v>
      </c>
    </row>
    <row r="147481" spans="1:1" x14ac:dyDescent="0.25">
      <c r="A147481" s="15" t="s">
        <v>14</v>
      </c>
    </row>
    <row r="147482" spans="1:1" x14ac:dyDescent="0.25">
      <c r="A147482" s="13" t="s">
        <v>31</v>
      </c>
    </row>
    <row r="147483" spans="1:1" x14ac:dyDescent="0.25">
      <c r="A147483" s="13" t="s">
        <v>87</v>
      </c>
    </row>
    <row r="147484" spans="1:1" x14ac:dyDescent="0.25">
      <c r="A147484" s="15" t="s">
        <v>30</v>
      </c>
    </row>
    <row r="147485" spans="1:1" x14ac:dyDescent="0.25">
      <c r="A147485" s="15" t="s">
        <v>26</v>
      </c>
    </row>
    <row r="147486" spans="1:1" x14ac:dyDescent="0.25">
      <c r="A147486" s="15" t="s">
        <v>27</v>
      </c>
    </row>
    <row r="147487" spans="1:1" x14ac:dyDescent="0.25">
      <c r="A147487" s="15" t="s">
        <v>28</v>
      </c>
    </row>
    <row r="147488" spans="1:1" x14ac:dyDescent="0.25">
      <c r="A147488" s="15" t="s">
        <v>89</v>
      </c>
    </row>
    <row r="147489" spans="1:1" x14ac:dyDescent="0.25">
      <c r="A147489" s="15" t="s">
        <v>90</v>
      </c>
    </row>
    <row r="147490" spans="1:1" x14ac:dyDescent="0.25">
      <c r="A147490" s="15" t="s">
        <v>185</v>
      </c>
    </row>
    <row r="147491" spans="1:1" x14ac:dyDescent="0.25">
      <c r="A147491" s="15" t="s">
        <v>186</v>
      </c>
    </row>
    <row r="147492" spans="1:1" x14ac:dyDescent="0.25">
      <c r="A147492" s="15" t="s">
        <v>187</v>
      </c>
    </row>
    <row r="147493" spans="1:1" x14ac:dyDescent="0.25">
      <c r="A147493" s="15" t="s">
        <v>188</v>
      </c>
    </row>
    <row r="147494" spans="1:1" x14ac:dyDescent="0.25">
      <c r="A147494" s="15" t="s">
        <v>189</v>
      </c>
    </row>
    <row r="147495" spans="1:1" x14ac:dyDescent="0.25">
      <c r="A147495" s="15" t="s">
        <v>190</v>
      </c>
    </row>
    <row r="147496" spans="1:1" x14ac:dyDescent="0.25">
      <c r="A147496" s="15" t="s">
        <v>191</v>
      </c>
    </row>
    <row r="147497" spans="1:1" x14ac:dyDescent="0.25">
      <c r="A147497" s="14" t="s">
        <v>47</v>
      </c>
    </row>
    <row r="147498" spans="1:1" x14ac:dyDescent="0.25">
      <c r="A147498" s="14" t="s">
        <v>119</v>
      </c>
    </row>
    <row r="147499" spans="1:1" x14ac:dyDescent="0.25">
      <c r="A147499" s="14" t="s">
        <v>86</v>
      </c>
    </row>
    <row r="147500" spans="1:1" x14ac:dyDescent="0.25">
      <c r="A147500" s="13" t="s">
        <v>21</v>
      </c>
    </row>
    <row r="147501" spans="1:1" x14ac:dyDescent="0.25">
      <c r="A147501" s="14" t="s">
        <v>92</v>
      </c>
    </row>
    <row r="147502" spans="1:1" x14ac:dyDescent="0.25">
      <c r="A147502" s="14" t="s">
        <v>93</v>
      </c>
    </row>
    <row r="147503" spans="1:1" x14ac:dyDescent="0.25">
      <c r="A147503" s="14" t="s">
        <v>99</v>
      </c>
    </row>
    <row r="147504" spans="1:1" x14ac:dyDescent="0.25">
      <c r="A147504" s="14" t="s">
        <v>100</v>
      </c>
    </row>
    <row r="147505" spans="1:1" x14ac:dyDescent="0.25">
      <c r="A147505" s="13" t="s">
        <v>24</v>
      </c>
    </row>
    <row r="147506" spans="1:1" x14ac:dyDescent="0.25">
      <c r="A147506" s="13" t="s">
        <v>83</v>
      </c>
    </row>
    <row r="147507" spans="1:1" x14ac:dyDescent="0.25">
      <c r="A147507" s="13" t="s">
        <v>106</v>
      </c>
    </row>
    <row r="147508" spans="1:1" x14ac:dyDescent="0.25">
      <c r="A147508" s="13" t="s">
        <v>101</v>
      </c>
    </row>
    <row r="147509" spans="1:1" x14ac:dyDescent="0.25">
      <c r="A147509" s="13" t="s">
        <v>102</v>
      </c>
    </row>
    <row r="147510" spans="1:1" x14ac:dyDescent="0.25">
      <c r="A147510" s="13" t="s">
        <v>103</v>
      </c>
    </row>
    <row r="147511" spans="1:1" x14ac:dyDescent="0.25">
      <c r="A147511" s="13" t="s">
        <v>104</v>
      </c>
    </row>
    <row r="147512" spans="1:1" x14ac:dyDescent="0.25">
      <c r="A147512" s="13" t="s">
        <v>105</v>
      </c>
    </row>
    <row r="163842" spans="1:1" x14ac:dyDescent="0.25">
      <c r="A163842" s="13" t="s">
        <v>0</v>
      </c>
    </row>
    <row r="163843" spans="1:1" x14ac:dyDescent="0.25">
      <c r="A163843" s="13" t="s">
        <v>125</v>
      </c>
    </row>
    <row r="163844" spans="1:1" x14ac:dyDescent="0.25">
      <c r="A163844" s="13" t="s">
        <v>1</v>
      </c>
    </row>
    <row r="163845" spans="1:1" x14ac:dyDescent="0.25">
      <c r="A163845" s="13" t="s">
        <v>2</v>
      </c>
    </row>
    <row r="163846" spans="1:1" x14ac:dyDescent="0.25">
      <c r="A163846" s="14" t="s">
        <v>25</v>
      </c>
    </row>
    <row r="163847" spans="1:1" x14ac:dyDescent="0.25">
      <c r="A163847" s="13" t="s">
        <v>126</v>
      </c>
    </row>
    <row r="163848" spans="1:1" x14ac:dyDescent="0.25">
      <c r="A163848" s="13" t="s">
        <v>127</v>
      </c>
    </row>
    <row r="163849" spans="1:1" x14ac:dyDescent="0.25">
      <c r="A163849" s="13" t="s">
        <v>88</v>
      </c>
    </row>
    <row r="163850" spans="1:1" x14ac:dyDescent="0.25">
      <c r="A163850" s="13" t="s">
        <v>22</v>
      </c>
    </row>
    <row r="163851" spans="1:1" x14ac:dyDescent="0.25">
      <c r="A163851" s="13" t="s">
        <v>3</v>
      </c>
    </row>
    <row r="163852" spans="1:1" x14ac:dyDescent="0.25">
      <c r="A163852" s="15" t="s">
        <v>95</v>
      </c>
    </row>
    <row r="163853" spans="1:1" x14ac:dyDescent="0.25">
      <c r="A163853" s="15" t="s">
        <v>94</v>
      </c>
    </row>
    <row r="163854" spans="1:1" x14ac:dyDescent="0.25">
      <c r="A163854" s="15" t="s">
        <v>4</v>
      </c>
    </row>
    <row r="163855" spans="1:1" x14ac:dyDescent="0.25">
      <c r="A163855" s="15" t="s">
        <v>118</v>
      </c>
    </row>
    <row r="163856" spans="1:1" x14ac:dyDescent="0.25">
      <c r="A163856" s="15" t="s">
        <v>5</v>
      </c>
    </row>
    <row r="163857" spans="1:1" x14ac:dyDescent="0.25">
      <c r="A163857" s="15" t="s">
        <v>6</v>
      </c>
    </row>
    <row r="163858" spans="1:1" x14ac:dyDescent="0.25">
      <c r="A163858" s="15" t="s">
        <v>7</v>
      </c>
    </row>
    <row r="163859" spans="1:1" x14ac:dyDescent="0.25">
      <c r="A163859" s="15" t="s">
        <v>8</v>
      </c>
    </row>
    <row r="163860" spans="1:1" x14ac:dyDescent="0.25">
      <c r="A163860" s="15" t="s">
        <v>9</v>
      </c>
    </row>
    <row r="163861" spans="1:1" x14ac:dyDescent="0.25">
      <c r="A163861" s="15" t="s">
        <v>10</v>
      </c>
    </row>
    <row r="163862" spans="1:1" x14ac:dyDescent="0.25">
      <c r="A163862" s="15" t="s">
        <v>11</v>
      </c>
    </row>
    <row r="163863" spans="1:1" x14ac:dyDescent="0.25">
      <c r="A163863" s="15" t="s">
        <v>12</v>
      </c>
    </row>
    <row r="163864" spans="1:1" x14ac:dyDescent="0.25">
      <c r="A163864" s="15" t="s">
        <v>13</v>
      </c>
    </row>
    <row r="163865" spans="1:1" x14ac:dyDescent="0.25">
      <c r="A163865" s="15" t="s">
        <v>14</v>
      </c>
    </row>
    <row r="163866" spans="1:1" x14ac:dyDescent="0.25">
      <c r="A163866" s="13" t="s">
        <v>31</v>
      </c>
    </row>
    <row r="163867" spans="1:1" x14ac:dyDescent="0.25">
      <c r="A163867" s="13" t="s">
        <v>87</v>
      </c>
    </row>
    <row r="163868" spans="1:1" x14ac:dyDescent="0.25">
      <c r="A163868" s="15" t="s">
        <v>30</v>
      </c>
    </row>
    <row r="163869" spans="1:1" x14ac:dyDescent="0.25">
      <c r="A163869" s="15" t="s">
        <v>26</v>
      </c>
    </row>
    <row r="163870" spans="1:1" x14ac:dyDescent="0.25">
      <c r="A163870" s="15" t="s">
        <v>27</v>
      </c>
    </row>
    <row r="163871" spans="1:1" x14ac:dyDescent="0.25">
      <c r="A163871" s="15" t="s">
        <v>28</v>
      </c>
    </row>
    <row r="163872" spans="1:1" x14ac:dyDescent="0.25">
      <c r="A163872" s="15" t="s">
        <v>89</v>
      </c>
    </row>
    <row r="163873" spans="1:1" x14ac:dyDescent="0.25">
      <c r="A163873" s="15" t="s">
        <v>90</v>
      </c>
    </row>
    <row r="163874" spans="1:1" x14ac:dyDescent="0.25">
      <c r="A163874" s="15" t="s">
        <v>185</v>
      </c>
    </row>
    <row r="163875" spans="1:1" x14ac:dyDescent="0.25">
      <c r="A163875" s="15" t="s">
        <v>186</v>
      </c>
    </row>
    <row r="163876" spans="1:1" x14ac:dyDescent="0.25">
      <c r="A163876" s="15" t="s">
        <v>187</v>
      </c>
    </row>
    <row r="163877" spans="1:1" x14ac:dyDescent="0.25">
      <c r="A163877" s="15" t="s">
        <v>188</v>
      </c>
    </row>
    <row r="163878" spans="1:1" x14ac:dyDescent="0.25">
      <c r="A163878" s="15" t="s">
        <v>189</v>
      </c>
    </row>
    <row r="163879" spans="1:1" x14ac:dyDescent="0.25">
      <c r="A163879" s="15" t="s">
        <v>190</v>
      </c>
    </row>
    <row r="163880" spans="1:1" x14ac:dyDescent="0.25">
      <c r="A163880" s="15" t="s">
        <v>191</v>
      </c>
    </row>
    <row r="163881" spans="1:1" x14ac:dyDescent="0.25">
      <c r="A163881" s="14" t="s">
        <v>47</v>
      </c>
    </row>
    <row r="163882" spans="1:1" x14ac:dyDescent="0.25">
      <c r="A163882" s="14" t="s">
        <v>119</v>
      </c>
    </row>
    <row r="163883" spans="1:1" x14ac:dyDescent="0.25">
      <c r="A163883" s="14" t="s">
        <v>86</v>
      </c>
    </row>
    <row r="163884" spans="1:1" x14ac:dyDescent="0.25">
      <c r="A163884" s="13" t="s">
        <v>21</v>
      </c>
    </row>
    <row r="163885" spans="1:1" x14ac:dyDescent="0.25">
      <c r="A163885" s="14" t="s">
        <v>92</v>
      </c>
    </row>
    <row r="163886" spans="1:1" x14ac:dyDescent="0.25">
      <c r="A163886" s="14" t="s">
        <v>93</v>
      </c>
    </row>
    <row r="163887" spans="1:1" x14ac:dyDescent="0.25">
      <c r="A163887" s="14" t="s">
        <v>99</v>
      </c>
    </row>
    <row r="163888" spans="1:1" x14ac:dyDescent="0.25">
      <c r="A163888" s="14" t="s">
        <v>100</v>
      </c>
    </row>
    <row r="163889" spans="1:1" x14ac:dyDescent="0.25">
      <c r="A163889" s="13" t="s">
        <v>24</v>
      </c>
    </row>
    <row r="163890" spans="1:1" x14ac:dyDescent="0.25">
      <c r="A163890" s="13" t="s">
        <v>83</v>
      </c>
    </row>
    <row r="163891" spans="1:1" x14ac:dyDescent="0.25">
      <c r="A163891" s="13" t="s">
        <v>106</v>
      </c>
    </row>
    <row r="163892" spans="1:1" x14ac:dyDescent="0.25">
      <c r="A163892" s="13" t="s">
        <v>101</v>
      </c>
    </row>
    <row r="163893" spans="1:1" x14ac:dyDescent="0.25">
      <c r="A163893" s="13" t="s">
        <v>102</v>
      </c>
    </row>
    <row r="163894" spans="1:1" x14ac:dyDescent="0.25">
      <c r="A163894" s="13" t="s">
        <v>103</v>
      </c>
    </row>
    <row r="163895" spans="1:1" x14ac:dyDescent="0.25">
      <c r="A163895" s="13" t="s">
        <v>104</v>
      </c>
    </row>
    <row r="163896" spans="1:1" x14ac:dyDescent="0.25">
      <c r="A163896" s="13" t="s">
        <v>105</v>
      </c>
    </row>
    <row r="180226" spans="1:1" x14ac:dyDescent="0.25">
      <c r="A180226" s="13" t="s">
        <v>0</v>
      </c>
    </row>
    <row r="180227" spans="1:1" x14ac:dyDescent="0.25">
      <c r="A180227" s="13" t="s">
        <v>125</v>
      </c>
    </row>
    <row r="180228" spans="1:1" x14ac:dyDescent="0.25">
      <c r="A180228" s="13" t="s">
        <v>1</v>
      </c>
    </row>
    <row r="180229" spans="1:1" x14ac:dyDescent="0.25">
      <c r="A180229" s="13" t="s">
        <v>2</v>
      </c>
    </row>
    <row r="180230" spans="1:1" x14ac:dyDescent="0.25">
      <c r="A180230" s="14" t="s">
        <v>25</v>
      </c>
    </row>
    <row r="180231" spans="1:1" x14ac:dyDescent="0.25">
      <c r="A180231" s="13" t="s">
        <v>126</v>
      </c>
    </row>
    <row r="180232" spans="1:1" x14ac:dyDescent="0.25">
      <c r="A180232" s="13" t="s">
        <v>127</v>
      </c>
    </row>
    <row r="180233" spans="1:1" x14ac:dyDescent="0.25">
      <c r="A180233" s="13" t="s">
        <v>88</v>
      </c>
    </row>
    <row r="180234" spans="1:1" x14ac:dyDescent="0.25">
      <c r="A180234" s="13" t="s">
        <v>22</v>
      </c>
    </row>
    <row r="180235" spans="1:1" x14ac:dyDescent="0.25">
      <c r="A180235" s="13" t="s">
        <v>3</v>
      </c>
    </row>
    <row r="180236" spans="1:1" x14ac:dyDescent="0.25">
      <c r="A180236" s="15" t="s">
        <v>95</v>
      </c>
    </row>
    <row r="180237" spans="1:1" x14ac:dyDescent="0.25">
      <c r="A180237" s="15" t="s">
        <v>94</v>
      </c>
    </row>
    <row r="180238" spans="1:1" x14ac:dyDescent="0.25">
      <c r="A180238" s="15" t="s">
        <v>4</v>
      </c>
    </row>
    <row r="180239" spans="1:1" x14ac:dyDescent="0.25">
      <c r="A180239" s="15" t="s">
        <v>118</v>
      </c>
    </row>
    <row r="180240" spans="1:1" x14ac:dyDescent="0.25">
      <c r="A180240" s="15" t="s">
        <v>5</v>
      </c>
    </row>
    <row r="180241" spans="1:1" x14ac:dyDescent="0.25">
      <c r="A180241" s="15" t="s">
        <v>6</v>
      </c>
    </row>
    <row r="180242" spans="1:1" x14ac:dyDescent="0.25">
      <c r="A180242" s="15" t="s">
        <v>7</v>
      </c>
    </row>
    <row r="180243" spans="1:1" x14ac:dyDescent="0.25">
      <c r="A180243" s="15" t="s">
        <v>8</v>
      </c>
    </row>
    <row r="180244" spans="1:1" x14ac:dyDescent="0.25">
      <c r="A180244" s="15" t="s">
        <v>9</v>
      </c>
    </row>
    <row r="180245" spans="1:1" x14ac:dyDescent="0.25">
      <c r="A180245" s="15" t="s">
        <v>10</v>
      </c>
    </row>
    <row r="180246" spans="1:1" x14ac:dyDescent="0.25">
      <c r="A180246" s="15" t="s">
        <v>11</v>
      </c>
    </row>
    <row r="180247" spans="1:1" x14ac:dyDescent="0.25">
      <c r="A180247" s="15" t="s">
        <v>12</v>
      </c>
    </row>
    <row r="180248" spans="1:1" x14ac:dyDescent="0.25">
      <c r="A180248" s="15" t="s">
        <v>13</v>
      </c>
    </row>
    <row r="180249" spans="1:1" x14ac:dyDescent="0.25">
      <c r="A180249" s="15" t="s">
        <v>14</v>
      </c>
    </row>
    <row r="180250" spans="1:1" x14ac:dyDescent="0.25">
      <c r="A180250" s="13" t="s">
        <v>31</v>
      </c>
    </row>
    <row r="180251" spans="1:1" x14ac:dyDescent="0.25">
      <c r="A180251" s="13" t="s">
        <v>87</v>
      </c>
    </row>
    <row r="180252" spans="1:1" x14ac:dyDescent="0.25">
      <c r="A180252" s="15" t="s">
        <v>30</v>
      </c>
    </row>
    <row r="180253" spans="1:1" x14ac:dyDescent="0.25">
      <c r="A180253" s="15" t="s">
        <v>26</v>
      </c>
    </row>
    <row r="180254" spans="1:1" x14ac:dyDescent="0.25">
      <c r="A180254" s="15" t="s">
        <v>27</v>
      </c>
    </row>
    <row r="180255" spans="1:1" x14ac:dyDescent="0.25">
      <c r="A180255" s="15" t="s">
        <v>28</v>
      </c>
    </row>
    <row r="180256" spans="1:1" x14ac:dyDescent="0.25">
      <c r="A180256" s="15" t="s">
        <v>89</v>
      </c>
    </row>
    <row r="180257" spans="1:1" x14ac:dyDescent="0.25">
      <c r="A180257" s="15" t="s">
        <v>90</v>
      </c>
    </row>
    <row r="180258" spans="1:1" x14ac:dyDescent="0.25">
      <c r="A180258" s="15" t="s">
        <v>185</v>
      </c>
    </row>
    <row r="180259" spans="1:1" x14ac:dyDescent="0.25">
      <c r="A180259" s="15" t="s">
        <v>186</v>
      </c>
    </row>
    <row r="180260" spans="1:1" x14ac:dyDescent="0.25">
      <c r="A180260" s="15" t="s">
        <v>187</v>
      </c>
    </row>
    <row r="180261" spans="1:1" x14ac:dyDescent="0.25">
      <c r="A180261" s="15" t="s">
        <v>188</v>
      </c>
    </row>
    <row r="180262" spans="1:1" x14ac:dyDescent="0.25">
      <c r="A180262" s="15" t="s">
        <v>189</v>
      </c>
    </row>
    <row r="180263" spans="1:1" x14ac:dyDescent="0.25">
      <c r="A180263" s="15" t="s">
        <v>190</v>
      </c>
    </row>
    <row r="180264" spans="1:1" x14ac:dyDescent="0.25">
      <c r="A180264" s="15" t="s">
        <v>191</v>
      </c>
    </row>
    <row r="180265" spans="1:1" x14ac:dyDescent="0.25">
      <c r="A180265" s="14" t="s">
        <v>47</v>
      </c>
    </row>
    <row r="180266" spans="1:1" x14ac:dyDescent="0.25">
      <c r="A180266" s="14" t="s">
        <v>119</v>
      </c>
    </row>
    <row r="180267" spans="1:1" x14ac:dyDescent="0.25">
      <c r="A180267" s="14" t="s">
        <v>86</v>
      </c>
    </row>
    <row r="180268" spans="1:1" x14ac:dyDescent="0.25">
      <c r="A180268" s="13" t="s">
        <v>21</v>
      </c>
    </row>
    <row r="180269" spans="1:1" x14ac:dyDescent="0.25">
      <c r="A180269" s="14" t="s">
        <v>92</v>
      </c>
    </row>
    <row r="180270" spans="1:1" x14ac:dyDescent="0.25">
      <c r="A180270" s="14" t="s">
        <v>93</v>
      </c>
    </row>
    <row r="180271" spans="1:1" x14ac:dyDescent="0.25">
      <c r="A180271" s="14" t="s">
        <v>99</v>
      </c>
    </row>
    <row r="180272" spans="1:1" x14ac:dyDescent="0.25">
      <c r="A180272" s="14" t="s">
        <v>100</v>
      </c>
    </row>
    <row r="180273" spans="1:1" x14ac:dyDescent="0.25">
      <c r="A180273" s="13" t="s">
        <v>24</v>
      </c>
    </row>
    <row r="180274" spans="1:1" x14ac:dyDescent="0.25">
      <c r="A180274" s="13" t="s">
        <v>83</v>
      </c>
    </row>
    <row r="180275" spans="1:1" x14ac:dyDescent="0.25">
      <c r="A180275" s="13" t="s">
        <v>106</v>
      </c>
    </row>
    <row r="180276" spans="1:1" x14ac:dyDescent="0.25">
      <c r="A180276" s="13" t="s">
        <v>101</v>
      </c>
    </row>
    <row r="180277" spans="1:1" x14ac:dyDescent="0.25">
      <c r="A180277" s="13" t="s">
        <v>102</v>
      </c>
    </row>
    <row r="180278" spans="1:1" x14ac:dyDescent="0.25">
      <c r="A180278" s="13" t="s">
        <v>103</v>
      </c>
    </row>
    <row r="180279" spans="1:1" x14ac:dyDescent="0.25">
      <c r="A180279" s="13" t="s">
        <v>104</v>
      </c>
    </row>
    <row r="180280" spans="1:1" x14ac:dyDescent="0.25">
      <c r="A180280" s="13" t="s">
        <v>105</v>
      </c>
    </row>
    <row r="196610" spans="1:1" x14ac:dyDescent="0.25">
      <c r="A196610" s="13" t="s">
        <v>0</v>
      </c>
    </row>
    <row r="196611" spans="1:1" x14ac:dyDescent="0.25">
      <c r="A196611" s="13" t="s">
        <v>125</v>
      </c>
    </row>
    <row r="196612" spans="1:1" x14ac:dyDescent="0.25">
      <c r="A196612" s="13" t="s">
        <v>1</v>
      </c>
    </row>
    <row r="196613" spans="1:1" x14ac:dyDescent="0.25">
      <c r="A196613" s="13" t="s">
        <v>2</v>
      </c>
    </row>
    <row r="196614" spans="1:1" x14ac:dyDescent="0.25">
      <c r="A196614" s="14" t="s">
        <v>25</v>
      </c>
    </row>
    <row r="196615" spans="1:1" x14ac:dyDescent="0.25">
      <c r="A196615" s="13" t="s">
        <v>126</v>
      </c>
    </row>
    <row r="196616" spans="1:1" x14ac:dyDescent="0.25">
      <c r="A196616" s="13" t="s">
        <v>127</v>
      </c>
    </row>
    <row r="196617" spans="1:1" x14ac:dyDescent="0.25">
      <c r="A196617" s="13" t="s">
        <v>88</v>
      </c>
    </row>
    <row r="196618" spans="1:1" x14ac:dyDescent="0.25">
      <c r="A196618" s="13" t="s">
        <v>22</v>
      </c>
    </row>
    <row r="196619" spans="1:1" x14ac:dyDescent="0.25">
      <c r="A196619" s="13" t="s">
        <v>3</v>
      </c>
    </row>
    <row r="196620" spans="1:1" x14ac:dyDescent="0.25">
      <c r="A196620" s="15" t="s">
        <v>95</v>
      </c>
    </row>
    <row r="196621" spans="1:1" x14ac:dyDescent="0.25">
      <c r="A196621" s="15" t="s">
        <v>94</v>
      </c>
    </row>
    <row r="196622" spans="1:1" x14ac:dyDescent="0.25">
      <c r="A196622" s="15" t="s">
        <v>4</v>
      </c>
    </row>
    <row r="196623" spans="1:1" x14ac:dyDescent="0.25">
      <c r="A196623" s="15" t="s">
        <v>118</v>
      </c>
    </row>
    <row r="196624" spans="1:1" x14ac:dyDescent="0.25">
      <c r="A196624" s="15" t="s">
        <v>5</v>
      </c>
    </row>
    <row r="196625" spans="1:1" x14ac:dyDescent="0.25">
      <c r="A196625" s="15" t="s">
        <v>6</v>
      </c>
    </row>
    <row r="196626" spans="1:1" x14ac:dyDescent="0.25">
      <c r="A196626" s="15" t="s">
        <v>7</v>
      </c>
    </row>
    <row r="196627" spans="1:1" x14ac:dyDescent="0.25">
      <c r="A196627" s="15" t="s">
        <v>8</v>
      </c>
    </row>
    <row r="196628" spans="1:1" x14ac:dyDescent="0.25">
      <c r="A196628" s="15" t="s">
        <v>9</v>
      </c>
    </row>
    <row r="196629" spans="1:1" x14ac:dyDescent="0.25">
      <c r="A196629" s="15" t="s">
        <v>10</v>
      </c>
    </row>
    <row r="196630" spans="1:1" x14ac:dyDescent="0.25">
      <c r="A196630" s="15" t="s">
        <v>11</v>
      </c>
    </row>
    <row r="196631" spans="1:1" x14ac:dyDescent="0.25">
      <c r="A196631" s="15" t="s">
        <v>12</v>
      </c>
    </row>
    <row r="196632" spans="1:1" x14ac:dyDescent="0.25">
      <c r="A196632" s="15" t="s">
        <v>13</v>
      </c>
    </row>
    <row r="196633" spans="1:1" x14ac:dyDescent="0.25">
      <c r="A196633" s="15" t="s">
        <v>14</v>
      </c>
    </row>
    <row r="196634" spans="1:1" x14ac:dyDescent="0.25">
      <c r="A196634" s="13" t="s">
        <v>31</v>
      </c>
    </row>
    <row r="196635" spans="1:1" x14ac:dyDescent="0.25">
      <c r="A196635" s="13" t="s">
        <v>87</v>
      </c>
    </row>
    <row r="196636" spans="1:1" x14ac:dyDescent="0.25">
      <c r="A196636" s="15" t="s">
        <v>30</v>
      </c>
    </row>
    <row r="196637" spans="1:1" x14ac:dyDescent="0.25">
      <c r="A196637" s="15" t="s">
        <v>26</v>
      </c>
    </row>
    <row r="196638" spans="1:1" x14ac:dyDescent="0.25">
      <c r="A196638" s="15" t="s">
        <v>27</v>
      </c>
    </row>
    <row r="196639" spans="1:1" x14ac:dyDescent="0.25">
      <c r="A196639" s="15" t="s">
        <v>28</v>
      </c>
    </row>
    <row r="196640" spans="1:1" x14ac:dyDescent="0.25">
      <c r="A196640" s="15" t="s">
        <v>89</v>
      </c>
    </row>
    <row r="196641" spans="1:1" x14ac:dyDescent="0.25">
      <c r="A196641" s="15" t="s">
        <v>90</v>
      </c>
    </row>
    <row r="196642" spans="1:1" x14ac:dyDescent="0.25">
      <c r="A196642" s="15" t="s">
        <v>185</v>
      </c>
    </row>
    <row r="196643" spans="1:1" x14ac:dyDescent="0.25">
      <c r="A196643" s="15" t="s">
        <v>186</v>
      </c>
    </row>
    <row r="196644" spans="1:1" x14ac:dyDescent="0.25">
      <c r="A196644" s="15" t="s">
        <v>187</v>
      </c>
    </row>
    <row r="196645" spans="1:1" x14ac:dyDescent="0.25">
      <c r="A196645" s="15" t="s">
        <v>188</v>
      </c>
    </row>
    <row r="196646" spans="1:1" x14ac:dyDescent="0.25">
      <c r="A196646" s="15" t="s">
        <v>189</v>
      </c>
    </row>
    <row r="196647" spans="1:1" x14ac:dyDescent="0.25">
      <c r="A196647" s="15" t="s">
        <v>190</v>
      </c>
    </row>
    <row r="196648" spans="1:1" x14ac:dyDescent="0.25">
      <c r="A196648" s="15" t="s">
        <v>191</v>
      </c>
    </row>
    <row r="196649" spans="1:1" x14ac:dyDescent="0.25">
      <c r="A196649" s="14" t="s">
        <v>47</v>
      </c>
    </row>
    <row r="196650" spans="1:1" x14ac:dyDescent="0.25">
      <c r="A196650" s="14" t="s">
        <v>119</v>
      </c>
    </row>
    <row r="196651" spans="1:1" x14ac:dyDescent="0.25">
      <c r="A196651" s="14" t="s">
        <v>86</v>
      </c>
    </row>
    <row r="196652" spans="1:1" x14ac:dyDescent="0.25">
      <c r="A196652" s="13" t="s">
        <v>21</v>
      </c>
    </row>
    <row r="196653" spans="1:1" x14ac:dyDescent="0.25">
      <c r="A196653" s="14" t="s">
        <v>92</v>
      </c>
    </row>
    <row r="196654" spans="1:1" x14ac:dyDescent="0.25">
      <c r="A196654" s="14" t="s">
        <v>93</v>
      </c>
    </row>
    <row r="196655" spans="1:1" x14ac:dyDescent="0.25">
      <c r="A196655" s="14" t="s">
        <v>99</v>
      </c>
    </row>
    <row r="196656" spans="1:1" x14ac:dyDescent="0.25">
      <c r="A196656" s="14" t="s">
        <v>100</v>
      </c>
    </row>
    <row r="196657" spans="1:1" x14ac:dyDescent="0.25">
      <c r="A196657" s="13" t="s">
        <v>24</v>
      </c>
    </row>
    <row r="196658" spans="1:1" x14ac:dyDescent="0.25">
      <c r="A196658" s="13" t="s">
        <v>83</v>
      </c>
    </row>
    <row r="196659" spans="1:1" x14ac:dyDescent="0.25">
      <c r="A196659" s="13" t="s">
        <v>106</v>
      </c>
    </row>
    <row r="196660" spans="1:1" x14ac:dyDescent="0.25">
      <c r="A196660" s="13" t="s">
        <v>101</v>
      </c>
    </row>
    <row r="196661" spans="1:1" x14ac:dyDescent="0.25">
      <c r="A196661" s="13" t="s">
        <v>102</v>
      </c>
    </row>
    <row r="196662" spans="1:1" x14ac:dyDescent="0.25">
      <c r="A196662" s="13" t="s">
        <v>103</v>
      </c>
    </row>
    <row r="196663" spans="1:1" x14ac:dyDescent="0.25">
      <c r="A196663" s="13" t="s">
        <v>104</v>
      </c>
    </row>
    <row r="196664" spans="1:1" x14ac:dyDescent="0.25">
      <c r="A196664" s="13" t="s">
        <v>105</v>
      </c>
    </row>
    <row r="212994" spans="1:1" x14ac:dyDescent="0.25">
      <c r="A212994" s="13" t="s">
        <v>0</v>
      </c>
    </row>
    <row r="212995" spans="1:1" x14ac:dyDescent="0.25">
      <c r="A212995" s="13" t="s">
        <v>125</v>
      </c>
    </row>
    <row r="212996" spans="1:1" x14ac:dyDescent="0.25">
      <c r="A212996" s="13" t="s">
        <v>1</v>
      </c>
    </row>
    <row r="212997" spans="1:1" x14ac:dyDescent="0.25">
      <c r="A212997" s="13" t="s">
        <v>2</v>
      </c>
    </row>
    <row r="212998" spans="1:1" x14ac:dyDescent="0.25">
      <c r="A212998" s="14" t="s">
        <v>25</v>
      </c>
    </row>
    <row r="212999" spans="1:1" x14ac:dyDescent="0.25">
      <c r="A212999" s="13" t="s">
        <v>126</v>
      </c>
    </row>
    <row r="213000" spans="1:1" x14ac:dyDescent="0.25">
      <c r="A213000" s="13" t="s">
        <v>127</v>
      </c>
    </row>
    <row r="213001" spans="1:1" x14ac:dyDescent="0.25">
      <c r="A213001" s="13" t="s">
        <v>88</v>
      </c>
    </row>
    <row r="213002" spans="1:1" x14ac:dyDescent="0.25">
      <c r="A213002" s="13" t="s">
        <v>22</v>
      </c>
    </row>
    <row r="213003" spans="1:1" x14ac:dyDescent="0.25">
      <c r="A213003" s="13" t="s">
        <v>3</v>
      </c>
    </row>
    <row r="213004" spans="1:1" x14ac:dyDescent="0.25">
      <c r="A213004" s="15" t="s">
        <v>95</v>
      </c>
    </row>
    <row r="213005" spans="1:1" x14ac:dyDescent="0.25">
      <c r="A213005" s="15" t="s">
        <v>94</v>
      </c>
    </row>
    <row r="213006" spans="1:1" x14ac:dyDescent="0.25">
      <c r="A213006" s="15" t="s">
        <v>4</v>
      </c>
    </row>
    <row r="213007" spans="1:1" x14ac:dyDescent="0.25">
      <c r="A213007" s="15" t="s">
        <v>118</v>
      </c>
    </row>
    <row r="213008" spans="1:1" x14ac:dyDescent="0.25">
      <c r="A213008" s="15" t="s">
        <v>5</v>
      </c>
    </row>
    <row r="213009" spans="1:1" x14ac:dyDescent="0.25">
      <c r="A213009" s="15" t="s">
        <v>6</v>
      </c>
    </row>
    <row r="213010" spans="1:1" x14ac:dyDescent="0.25">
      <c r="A213010" s="15" t="s">
        <v>7</v>
      </c>
    </row>
    <row r="213011" spans="1:1" x14ac:dyDescent="0.25">
      <c r="A213011" s="15" t="s">
        <v>8</v>
      </c>
    </row>
    <row r="213012" spans="1:1" x14ac:dyDescent="0.25">
      <c r="A213012" s="15" t="s">
        <v>9</v>
      </c>
    </row>
    <row r="213013" spans="1:1" x14ac:dyDescent="0.25">
      <c r="A213013" s="15" t="s">
        <v>10</v>
      </c>
    </row>
    <row r="213014" spans="1:1" x14ac:dyDescent="0.25">
      <c r="A213014" s="15" t="s">
        <v>11</v>
      </c>
    </row>
    <row r="213015" spans="1:1" x14ac:dyDescent="0.25">
      <c r="A213015" s="15" t="s">
        <v>12</v>
      </c>
    </row>
    <row r="213016" spans="1:1" x14ac:dyDescent="0.25">
      <c r="A213016" s="15" t="s">
        <v>13</v>
      </c>
    </row>
    <row r="213017" spans="1:1" x14ac:dyDescent="0.25">
      <c r="A213017" s="15" t="s">
        <v>14</v>
      </c>
    </row>
    <row r="213018" spans="1:1" x14ac:dyDescent="0.25">
      <c r="A213018" s="13" t="s">
        <v>31</v>
      </c>
    </row>
    <row r="213019" spans="1:1" x14ac:dyDescent="0.25">
      <c r="A213019" s="13" t="s">
        <v>87</v>
      </c>
    </row>
    <row r="213020" spans="1:1" x14ac:dyDescent="0.25">
      <c r="A213020" s="15" t="s">
        <v>30</v>
      </c>
    </row>
    <row r="213021" spans="1:1" x14ac:dyDescent="0.25">
      <c r="A213021" s="15" t="s">
        <v>26</v>
      </c>
    </row>
    <row r="213022" spans="1:1" x14ac:dyDescent="0.25">
      <c r="A213022" s="15" t="s">
        <v>27</v>
      </c>
    </row>
    <row r="213023" spans="1:1" x14ac:dyDescent="0.25">
      <c r="A213023" s="15" t="s">
        <v>28</v>
      </c>
    </row>
    <row r="213024" spans="1:1" x14ac:dyDescent="0.25">
      <c r="A213024" s="15" t="s">
        <v>89</v>
      </c>
    </row>
    <row r="213025" spans="1:1" x14ac:dyDescent="0.25">
      <c r="A213025" s="15" t="s">
        <v>90</v>
      </c>
    </row>
    <row r="213026" spans="1:1" x14ac:dyDescent="0.25">
      <c r="A213026" s="15" t="s">
        <v>185</v>
      </c>
    </row>
    <row r="213027" spans="1:1" x14ac:dyDescent="0.25">
      <c r="A213027" s="15" t="s">
        <v>186</v>
      </c>
    </row>
    <row r="213028" spans="1:1" x14ac:dyDescent="0.25">
      <c r="A213028" s="15" t="s">
        <v>187</v>
      </c>
    </row>
    <row r="213029" spans="1:1" x14ac:dyDescent="0.25">
      <c r="A213029" s="15" t="s">
        <v>188</v>
      </c>
    </row>
    <row r="213030" spans="1:1" x14ac:dyDescent="0.25">
      <c r="A213030" s="15" t="s">
        <v>189</v>
      </c>
    </row>
    <row r="213031" spans="1:1" x14ac:dyDescent="0.25">
      <c r="A213031" s="15" t="s">
        <v>190</v>
      </c>
    </row>
    <row r="213032" spans="1:1" x14ac:dyDescent="0.25">
      <c r="A213032" s="15" t="s">
        <v>191</v>
      </c>
    </row>
    <row r="213033" spans="1:1" x14ac:dyDescent="0.25">
      <c r="A213033" s="14" t="s">
        <v>47</v>
      </c>
    </row>
    <row r="213034" spans="1:1" x14ac:dyDescent="0.25">
      <c r="A213034" s="14" t="s">
        <v>119</v>
      </c>
    </row>
    <row r="213035" spans="1:1" x14ac:dyDescent="0.25">
      <c r="A213035" s="14" t="s">
        <v>86</v>
      </c>
    </row>
    <row r="213036" spans="1:1" x14ac:dyDescent="0.25">
      <c r="A213036" s="13" t="s">
        <v>21</v>
      </c>
    </row>
    <row r="213037" spans="1:1" x14ac:dyDescent="0.25">
      <c r="A213037" s="14" t="s">
        <v>92</v>
      </c>
    </row>
    <row r="213038" spans="1:1" x14ac:dyDescent="0.25">
      <c r="A213038" s="14" t="s">
        <v>93</v>
      </c>
    </row>
    <row r="213039" spans="1:1" x14ac:dyDescent="0.25">
      <c r="A213039" s="14" t="s">
        <v>99</v>
      </c>
    </row>
    <row r="213040" spans="1:1" x14ac:dyDescent="0.25">
      <c r="A213040" s="14" t="s">
        <v>100</v>
      </c>
    </row>
    <row r="213041" spans="1:1" x14ac:dyDescent="0.25">
      <c r="A213041" s="13" t="s">
        <v>24</v>
      </c>
    </row>
    <row r="213042" spans="1:1" x14ac:dyDescent="0.25">
      <c r="A213042" s="13" t="s">
        <v>83</v>
      </c>
    </row>
    <row r="213043" spans="1:1" x14ac:dyDescent="0.25">
      <c r="A213043" s="13" t="s">
        <v>106</v>
      </c>
    </row>
    <row r="213044" spans="1:1" x14ac:dyDescent="0.25">
      <c r="A213044" s="13" t="s">
        <v>101</v>
      </c>
    </row>
    <row r="213045" spans="1:1" x14ac:dyDescent="0.25">
      <c r="A213045" s="13" t="s">
        <v>102</v>
      </c>
    </row>
    <row r="213046" spans="1:1" x14ac:dyDescent="0.25">
      <c r="A213046" s="13" t="s">
        <v>103</v>
      </c>
    </row>
    <row r="213047" spans="1:1" x14ac:dyDescent="0.25">
      <c r="A213047" s="13" t="s">
        <v>104</v>
      </c>
    </row>
    <row r="213048" spans="1:1" x14ac:dyDescent="0.25">
      <c r="A213048" s="13" t="s">
        <v>105</v>
      </c>
    </row>
    <row r="229378" spans="1:1" x14ac:dyDescent="0.25">
      <c r="A229378" s="13" t="s">
        <v>0</v>
      </c>
    </row>
    <row r="229379" spans="1:1" x14ac:dyDescent="0.25">
      <c r="A229379" s="13" t="s">
        <v>125</v>
      </c>
    </row>
    <row r="229380" spans="1:1" x14ac:dyDescent="0.25">
      <c r="A229380" s="13" t="s">
        <v>1</v>
      </c>
    </row>
    <row r="229381" spans="1:1" x14ac:dyDescent="0.25">
      <c r="A229381" s="13" t="s">
        <v>2</v>
      </c>
    </row>
    <row r="229382" spans="1:1" x14ac:dyDescent="0.25">
      <c r="A229382" s="14" t="s">
        <v>25</v>
      </c>
    </row>
    <row r="229383" spans="1:1" x14ac:dyDescent="0.25">
      <c r="A229383" s="13" t="s">
        <v>126</v>
      </c>
    </row>
    <row r="229384" spans="1:1" x14ac:dyDescent="0.25">
      <c r="A229384" s="13" t="s">
        <v>127</v>
      </c>
    </row>
    <row r="229385" spans="1:1" x14ac:dyDescent="0.25">
      <c r="A229385" s="13" t="s">
        <v>88</v>
      </c>
    </row>
    <row r="229386" spans="1:1" x14ac:dyDescent="0.25">
      <c r="A229386" s="13" t="s">
        <v>22</v>
      </c>
    </row>
    <row r="229387" spans="1:1" x14ac:dyDescent="0.25">
      <c r="A229387" s="13" t="s">
        <v>3</v>
      </c>
    </row>
    <row r="229388" spans="1:1" x14ac:dyDescent="0.25">
      <c r="A229388" s="15" t="s">
        <v>95</v>
      </c>
    </row>
    <row r="229389" spans="1:1" x14ac:dyDescent="0.25">
      <c r="A229389" s="15" t="s">
        <v>94</v>
      </c>
    </row>
    <row r="229390" spans="1:1" x14ac:dyDescent="0.25">
      <c r="A229390" s="15" t="s">
        <v>4</v>
      </c>
    </row>
    <row r="229391" spans="1:1" x14ac:dyDescent="0.25">
      <c r="A229391" s="15" t="s">
        <v>118</v>
      </c>
    </row>
    <row r="229392" spans="1:1" x14ac:dyDescent="0.25">
      <c r="A229392" s="15" t="s">
        <v>5</v>
      </c>
    </row>
    <row r="229393" spans="1:1" x14ac:dyDescent="0.25">
      <c r="A229393" s="15" t="s">
        <v>6</v>
      </c>
    </row>
    <row r="229394" spans="1:1" x14ac:dyDescent="0.25">
      <c r="A229394" s="15" t="s">
        <v>7</v>
      </c>
    </row>
    <row r="229395" spans="1:1" x14ac:dyDescent="0.25">
      <c r="A229395" s="15" t="s">
        <v>8</v>
      </c>
    </row>
    <row r="229396" spans="1:1" x14ac:dyDescent="0.25">
      <c r="A229396" s="15" t="s">
        <v>9</v>
      </c>
    </row>
    <row r="229397" spans="1:1" x14ac:dyDescent="0.25">
      <c r="A229397" s="15" t="s">
        <v>10</v>
      </c>
    </row>
    <row r="229398" spans="1:1" x14ac:dyDescent="0.25">
      <c r="A229398" s="15" t="s">
        <v>11</v>
      </c>
    </row>
    <row r="229399" spans="1:1" x14ac:dyDescent="0.25">
      <c r="A229399" s="15" t="s">
        <v>12</v>
      </c>
    </row>
    <row r="229400" spans="1:1" x14ac:dyDescent="0.25">
      <c r="A229400" s="15" t="s">
        <v>13</v>
      </c>
    </row>
    <row r="229401" spans="1:1" x14ac:dyDescent="0.25">
      <c r="A229401" s="15" t="s">
        <v>14</v>
      </c>
    </row>
    <row r="229402" spans="1:1" x14ac:dyDescent="0.25">
      <c r="A229402" s="13" t="s">
        <v>31</v>
      </c>
    </row>
    <row r="229403" spans="1:1" x14ac:dyDescent="0.25">
      <c r="A229403" s="13" t="s">
        <v>87</v>
      </c>
    </row>
    <row r="229404" spans="1:1" x14ac:dyDescent="0.25">
      <c r="A229404" s="15" t="s">
        <v>30</v>
      </c>
    </row>
    <row r="229405" spans="1:1" x14ac:dyDescent="0.25">
      <c r="A229405" s="15" t="s">
        <v>26</v>
      </c>
    </row>
    <row r="229406" spans="1:1" x14ac:dyDescent="0.25">
      <c r="A229406" s="15" t="s">
        <v>27</v>
      </c>
    </row>
    <row r="229407" spans="1:1" x14ac:dyDescent="0.25">
      <c r="A229407" s="15" t="s">
        <v>28</v>
      </c>
    </row>
    <row r="229408" spans="1:1" x14ac:dyDescent="0.25">
      <c r="A229408" s="15" t="s">
        <v>89</v>
      </c>
    </row>
    <row r="229409" spans="1:1" x14ac:dyDescent="0.25">
      <c r="A229409" s="15" t="s">
        <v>90</v>
      </c>
    </row>
    <row r="229410" spans="1:1" x14ac:dyDescent="0.25">
      <c r="A229410" s="15" t="s">
        <v>185</v>
      </c>
    </row>
    <row r="229411" spans="1:1" x14ac:dyDescent="0.25">
      <c r="A229411" s="15" t="s">
        <v>186</v>
      </c>
    </row>
    <row r="229412" spans="1:1" x14ac:dyDescent="0.25">
      <c r="A229412" s="15" t="s">
        <v>187</v>
      </c>
    </row>
    <row r="229413" spans="1:1" x14ac:dyDescent="0.25">
      <c r="A229413" s="15" t="s">
        <v>188</v>
      </c>
    </row>
    <row r="229414" spans="1:1" x14ac:dyDescent="0.25">
      <c r="A229414" s="15" t="s">
        <v>189</v>
      </c>
    </row>
    <row r="229415" spans="1:1" x14ac:dyDescent="0.25">
      <c r="A229415" s="15" t="s">
        <v>190</v>
      </c>
    </row>
    <row r="229416" spans="1:1" x14ac:dyDescent="0.25">
      <c r="A229416" s="15" t="s">
        <v>191</v>
      </c>
    </row>
    <row r="229417" spans="1:1" x14ac:dyDescent="0.25">
      <c r="A229417" s="14" t="s">
        <v>47</v>
      </c>
    </row>
    <row r="229418" spans="1:1" x14ac:dyDescent="0.25">
      <c r="A229418" s="14" t="s">
        <v>119</v>
      </c>
    </row>
    <row r="229419" spans="1:1" x14ac:dyDescent="0.25">
      <c r="A229419" s="14" t="s">
        <v>86</v>
      </c>
    </row>
    <row r="229420" spans="1:1" x14ac:dyDescent="0.25">
      <c r="A229420" s="13" t="s">
        <v>21</v>
      </c>
    </row>
    <row r="229421" spans="1:1" x14ac:dyDescent="0.25">
      <c r="A229421" s="14" t="s">
        <v>92</v>
      </c>
    </row>
    <row r="229422" spans="1:1" x14ac:dyDescent="0.25">
      <c r="A229422" s="14" t="s">
        <v>93</v>
      </c>
    </row>
    <row r="229423" spans="1:1" x14ac:dyDescent="0.25">
      <c r="A229423" s="14" t="s">
        <v>99</v>
      </c>
    </row>
    <row r="229424" spans="1:1" x14ac:dyDescent="0.25">
      <c r="A229424" s="14" t="s">
        <v>100</v>
      </c>
    </row>
    <row r="229425" spans="1:1" x14ac:dyDescent="0.25">
      <c r="A229425" s="13" t="s">
        <v>24</v>
      </c>
    </row>
    <row r="229426" spans="1:1" x14ac:dyDescent="0.25">
      <c r="A229426" s="13" t="s">
        <v>83</v>
      </c>
    </row>
    <row r="229427" spans="1:1" x14ac:dyDescent="0.25">
      <c r="A229427" s="13" t="s">
        <v>106</v>
      </c>
    </row>
    <row r="229428" spans="1:1" x14ac:dyDescent="0.25">
      <c r="A229428" s="13" t="s">
        <v>101</v>
      </c>
    </row>
    <row r="229429" spans="1:1" x14ac:dyDescent="0.25">
      <c r="A229429" s="13" t="s">
        <v>102</v>
      </c>
    </row>
    <row r="229430" spans="1:1" x14ac:dyDescent="0.25">
      <c r="A229430" s="13" t="s">
        <v>103</v>
      </c>
    </row>
    <row r="229431" spans="1:1" x14ac:dyDescent="0.25">
      <c r="A229431" s="13" t="s">
        <v>104</v>
      </c>
    </row>
    <row r="229432" spans="1:1" x14ac:dyDescent="0.25">
      <c r="A229432" s="13" t="s">
        <v>105</v>
      </c>
    </row>
    <row r="245762" spans="1:1" x14ac:dyDescent="0.25">
      <c r="A245762" s="13" t="s">
        <v>0</v>
      </c>
    </row>
    <row r="245763" spans="1:1" x14ac:dyDescent="0.25">
      <c r="A245763" s="13" t="s">
        <v>125</v>
      </c>
    </row>
    <row r="245764" spans="1:1" x14ac:dyDescent="0.25">
      <c r="A245764" s="13" t="s">
        <v>1</v>
      </c>
    </row>
    <row r="245765" spans="1:1" x14ac:dyDescent="0.25">
      <c r="A245765" s="13" t="s">
        <v>2</v>
      </c>
    </row>
    <row r="245766" spans="1:1" x14ac:dyDescent="0.25">
      <c r="A245766" s="14" t="s">
        <v>25</v>
      </c>
    </row>
    <row r="245767" spans="1:1" x14ac:dyDescent="0.25">
      <c r="A245767" s="13" t="s">
        <v>126</v>
      </c>
    </row>
    <row r="245768" spans="1:1" x14ac:dyDescent="0.25">
      <c r="A245768" s="13" t="s">
        <v>127</v>
      </c>
    </row>
    <row r="245769" spans="1:1" x14ac:dyDescent="0.25">
      <c r="A245769" s="13" t="s">
        <v>88</v>
      </c>
    </row>
    <row r="245770" spans="1:1" x14ac:dyDescent="0.25">
      <c r="A245770" s="13" t="s">
        <v>22</v>
      </c>
    </row>
    <row r="245771" spans="1:1" x14ac:dyDescent="0.25">
      <c r="A245771" s="13" t="s">
        <v>3</v>
      </c>
    </row>
    <row r="245772" spans="1:1" x14ac:dyDescent="0.25">
      <c r="A245772" s="15" t="s">
        <v>95</v>
      </c>
    </row>
    <row r="245773" spans="1:1" x14ac:dyDescent="0.25">
      <c r="A245773" s="15" t="s">
        <v>94</v>
      </c>
    </row>
    <row r="245774" spans="1:1" x14ac:dyDescent="0.25">
      <c r="A245774" s="15" t="s">
        <v>4</v>
      </c>
    </row>
    <row r="245775" spans="1:1" x14ac:dyDescent="0.25">
      <c r="A245775" s="15" t="s">
        <v>118</v>
      </c>
    </row>
    <row r="245776" spans="1:1" x14ac:dyDescent="0.25">
      <c r="A245776" s="15" t="s">
        <v>5</v>
      </c>
    </row>
    <row r="245777" spans="1:1" x14ac:dyDescent="0.25">
      <c r="A245777" s="15" t="s">
        <v>6</v>
      </c>
    </row>
    <row r="245778" spans="1:1" x14ac:dyDescent="0.25">
      <c r="A245778" s="15" t="s">
        <v>7</v>
      </c>
    </row>
    <row r="245779" spans="1:1" x14ac:dyDescent="0.25">
      <c r="A245779" s="15" t="s">
        <v>8</v>
      </c>
    </row>
    <row r="245780" spans="1:1" x14ac:dyDescent="0.25">
      <c r="A245780" s="15" t="s">
        <v>9</v>
      </c>
    </row>
    <row r="245781" spans="1:1" x14ac:dyDescent="0.25">
      <c r="A245781" s="15" t="s">
        <v>10</v>
      </c>
    </row>
    <row r="245782" spans="1:1" x14ac:dyDescent="0.25">
      <c r="A245782" s="15" t="s">
        <v>11</v>
      </c>
    </row>
    <row r="245783" spans="1:1" x14ac:dyDescent="0.25">
      <c r="A245783" s="15" t="s">
        <v>12</v>
      </c>
    </row>
    <row r="245784" spans="1:1" x14ac:dyDescent="0.25">
      <c r="A245784" s="15" t="s">
        <v>13</v>
      </c>
    </row>
    <row r="245785" spans="1:1" x14ac:dyDescent="0.25">
      <c r="A245785" s="15" t="s">
        <v>14</v>
      </c>
    </row>
    <row r="245786" spans="1:1" x14ac:dyDescent="0.25">
      <c r="A245786" s="13" t="s">
        <v>31</v>
      </c>
    </row>
    <row r="245787" spans="1:1" x14ac:dyDescent="0.25">
      <c r="A245787" s="13" t="s">
        <v>87</v>
      </c>
    </row>
    <row r="245788" spans="1:1" x14ac:dyDescent="0.25">
      <c r="A245788" s="15" t="s">
        <v>30</v>
      </c>
    </row>
    <row r="245789" spans="1:1" x14ac:dyDescent="0.25">
      <c r="A245789" s="15" t="s">
        <v>26</v>
      </c>
    </row>
    <row r="245790" spans="1:1" x14ac:dyDescent="0.25">
      <c r="A245790" s="15" t="s">
        <v>27</v>
      </c>
    </row>
    <row r="245791" spans="1:1" x14ac:dyDescent="0.25">
      <c r="A245791" s="15" t="s">
        <v>28</v>
      </c>
    </row>
    <row r="245792" spans="1:1" x14ac:dyDescent="0.25">
      <c r="A245792" s="15" t="s">
        <v>89</v>
      </c>
    </row>
    <row r="245793" spans="1:1" x14ac:dyDescent="0.25">
      <c r="A245793" s="15" t="s">
        <v>90</v>
      </c>
    </row>
    <row r="245794" spans="1:1" x14ac:dyDescent="0.25">
      <c r="A245794" s="15" t="s">
        <v>185</v>
      </c>
    </row>
    <row r="245795" spans="1:1" x14ac:dyDescent="0.25">
      <c r="A245795" s="15" t="s">
        <v>186</v>
      </c>
    </row>
    <row r="245796" spans="1:1" x14ac:dyDescent="0.25">
      <c r="A245796" s="15" t="s">
        <v>187</v>
      </c>
    </row>
    <row r="245797" spans="1:1" x14ac:dyDescent="0.25">
      <c r="A245797" s="15" t="s">
        <v>188</v>
      </c>
    </row>
    <row r="245798" spans="1:1" x14ac:dyDescent="0.25">
      <c r="A245798" s="15" t="s">
        <v>189</v>
      </c>
    </row>
    <row r="245799" spans="1:1" x14ac:dyDescent="0.25">
      <c r="A245799" s="15" t="s">
        <v>190</v>
      </c>
    </row>
    <row r="245800" spans="1:1" x14ac:dyDescent="0.25">
      <c r="A245800" s="15" t="s">
        <v>191</v>
      </c>
    </row>
    <row r="245801" spans="1:1" x14ac:dyDescent="0.25">
      <c r="A245801" s="14" t="s">
        <v>47</v>
      </c>
    </row>
    <row r="245802" spans="1:1" x14ac:dyDescent="0.25">
      <c r="A245802" s="14" t="s">
        <v>119</v>
      </c>
    </row>
    <row r="245803" spans="1:1" x14ac:dyDescent="0.25">
      <c r="A245803" s="14" t="s">
        <v>86</v>
      </c>
    </row>
    <row r="245804" spans="1:1" x14ac:dyDescent="0.25">
      <c r="A245804" s="13" t="s">
        <v>21</v>
      </c>
    </row>
    <row r="245805" spans="1:1" x14ac:dyDescent="0.25">
      <c r="A245805" s="14" t="s">
        <v>92</v>
      </c>
    </row>
    <row r="245806" spans="1:1" x14ac:dyDescent="0.25">
      <c r="A245806" s="14" t="s">
        <v>93</v>
      </c>
    </row>
    <row r="245807" spans="1:1" x14ac:dyDescent="0.25">
      <c r="A245807" s="14" t="s">
        <v>99</v>
      </c>
    </row>
    <row r="245808" spans="1:1" x14ac:dyDescent="0.25">
      <c r="A245808" s="14" t="s">
        <v>100</v>
      </c>
    </row>
    <row r="245809" spans="1:1" x14ac:dyDescent="0.25">
      <c r="A245809" s="13" t="s">
        <v>24</v>
      </c>
    </row>
    <row r="245810" spans="1:1" x14ac:dyDescent="0.25">
      <c r="A245810" s="13" t="s">
        <v>83</v>
      </c>
    </row>
    <row r="245811" spans="1:1" x14ac:dyDescent="0.25">
      <c r="A245811" s="13" t="s">
        <v>106</v>
      </c>
    </row>
    <row r="245812" spans="1:1" x14ac:dyDescent="0.25">
      <c r="A245812" s="13" t="s">
        <v>101</v>
      </c>
    </row>
    <row r="245813" spans="1:1" x14ac:dyDescent="0.25">
      <c r="A245813" s="13" t="s">
        <v>102</v>
      </c>
    </row>
    <row r="245814" spans="1:1" x14ac:dyDescent="0.25">
      <c r="A245814" s="13" t="s">
        <v>103</v>
      </c>
    </row>
    <row r="245815" spans="1:1" x14ac:dyDescent="0.25">
      <c r="A245815" s="13" t="s">
        <v>104</v>
      </c>
    </row>
    <row r="245816" spans="1:1" x14ac:dyDescent="0.25">
      <c r="A245816" s="13" t="s">
        <v>105</v>
      </c>
    </row>
    <row r="262146" spans="1:1" x14ac:dyDescent="0.25">
      <c r="A262146" s="13" t="s">
        <v>0</v>
      </c>
    </row>
    <row r="262147" spans="1:1" x14ac:dyDescent="0.25">
      <c r="A262147" s="13" t="s">
        <v>125</v>
      </c>
    </row>
    <row r="262148" spans="1:1" x14ac:dyDescent="0.25">
      <c r="A262148" s="13" t="s">
        <v>1</v>
      </c>
    </row>
    <row r="262149" spans="1:1" x14ac:dyDescent="0.25">
      <c r="A262149" s="13" t="s">
        <v>2</v>
      </c>
    </row>
    <row r="262150" spans="1:1" x14ac:dyDescent="0.25">
      <c r="A262150" s="14" t="s">
        <v>25</v>
      </c>
    </row>
    <row r="262151" spans="1:1" x14ac:dyDescent="0.25">
      <c r="A262151" s="13" t="s">
        <v>126</v>
      </c>
    </row>
    <row r="262152" spans="1:1" x14ac:dyDescent="0.25">
      <c r="A262152" s="13" t="s">
        <v>127</v>
      </c>
    </row>
    <row r="262153" spans="1:1" x14ac:dyDescent="0.25">
      <c r="A262153" s="13" t="s">
        <v>88</v>
      </c>
    </row>
    <row r="262154" spans="1:1" x14ac:dyDescent="0.25">
      <c r="A262154" s="13" t="s">
        <v>22</v>
      </c>
    </row>
    <row r="262155" spans="1:1" x14ac:dyDescent="0.25">
      <c r="A262155" s="13" t="s">
        <v>3</v>
      </c>
    </row>
    <row r="262156" spans="1:1" x14ac:dyDescent="0.25">
      <c r="A262156" s="15" t="s">
        <v>95</v>
      </c>
    </row>
    <row r="262157" spans="1:1" x14ac:dyDescent="0.25">
      <c r="A262157" s="15" t="s">
        <v>94</v>
      </c>
    </row>
    <row r="262158" spans="1:1" x14ac:dyDescent="0.25">
      <c r="A262158" s="15" t="s">
        <v>4</v>
      </c>
    </row>
    <row r="262159" spans="1:1" x14ac:dyDescent="0.25">
      <c r="A262159" s="15" t="s">
        <v>118</v>
      </c>
    </row>
    <row r="262160" spans="1:1" x14ac:dyDescent="0.25">
      <c r="A262160" s="15" t="s">
        <v>5</v>
      </c>
    </row>
    <row r="262161" spans="1:1" x14ac:dyDescent="0.25">
      <c r="A262161" s="15" t="s">
        <v>6</v>
      </c>
    </row>
    <row r="262162" spans="1:1" x14ac:dyDescent="0.25">
      <c r="A262162" s="15" t="s">
        <v>7</v>
      </c>
    </row>
    <row r="262163" spans="1:1" x14ac:dyDescent="0.25">
      <c r="A262163" s="15" t="s">
        <v>8</v>
      </c>
    </row>
    <row r="262164" spans="1:1" x14ac:dyDescent="0.25">
      <c r="A262164" s="15" t="s">
        <v>9</v>
      </c>
    </row>
    <row r="262165" spans="1:1" x14ac:dyDescent="0.25">
      <c r="A262165" s="15" t="s">
        <v>10</v>
      </c>
    </row>
    <row r="262166" spans="1:1" x14ac:dyDescent="0.25">
      <c r="A262166" s="15" t="s">
        <v>11</v>
      </c>
    </row>
    <row r="262167" spans="1:1" x14ac:dyDescent="0.25">
      <c r="A262167" s="15" t="s">
        <v>12</v>
      </c>
    </row>
    <row r="262168" spans="1:1" x14ac:dyDescent="0.25">
      <c r="A262168" s="15" t="s">
        <v>13</v>
      </c>
    </row>
    <row r="262169" spans="1:1" x14ac:dyDescent="0.25">
      <c r="A262169" s="15" t="s">
        <v>14</v>
      </c>
    </row>
    <row r="262170" spans="1:1" x14ac:dyDescent="0.25">
      <c r="A262170" s="13" t="s">
        <v>31</v>
      </c>
    </row>
    <row r="262171" spans="1:1" x14ac:dyDescent="0.25">
      <c r="A262171" s="13" t="s">
        <v>87</v>
      </c>
    </row>
    <row r="262172" spans="1:1" x14ac:dyDescent="0.25">
      <c r="A262172" s="15" t="s">
        <v>30</v>
      </c>
    </row>
    <row r="262173" spans="1:1" x14ac:dyDescent="0.25">
      <c r="A262173" s="15" t="s">
        <v>26</v>
      </c>
    </row>
    <row r="262174" spans="1:1" x14ac:dyDescent="0.25">
      <c r="A262174" s="15" t="s">
        <v>27</v>
      </c>
    </row>
    <row r="262175" spans="1:1" x14ac:dyDescent="0.25">
      <c r="A262175" s="15" t="s">
        <v>28</v>
      </c>
    </row>
    <row r="262176" spans="1:1" x14ac:dyDescent="0.25">
      <c r="A262176" s="15" t="s">
        <v>89</v>
      </c>
    </row>
    <row r="262177" spans="1:1" x14ac:dyDescent="0.25">
      <c r="A262177" s="15" t="s">
        <v>90</v>
      </c>
    </row>
    <row r="262178" spans="1:1" x14ac:dyDescent="0.25">
      <c r="A262178" s="15" t="s">
        <v>185</v>
      </c>
    </row>
    <row r="262179" spans="1:1" x14ac:dyDescent="0.25">
      <c r="A262179" s="15" t="s">
        <v>186</v>
      </c>
    </row>
    <row r="262180" spans="1:1" x14ac:dyDescent="0.25">
      <c r="A262180" s="15" t="s">
        <v>187</v>
      </c>
    </row>
    <row r="262181" spans="1:1" x14ac:dyDescent="0.25">
      <c r="A262181" s="15" t="s">
        <v>188</v>
      </c>
    </row>
    <row r="262182" spans="1:1" x14ac:dyDescent="0.25">
      <c r="A262182" s="15" t="s">
        <v>189</v>
      </c>
    </row>
    <row r="262183" spans="1:1" x14ac:dyDescent="0.25">
      <c r="A262183" s="15" t="s">
        <v>190</v>
      </c>
    </row>
    <row r="262184" spans="1:1" x14ac:dyDescent="0.25">
      <c r="A262184" s="15" t="s">
        <v>191</v>
      </c>
    </row>
    <row r="262185" spans="1:1" x14ac:dyDescent="0.25">
      <c r="A262185" s="14" t="s">
        <v>47</v>
      </c>
    </row>
    <row r="262186" spans="1:1" x14ac:dyDescent="0.25">
      <c r="A262186" s="14" t="s">
        <v>119</v>
      </c>
    </row>
    <row r="262187" spans="1:1" x14ac:dyDescent="0.25">
      <c r="A262187" s="14" t="s">
        <v>86</v>
      </c>
    </row>
    <row r="262188" spans="1:1" x14ac:dyDescent="0.25">
      <c r="A262188" s="13" t="s">
        <v>21</v>
      </c>
    </row>
    <row r="262189" spans="1:1" x14ac:dyDescent="0.25">
      <c r="A262189" s="14" t="s">
        <v>92</v>
      </c>
    </row>
    <row r="262190" spans="1:1" x14ac:dyDescent="0.25">
      <c r="A262190" s="14" t="s">
        <v>93</v>
      </c>
    </row>
    <row r="262191" spans="1:1" x14ac:dyDescent="0.25">
      <c r="A262191" s="14" t="s">
        <v>99</v>
      </c>
    </row>
    <row r="262192" spans="1:1" x14ac:dyDescent="0.25">
      <c r="A262192" s="14" t="s">
        <v>100</v>
      </c>
    </row>
    <row r="262193" spans="1:1" x14ac:dyDescent="0.25">
      <c r="A262193" s="13" t="s">
        <v>24</v>
      </c>
    </row>
    <row r="262194" spans="1:1" x14ac:dyDescent="0.25">
      <c r="A262194" s="13" t="s">
        <v>83</v>
      </c>
    </row>
    <row r="262195" spans="1:1" x14ac:dyDescent="0.25">
      <c r="A262195" s="13" t="s">
        <v>106</v>
      </c>
    </row>
    <row r="262196" spans="1:1" x14ac:dyDescent="0.25">
      <c r="A262196" s="13" t="s">
        <v>101</v>
      </c>
    </row>
    <row r="262197" spans="1:1" x14ac:dyDescent="0.25">
      <c r="A262197" s="13" t="s">
        <v>102</v>
      </c>
    </row>
    <row r="262198" spans="1:1" x14ac:dyDescent="0.25">
      <c r="A262198" s="13" t="s">
        <v>103</v>
      </c>
    </row>
    <row r="262199" spans="1:1" x14ac:dyDescent="0.25">
      <c r="A262199" s="13" t="s">
        <v>104</v>
      </c>
    </row>
    <row r="262200" spans="1:1" x14ac:dyDescent="0.25">
      <c r="A262200" s="13" t="s">
        <v>105</v>
      </c>
    </row>
    <row r="278530" spans="1:1" x14ac:dyDescent="0.25">
      <c r="A278530" s="13" t="s">
        <v>0</v>
      </c>
    </row>
    <row r="278531" spans="1:1" x14ac:dyDescent="0.25">
      <c r="A278531" s="13" t="s">
        <v>125</v>
      </c>
    </row>
    <row r="278532" spans="1:1" x14ac:dyDescent="0.25">
      <c r="A278532" s="13" t="s">
        <v>1</v>
      </c>
    </row>
    <row r="278533" spans="1:1" x14ac:dyDescent="0.25">
      <c r="A278533" s="13" t="s">
        <v>2</v>
      </c>
    </row>
    <row r="278534" spans="1:1" x14ac:dyDescent="0.25">
      <c r="A278534" s="14" t="s">
        <v>25</v>
      </c>
    </row>
    <row r="278535" spans="1:1" x14ac:dyDescent="0.25">
      <c r="A278535" s="13" t="s">
        <v>126</v>
      </c>
    </row>
    <row r="278536" spans="1:1" x14ac:dyDescent="0.25">
      <c r="A278536" s="13" t="s">
        <v>127</v>
      </c>
    </row>
    <row r="278537" spans="1:1" x14ac:dyDescent="0.25">
      <c r="A278537" s="13" t="s">
        <v>88</v>
      </c>
    </row>
    <row r="278538" spans="1:1" x14ac:dyDescent="0.25">
      <c r="A278538" s="13" t="s">
        <v>22</v>
      </c>
    </row>
    <row r="278539" spans="1:1" x14ac:dyDescent="0.25">
      <c r="A278539" s="13" t="s">
        <v>3</v>
      </c>
    </row>
    <row r="278540" spans="1:1" x14ac:dyDescent="0.25">
      <c r="A278540" s="15" t="s">
        <v>95</v>
      </c>
    </row>
    <row r="278541" spans="1:1" x14ac:dyDescent="0.25">
      <c r="A278541" s="15" t="s">
        <v>94</v>
      </c>
    </row>
    <row r="278542" spans="1:1" x14ac:dyDescent="0.25">
      <c r="A278542" s="15" t="s">
        <v>4</v>
      </c>
    </row>
    <row r="278543" spans="1:1" x14ac:dyDescent="0.25">
      <c r="A278543" s="15" t="s">
        <v>118</v>
      </c>
    </row>
    <row r="278544" spans="1:1" x14ac:dyDescent="0.25">
      <c r="A278544" s="15" t="s">
        <v>5</v>
      </c>
    </row>
    <row r="278545" spans="1:1" x14ac:dyDescent="0.25">
      <c r="A278545" s="15" t="s">
        <v>6</v>
      </c>
    </row>
    <row r="278546" spans="1:1" x14ac:dyDescent="0.25">
      <c r="A278546" s="15" t="s">
        <v>7</v>
      </c>
    </row>
    <row r="278547" spans="1:1" x14ac:dyDescent="0.25">
      <c r="A278547" s="15" t="s">
        <v>8</v>
      </c>
    </row>
    <row r="278548" spans="1:1" x14ac:dyDescent="0.25">
      <c r="A278548" s="15" t="s">
        <v>9</v>
      </c>
    </row>
    <row r="278549" spans="1:1" x14ac:dyDescent="0.25">
      <c r="A278549" s="15" t="s">
        <v>10</v>
      </c>
    </row>
    <row r="278550" spans="1:1" x14ac:dyDescent="0.25">
      <c r="A278550" s="15" t="s">
        <v>11</v>
      </c>
    </row>
    <row r="278551" spans="1:1" x14ac:dyDescent="0.25">
      <c r="A278551" s="15" t="s">
        <v>12</v>
      </c>
    </row>
    <row r="278552" spans="1:1" x14ac:dyDescent="0.25">
      <c r="A278552" s="15" t="s">
        <v>13</v>
      </c>
    </row>
    <row r="278553" spans="1:1" x14ac:dyDescent="0.25">
      <c r="A278553" s="15" t="s">
        <v>14</v>
      </c>
    </row>
    <row r="278554" spans="1:1" x14ac:dyDescent="0.25">
      <c r="A278554" s="13" t="s">
        <v>31</v>
      </c>
    </row>
    <row r="278555" spans="1:1" x14ac:dyDescent="0.25">
      <c r="A278555" s="13" t="s">
        <v>87</v>
      </c>
    </row>
    <row r="278556" spans="1:1" x14ac:dyDescent="0.25">
      <c r="A278556" s="15" t="s">
        <v>30</v>
      </c>
    </row>
    <row r="278557" spans="1:1" x14ac:dyDescent="0.25">
      <c r="A278557" s="15" t="s">
        <v>26</v>
      </c>
    </row>
    <row r="278558" spans="1:1" x14ac:dyDescent="0.25">
      <c r="A278558" s="15" t="s">
        <v>27</v>
      </c>
    </row>
    <row r="278559" spans="1:1" x14ac:dyDescent="0.25">
      <c r="A278559" s="15" t="s">
        <v>28</v>
      </c>
    </row>
    <row r="278560" spans="1:1" x14ac:dyDescent="0.25">
      <c r="A278560" s="15" t="s">
        <v>89</v>
      </c>
    </row>
    <row r="278561" spans="1:1" x14ac:dyDescent="0.25">
      <c r="A278561" s="15" t="s">
        <v>90</v>
      </c>
    </row>
    <row r="278562" spans="1:1" x14ac:dyDescent="0.25">
      <c r="A278562" s="15" t="s">
        <v>185</v>
      </c>
    </row>
    <row r="278563" spans="1:1" x14ac:dyDescent="0.25">
      <c r="A278563" s="15" t="s">
        <v>186</v>
      </c>
    </row>
    <row r="278564" spans="1:1" x14ac:dyDescent="0.25">
      <c r="A278564" s="15" t="s">
        <v>187</v>
      </c>
    </row>
    <row r="278565" spans="1:1" x14ac:dyDescent="0.25">
      <c r="A278565" s="15" t="s">
        <v>188</v>
      </c>
    </row>
    <row r="278566" spans="1:1" x14ac:dyDescent="0.25">
      <c r="A278566" s="15" t="s">
        <v>189</v>
      </c>
    </row>
    <row r="278567" spans="1:1" x14ac:dyDescent="0.25">
      <c r="A278567" s="15" t="s">
        <v>190</v>
      </c>
    </row>
    <row r="278568" spans="1:1" x14ac:dyDescent="0.25">
      <c r="A278568" s="15" t="s">
        <v>191</v>
      </c>
    </row>
    <row r="278569" spans="1:1" x14ac:dyDescent="0.25">
      <c r="A278569" s="14" t="s">
        <v>47</v>
      </c>
    </row>
    <row r="278570" spans="1:1" x14ac:dyDescent="0.25">
      <c r="A278570" s="14" t="s">
        <v>119</v>
      </c>
    </row>
    <row r="278571" spans="1:1" x14ac:dyDescent="0.25">
      <c r="A278571" s="14" t="s">
        <v>86</v>
      </c>
    </row>
    <row r="278572" spans="1:1" x14ac:dyDescent="0.25">
      <c r="A278572" s="13" t="s">
        <v>21</v>
      </c>
    </row>
    <row r="278573" spans="1:1" x14ac:dyDescent="0.25">
      <c r="A278573" s="14" t="s">
        <v>92</v>
      </c>
    </row>
    <row r="278574" spans="1:1" x14ac:dyDescent="0.25">
      <c r="A278574" s="14" t="s">
        <v>93</v>
      </c>
    </row>
    <row r="278575" spans="1:1" x14ac:dyDescent="0.25">
      <c r="A278575" s="14" t="s">
        <v>99</v>
      </c>
    </row>
    <row r="278576" spans="1:1" x14ac:dyDescent="0.25">
      <c r="A278576" s="14" t="s">
        <v>100</v>
      </c>
    </row>
    <row r="278577" spans="1:1" x14ac:dyDescent="0.25">
      <c r="A278577" s="13" t="s">
        <v>24</v>
      </c>
    </row>
    <row r="278578" spans="1:1" x14ac:dyDescent="0.25">
      <c r="A278578" s="13" t="s">
        <v>83</v>
      </c>
    </row>
    <row r="278579" spans="1:1" x14ac:dyDescent="0.25">
      <c r="A278579" s="13" t="s">
        <v>106</v>
      </c>
    </row>
    <row r="278580" spans="1:1" x14ac:dyDescent="0.25">
      <c r="A278580" s="13" t="s">
        <v>101</v>
      </c>
    </row>
    <row r="278581" spans="1:1" x14ac:dyDescent="0.25">
      <c r="A278581" s="13" t="s">
        <v>102</v>
      </c>
    </row>
    <row r="278582" spans="1:1" x14ac:dyDescent="0.25">
      <c r="A278582" s="13" t="s">
        <v>103</v>
      </c>
    </row>
    <row r="278583" spans="1:1" x14ac:dyDescent="0.25">
      <c r="A278583" s="13" t="s">
        <v>104</v>
      </c>
    </row>
    <row r="278584" spans="1:1" x14ac:dyDescent="0.25">
      <c r="A278584" s="13" t="s">
        <v>105</v>
      </c>
    </row>
    <row r="294914" spans="1:1" x14ac:dyDescent="0.25">
      <c r="A294914" s="13" t="s">
        <v>0</v>
      </c>
    </row>
    <row r="294915" spans="1:1" x14ac:dyDescent="0.25">
      <c r="A294915" s="13" t="s">
        <v>125</v>
      </c>
    </row>
    <row r="294916" spans="1:1" x14ac:dyDescent="0.25">
      <c r="A294916" s="13" t="s">
        <v>1</v>
      </c>
    </row>
    <row r="294917" spans="1:1" x14ac:dyDescent="0.25">
      <c r="A294917" s="13" t="s">
        <v>2</v>
      </c>
    </row>
    <row r="294918" spans="1:1" x14ac:dyDescent="0.25">
      <c r="A294918" s="14" t="s">
        <v>25</v>
      </c>
    </row>
    <row r="294919" spans="1:1" x14ac:dyDescent="0.25">
      <c r="A294919" s="13" t="s">
        <v>126</v>
      </c>
    </row>
    <row r="294920" spans="1:1" x14ac:dyDescent="0.25">
      <c r="A294920" s="13" t="s">
        <v>127</v>
      </c>
    </row>
    <row r="294921" spans="1:1" x14ac:dyDescent="0.25">
      <c r="A294921" s="13" t="s">
        <v>88</v>
      </c>
    </row>
    <row r="294922" spans="1:1" x14ac:dyDescent="0.25">
      <c r="A294922" s="13" t="s">
        <v>22</v>
      </c>
    </row>
    <row r="294923" spans="1:1" x14ac:dyDescent="0.25">
      <c r="A294923" s="13" t="s">
        <v>3</v>
      </c>
    </row>
    <row r="294924" spans="1:1" x14ac:dyDescent="0.25">
      <c r="A294924" s="15" t="s">
        <v>95</v>
      </c>
    </row>
    <row r="294925" spans="1:1" x14ac:dyDescent="0.25">
      <c r="A294925" s="15" t="s">
        <v>94</v>
      </c>
    </row>
    <row r="294926" spans="1:1" x14ac:dyDescent="0.25">
      <c r="A294926" s="15" t="s">
        <v>4</v>
      </c>
    </row>
    <row r="294927" spans="1:1" x14ac:dyDescent="0.25">
      <c r="A294927" s="15" t="s">
        <v>118</v>
      </c>
    </row>
    <row r="294928" spans="1:1" x14ac:dyDescent="0.25">
      <c r="A294928" s="15" t="s">
        <v>5</v>
      </c>
    </row>
    <row r="294929" spans="1:1" x14ac:dyDescent="0.25">
      <c r="A294929" s="15" t="s">
        <v>6</v>
      </c>
    </row>
    <row r="294930" spans="1:1" x14ac:dyDescent="0.25">
      <c r="A294930" s="15" t="s">
        <v>7</v>
      </c>
    </row>
    <row r="294931" spans="1:1" x14ac:dyDescent="0.25">
      <c r="A294931" s="15" t="s">
        <v>8</v>
      </c>
    </row>
    <row r="294932" spans="1:1" x14ac:dyDescent="0.25">
      <c r="A294932" s="15" t="s">
        <v>9</v>
      </c>
    </row>
    <row r="294933" spans="1:1" x14ac:dyDescent="0.25">
      <c r="A294933" s="15" t="s">
        <v>10</v>
      </c>
    </row>
    <row r="294934" spans="1:1" x14ac:dyDescent="0.25">
      <c r="A294934" s="15" t="s">
        <v>11</v>
      </c>
    </row>
    <row r="294935" spans="1:1" x14ac:dyDescent="0.25">
      <c r="A294935" s="15" t="s">
        <v>12</v>
      </c>
    </row>
    <row r="294936" spans="1:1" x14ac:dyDescent="0.25">
      <c r="A294936" s="15" t="s">
        <v>13</v>
      </c>
    </row>
    <row r="294937" spans="1:1" x14ac:dyDescent="0.25">
      <c r="A294937" s="15" t="s">
        <v>14</v>
      </c>
    </row>
    <row r="294938" spans="1:1" x14ac:dyDescent="0.25">
      <c r="A294938" s="13" t="s">
        <v>31</v>
      </c>
    </row>
    <row r="294939" spans="1:1" x14ac:dyDescent="0.25">
      <c r="A294939" s="13" t="s">
        <v>87</v>
      </c>
    </row>
    <row r="294940" spans="1:1" x14ac:dyDescent="0.25">
      <c r="A294940" s="15" t="s">
        <v>30</v>
      </c>
    </row>
    <row r="294941" spans="1:1" x14ac:dyDescent="0.25">
      <c r="A294941" s="15" t="s">
        <v>26</v>
      </c>
    </row>
    <row r="294942" spans="1:1" x14ac:dyDescent="0.25">
      <c r="A294942" s="15" t="s">
        <v>27</v>
      </c>
    </row>
    <row r="294943" spans="1:1" x14ac:dyDescent="0.25">
      <c r="A294943" s="15" t="s">
        <v>28</v>
      </c>
    </row>
    <row r="294944" spans="1:1" x14ac:dyDescent="0.25">
      <c r="A294944" s="15" t="s">
        <v>89</v>
      </c>
    </row>
    <row r="294945" spans="1:1" x14ac:dyDescent="0.25">
      <c r="A294945" s="15" t="s">
        <v>90</v>
      </c>
    </row>
    <row r="294946" spans="1:1" x14ac:dyDescent="0.25">
      <c r="A294946" s="15" t="s">
        <v>185</v>
      </c>
    </row>
    <row r="294947" spans="1:1" x14ac:dyDescent="0.25">
      <c r="A294947" s="15" t="s">
        <v>186</v>
      </c>
    </row>
    <row r="294948" spans="1:1" x14ac:dyDescent="0.25">
      <c r="A294948" s="15" t="s">
        <v>187</v>
      </c>
    </row>
    <row r="294949" spans="1:1" x14ac:dyDescent="0.25">
      <c r="A294949" s="15" t="s">
        <v>188</v>
      </c>
    </row>
    <row r="294950" spans="1:1" x14ac:dyDescent="0.25">
      <c r="A294950" s="15" t="s">
        <v>189</v>
      </c>
    </row>
    <row r="294951" spans="1:1" x14ac:dyDescent="0.25">
      <c r="A294951" s="15" t="s">
        <v>190</v>
      </c>
    </row>
    <row r="294952" spans="1:1" x14ac:dyDescent="0.25">
      <c r="A294952" s="15" t="s">
        <v>191</v>
      </c>
    </row>
    <row r="294953" spans="1:1" x14ac:dyDescent="0.25">
      <c r="A294953" s="14" t="s">
        <v>47</v>
      </c>
    </row>
    <row r="294954" spans="1:1" x14ac:dyDescent="0.25">
      <c r="A294954" s="14" t="s">
        <v>119</v>
      </c>
    </row>
    <row r="294955" spans="1:1" x14ac:dyDescent="0.25">
      <c r="A294955" s="14" t="s">
        <v>86</v>
      </c>
    </row>
    <row r="294956" spans="1:1" x14ac:dyDescent="0.25">
      <c r="A294956" s="13" t="s">
        <v>21</v>
      </c>
    </row>
    <row r="294957" spans="1:1" x14ac:dyDescent="0.25">
      <c r="A294957" s="14" t="s">
        <v>92</v>
      </c>
    </row>
    <row r="294958" spans="1:1" x14ac:dyDescent="0.25">
      <c r="A294958" s="14" t="s">
        <v>93</v>
      </c>
    </row>
    <row r="294959" spans="1:1" x14ac:dyDescent="0.25">
      <c r="A294959" s="14" t="s">
        <v>99</v>
      </c>
    </row>
    <row r="294960" spans="1:1" x14ac:dyDescent="0.25">
      <c r="A294960" s="14" t="s">
        <v>100</v>
      </c>
    </row>
    <row r="294961" spans="1:1" x14ac:dyDescent="0.25">
      <c r="A294961" s="13" t="s">
        <v>24</v>
      </c>
    </row>
    <row r="294962" spans="1:1" x14ac:dyDescent="0.25">
      <c r="A294962" s="13" t="s">
        <v>83</v>
      </c>
    </row>
    <row r="294963" spans="1:1" x14ac:dyDescent="0.25">
      <c r="A294963" s="13" t="s">
        <v>106</v>
      </c>
    </row>
    <row r="294964" spans="1:1" x14ac:dyDescent="0.25">
      <c r="A294964" s="13" t="s">
        <v>101</v>
      </c>
    </row>
    <row r="294965" spans="1:1" x14ac:dyDescent="0.25">
      <c r="A294965" s="13" t="s">
        <v>102</v>
      </c>
    </row>
    <row r="294966" spans="1:1" x14ac:dyDescent="0.25">
      <c r="A294966" s="13" t="s">
        <v>103</v>
      </c>
    </row>
    <row r="294967" spans="1:1" x14ac:dyDescent="0.25">
      <c r="A294967" s="13" t="s">
        <v>104</v>
      </c>
    </row>
    <row r="294968" spans="1:1" x14ac:dyDescent="0.25">
      <c r="A294968" s="13" t="s">
        <v>105</v>
      </c>
    </row>
    <row r="311298" spans="1:1" x14ac:dyDescent="0.25">
      <c r="A311298" s="13" t="s">
        <v>0</v>
      </c>
    </row>
    <row r="311299" spans="1:1" x14ac:dyDescent="0.25">
      <c r="A311299" s="13" t="s">
        <v>125</v>
      </c>
    </row>
    <row r="311300" spans="1:1" x14ac:dyDescent="0.25">
      <c r="A311300" s="13" t="s">
        <v>1</v>
      </c>
    </row>
    <row r="311301" spans="1:1" x14ac:dyDescent="0.25">
      <c r="A311301" s="13" t="s">
        <v>2</v>
      </c>
    </row>
    <row r="311302" spans="1:1" x14ac:dyDescent="0.25">
      <c r="A311302" s="14" t="s">
        <v>25</v>
      </c>
    </row>
    <row r="311303" spans="1:1" x14ac:dyDescent="0.25">
      <c r="A311303" s="13" t="s">
        <v>126</v>
      </c>
    </row>
    <row r="311304" spans="1:1" x14ac:dyDescent="0.25">
      <c r="A311304" s="13" t="s">
        <v>127</v>
      </c>
    </row>
    <row r="311305" spans="1:1" x14ac:dyDescent="0.25">
      <c r="A311305" s="13" t="s">
        <v>88</v>
      </c>
    </row>
    <row r="311306" spans="1:1" x14ac:dyDescent="0.25">
      <c r="A311306" s="13" t="s">
        <v>22</v>
      </c>
    </row>
    <row r="311307" spans="1:1" x14ac:dyDescent="0.25">
      <c r="A311307" s="13" t="s">
        <v>3</v>
      </c>
    </row>
    <row r="311308" spans="1:1" x14ac:dyDescent="0.25">
      <c r="A311308" s="15" t="s">
        <v>95</v>
      </c>
    </row>
    <row r="311309" spans="1:1" x14ac:dyDescent="0.25">
      <c r="A311309" s="15" t="s">
        <v>94</v>
      </c>
    </row>
    <row r="311310" spans="1:1" x14ac:dyDescent="0.25">
      <c r="A311310" s="15" t="s">
        <v>4</v>
      </c>
    </row>
    <row r="311311" spans="1:1" x14ac:dyDescent="0.25">
      <c r="A311311" s="15" t="s">
        <v>118</v>
      </c>
    </row>
    <row r="311312" spans="1:1" x14ac:dyDescent="0.25">
      <c r="A311312" s="15" t="s">
        <v>5</v>
      </c>
    </row>
    <row r="311313" spans="1:1" x14ac:dyDescent="0.25">
      <c r="A311313" s="15" t="s">
        <v>6</v>
      </c>
    </row>
    <row r="311314" spans="1:1" x14ac:dyDescent="0.25">
      <c r="A311314" s="15" t="s">
        <v>7</v>
      </c>
    </row>
    <row r="311315" spans="1:1" x14ac:dyDescent="0.25">
      <c r="A311315" s="15" t="s">
        <v>8</v>
      </c>
    </row>
    <row r="311316" spans="1:1" x14ac:dyDescent="0.25">
      <c r="A311316" s="15" t="s">
        <v>9</v>
      </c>
    </row>
    <row r="311317" spans="1:1" x14ac:dyDescent="0.25">
      <c r="A311317" s="15" t="s">
        <v>10</v>
      </c>
    </row>
    <row r="311318" spans="1:1" x14ac:dyDescent="0.25">
      <c r="A311318" s="15" t="s">
        <v>11</v>
      </c>
    </row>
    <row r="311319" spans="1:1" x14ac:dyDescent="0.25">
      <c r="A311319" s="15" t="s">
        <v>12</v>
      </c>
    </row>
    <row r="311320" spans="1:1" x14ac:dyDescent="0.25">
      <c r="A311320" s="15" t="s">
        <v>13</v>
      </c>
    </row>
    <row r="311321" spans="1:1" x14ac:dyDescent="0.25">
      <c r="A311321" s="15" t="s">
        <v>14</v>
      </c>
    </row>
    <row r="311322" spans="1:1" x14ac:dyDescent="0.25">
      <c r="A311322" s="13" t="s">
        <v>31</v>
      </c>
    </row>
    <row r="311323" spans="1:1" x14ac:dyDescent="0.25">
      <c r="A311323" s="13" t="s">
        <v>87</v>
      </c>
    </row>
    <row r="311324" spans="1:1" x14ac:dyDescent="0.25">
      <c r="A311324" s="15" t="s">
        <v>30</v>
      </c>
    </row>
    <row r="311325" spans="1:1" x14ac:dyDescent="0.25">
      <c r="A311325" s="15" t="s">
        <v>26</v>
      </c>
    </row>
    <row r="311326" spans="1:1" x14ac:dyDescent="0.25">
      <c r="A311326" s="15" t="s">
        <v>27</v>
      </c>
    </row>
    <row r="311327" spans="1:1" x14ac:dyDescent="0.25">
      <c r="A311327" s="15" t="s">
        <v>28</v>
      </c>
    </row>
    <row r="311328" spans="1:1" x14ac:dyDescent="0.25">
      <c r="A311328" s="15" t="s">
        <v>89</v>
      </c>
    </row>
    <row r="311329" spans="1:1" x14ac:dyDescent="0.25">
      <c r="A311329" s="15" t="s">
        <v>90</v>
      </c>
    </row>
    <row r="311330" spans="1:1" x14ac:dyDescent="0.25">
      <c r="A311330" s="15" t="s">
        <v>185</v>
      </c>
    </row>
    <row r="311331" spans="1:1" x14ac:dyDescent="0.25">
      <c r="A311331" s="15" t="s">
        <v>186</v>
      </c>
    </row>
    <row r="311332" spans="1:1" x14ac:dyDescent="0.25">
      <c r="A311332" s="15" t="s">
        <v>187</v>
      </c>
    </row>
    <row r="311333" spans="1:1" x14ac:dyDescent="0.25">
      <c r="A311333" s="15" t="s">
        <v>188</v>
      </c>
    </row>
    <row r="311334" spans="1:1" x14ac:dyDescent="0.25">
      <c r="A311334" s="15" t="s">
        <v>189</v>
      </c>
    </row>
    <row r="311335" spans="1:1" x14ac:dyDescent="0.25">
      <c r="A311335" s="15" t="s">
        <v>190</v>
      </c>
    </row>
    <row r="311336" spans="1:1" x14ac:dyDescent="0.25">
      <c r="A311336" s="15" t="s">
        <v>191</v>
      </c>
    </row>
    <row r="311337" spans="1:1" x14ac:dyDescent="0.25">
      <c r="A311337" s="14" t="s">
        <v>47</v>
      </c>
    </row>
    <row r="311338" spans="1:1" x14ac:dyDescent="0.25">
      <c r="A311338" s="14" t="s">
        <v>119</v>
      </c>
    </row>
    <row r="311339" spans="1:1" x14ac:dyDescent="0.25">
      <c r="A311339" s="14" t="s">
        <v>86</v>
      </c>
    </row>
    <row r="311340" spans="1:1" x14ac:dyDescent="0.25">
      <c r="A311340" s="13" t="s">
        <v>21</v>
      </c>
    </row>
    <row r="311341" spans="1:1" x14ac:dyDescent="0.25">
      <c r="A311341" s="14" t="s">
        <v>92</v>
      </c>
    </row>
    <row r="311342" spans="1:1" x14ac:dyDescent="0.25">
      <c r="A311342" s="14" t="s">
        <v>93</v>
      </c>
    </row>
    <row r="311343" spans="1:1" x14ac:dyDescent="0.25">
      <c r="A311343" s="14" t="s">
        <v>99</v>
      </c>
    </row>
    <row r="311344" spans="1:1" x14ac:dyDescent="0.25">
      <c r="A311344" s="14" t="s">
        <v>100</v>
      </c>
    </row>
    <row r="311345" spans="1:1" x14ac:dyDescent="0.25">
      <c r="A311345" s="13" t="s">
        <v>24</v>
      </c>
    </row>
    <row r="311346" spans="1:1" x14ac:dyDescent="0.25">
      <c r="A311346" s="13" t="s">
        <v>83</v>
      </c>
    </row>
    <row r="311347" spans="1:1" x14ac:dyDescent="0.25">
      <c r="A311347" s="13" t="s">
        <v>106</v>
      </c>
    </row>
    <row r="311348" spans="1:1" x14ac:dyDescent="0.25">
      <c r="A311348" s="13" t="s">
        <v>101</v>
      </c>
    </row>
    <row r="311349" spans="1:1" x14ac:dyDescent="0.25">
      <c r="A311349" s="13" t="s">
        <v>102</v>
      </c>
    </row>
    <row r="311350" spans="1:1" x14ac:dyDescent="0.25">
      <c r="A311350" s="13" t="s">
        <v>103</v>
      </c>
    </row>
    <row r="311351" spans="1:1" x14ac:dyDescent="0.25">
      <c r="A311351" s="13" t="s">
        <v>104</v>
      </c>
    </row>
    <row r="311352" spans="1:1" x14ac:dyDescent="0.25">
      <c r="A311352" s="13" t="s">
        <v>105</v>
      </c>
    </row>
    <row r="327682" spans="1:1" x14ac:dyDescent="0.25">
      <c r="A327682" s="13" t="s">
        <v>0</v>
      </c>
    </row>
    <row r="327683" spans="1:1" x14ac:dyDescent="0.25">
      <c r="A327683" s="13" t="s">
        <v>125</v>
      </c>
    </row>
    <row r="327684" spans="1:1" x14ac:dyDescent="0.25">
      <c r="A327684" s="13" t="s">
        <v>1</v>
      </c>
    </row>
    <row r="327685" spans="1:1" x14ac:dyDescent="0.25">
      <c r="A327685" s="13" t="s">
        <v>2</v>
      </c>
    </row>
    <row r="327686" spans="1:1" x14ac:dyDescent="0.25">
      <c r="A327686" s="14" t="s">
        <v>25</v>
      </c>
    </row>
    <row r="327687" spans="1:1" x14ac:dyDescent="0.25">
      <c r="A327687" s="13" t="s">
        <v>126</v>
      </c>
    </row>
    <row r="327688" spans="1:1" x14ac:dyDescent="0.25">
      <c r="A327688" s="13" t="s">
        <v>127</v>
      </c>
    </row>
    <row r="327689" spans="1:1" x14ac:dyDescent="0.25">
      <c r="A327689" s="13" t="s">
        <v>88</v>
      </c>
    </row>
    <row r="327690" spans="1:1" x14ac:dyDescent="0.25">
      <c r="A327690" s="13" t="s">
        <v>22</v>
      </c>
    </row>
    <row r="327691" spans="1:1" x14ac:dyDescent="0.25">
      <c r="A327691" s="13" t="s">
        <v>3</v>
      </c>
    </row>
    <row r="327692" spans="1:1" x14ac:dyDescent="0.25">
      <c r="A327692" s="15" t="s">
        <v>95</v>
      </c>
    </row>
    <row r="327693" spans="1:1" x14ac:dyDescent="0.25">
      <c r="A327693" s="15" t="s">
        <v>94</v>
      </c>
    </row>
    <row r="327694" spans="1:1" x14ac:dyDescent="0.25">
      <c r="A327694" s="15" t="s">
        <v>4</v>
      </c>
    </row>
    <row r="327695" spans="1:1" x14ac:dyDescent="0.25">
      <c r="A327695" s="15" t="s">
        <v>118</v>
      </c>
    </row>
    <row r="327696" spans="1:1" x14ac:dyDescent="0.25">
      <c r="A327696" s="15" t="s">
        <v>5</v>
      </c>
    </row>
    <row r="327697" spans="1:1" x14ac:dyDescent="0.25">
      <c r="A327697" s="15" t="s">
        <v>6</v>
      </c>
    </row>
    <row r="327698" spans="1:1" x14ac:dyDescent="0.25">
      <c r="A327698" s="15" t="s">
        <v>7</v>
      </c>
    </row>
    <row r="327699" spans="1:1" x14ac:dyDescent="0.25">
      <c r="A327699" s="15" t="s">
        <v>8</v>
      </c>
    </row>
    <row r="327700" spans="1:1" x14ac:dyDescent="0.25">
      <c r="A327700" s="15" t="s">
        <v>9</v>
      </c>
    </row>
    <row r="327701" spans="1:1" x14ac:dyDescent="0.25">
      <c r="A327701" s="15" t="s">
        <v>10</v>
      </c>
    </row>
    <row r="327702" spans="1:1" x14ac:dyDescent="0.25">
      <c r="A327702" s="15" t="s">
        <v>11</v>
      </c>
    </row>
    <row r="327703" spans="1:1" x14ac:dyDescent="0.25">
      <c r="A327703" s="15" t="s">
        <v>12</v>
      </c>
    </row>
    <row r="327704" spans="1:1" x14ac:dyDescent="0.25">
      <c r="A327704" s="15" t="s">
        <v>13</v>
      </c>
    </row>
    <row r="327705" spans="1:1" x14ac:dyDescent="0.25">
      <c r="A327705" s="15" t="s">
        <v>14</v>
      </c>
    </row>
    <row r="327706" spans="1:1" x14ac:dyDescent="0.25">
      <c r="A327706" s="13" t="s">
        <v>31</v>
      </c>
    </row>
    <row r="327707" spans="1:1" x14ac:dyDescent="0.25">
      <c r="A327707" s="13" t="s">
        <v>87</v>
      </c>
    </row>
    <row r="327708" spans="1:1" x14ac:dyDescent="0.25">
      <c r="A327708" s="15" t="s">
        <v>30</v>
      </c>
    </row>
    <row r="327709" spans="1:1" x14ac:dyDescent="0.25">
      <c r="A327709" s="15" t="s">
        <v>26</v>
      </c>
    </row>
    <row r="327710" spans="1:1" x14ac:dyDescent="0.25">
      <c r="A327710" s="15" t="s">
        <v>27</v>
      </c>
    </row>
    <row r="327711" spans="1:1" x14ac:dyDescent="0.25">
      <c r="A327711" s="15" t="s">
        <v>28</v>
      </c>
    </row>
    <row r="327712" spans="1:1" x14ac:dyDescent="0.25">
      <c r="A327712" s="15" t="s">
        <v>89</v>
      </c>
    </row>
    <row r="327713" spans="1:1" x14ac:dyDescent="0.25">
      <c r="A327713" s="15" t="s">
        <v>90</v>
      </c>
    </row>
    <row r="327714" spans="1:1" x14ac:dyDescent="0.25">
      <c r="A327714" s="15" t="s">
        <v>185</v>
      </c>
    </row>
    <row r="327715" spans="1:1" x14ac:dyDescent="0.25">
      <c r="A327715" s="15" t="s">
        <v>186</v>
      </c>
    </row>
    <row r="327716" spans="1:1" x14ac:dyDescent="0.25">
      <c r="A327716" s="15" t="s">
        <v>187</v>
      </c>
    </row>
    <row r="327717" spans="1:1" x14ac:dyDescent="0.25">
      <c r="A327717" s="15" t="s">
        <v>188</v>
      </c>
    </row>
    <row r="327718" spans="1:1" x14ac:dyDescent="0.25">
      <c r="A327718" s="15" t="s">
        <v>189</v>
      </c>
    </row>
    <row r="327719" spans="1:1" x14ac:dyDescent="0.25">
      <c r="A327719" s="15" t="s">
        <v>190</v>
      </c>
    </row>
    <row r="327720" spans="1:1" x14ac:dyDescent="0.25">
      <c r="A327720" s="15" t="s">
        <v>191</v>
      </c>
    </row>
    <row r="327721" spans="1:1" x14ac:dyDescent="0.25">
      <c r="A327721" s="14" t="s">
        <v>47</v>
      </c>
    </row>
    <row r="327722" spans="1:1" x14ac:dyDescent="0.25">
      <c r="A327722" s="14" t="s">
        <v>119</v>
      </c>
    </row>
    <row r="327723" spans="1:1" x14ac:dyDescent="0.25">
      <c r="A327723" s="14" t="s">
        <v>86</v>
      </c>
    </row>
    <row r="327724" spans="1:1" x14ac:dyDescent="0.25">
      <c r="A327724" s="13" t="s">
        <v>21</v>
      </c>
    </row>
    <row r="327725" spans="1:1" x14ac:dyDescent="0.25">
      <c r="A327725" s="14" t="s">
        <v>92</v>
      </c>
    </row>
    <row r="327726" spans="1:1" x14ac:dyDescent="0.25">
      <c r="A327726" s="14" t="s">
        <v>93</v>
      </c>
    </row>
    <row r="327727" spans="1:1" x14ac:dyDescent="0.25">
      <c r="A327727" s="14" t="s">
        <v>99</v>
      </c>
    </row>
    <row r="327728" spans="1:1" x14ac:dyDescent="0.25">
      <c r="A327728" s="14" t="s">
        <v>100</v>
      </c>
    </row>
    <row r="327729" spans="1:1" x14ac:dyDescent="0.25">
      <c r="A327729" s="13" t="s">
        <v>24</v>
      </c>
    </row>
    <row r="327730" spans="1:1" x14ac:dyDescent="0.25">
      <c r="A327730" s="13" t="s">
        <v>83</v>
      </c>
    </row>
    <row r="327731" spans="1:1" x14ac:dyDescent="0.25">
      <c r="A327731" s="13" t="s">
        <v>106</v>
      </c>
    </row>
    <row r="327732" spans="1:1" x14ac:dyDescent="0.25">
      <c r="A327732" s="13" t="s">
        <v>101</v>
      </c>
    </row>
    <row r="327733" spans="1:1" x14ac:dyDescent="0.25">
      <c r="A327733" s="13" t="s">
        <v>102</v>
      </c>
    </row>
    <row r="327734" spans="1:1" x14ac:dyDescent="0.25">
      <c r="A327734" s="13" t="s">
        <v>103</v>
      </c>
    </row>
    <row r="327735" spans="1:1" x14ac:dyDescent="0.25">
      <c r="A327735" s="13" t="s">
        <v>104</v>
      </c>
    </row>
    <row r="327736" spans="1:1" x14ac:dyDescent="0.25">
      <c r="A327736" s="13" t="s">
        <v>105</v>
      </c>
    </row>
    <row r="344066" spans="1:1" x14ac:dyDescent="0.25">
      <c r="A344066" s="13" t="s">
        <v>0</v>
      </c>
    </row>
    <row r="344067" spans="1:1" x14ac:dyDescent="0.25">
      <c r="A344067" s="13" t="s">
        <v>125</v>
      </c>
    </row>
    <row r="344068" spans="1:1" x14ac:dyDescent="0.25">
      <c r="A344068" s="13" t="s">
        <v>1</v>
      </c>
    </row>
    <row r="344069" spans="1:1" x14ac:dyDescent="0.25">
      <c r="A344069" s="13" t="s">
        <v>2</v>
      </c>
    </row>
    <row r="344070" spans="1:1" x14ac:dyDescent="0.25">
      <c r="A344070" s="14" t="s">
        <v>25</v>
      </c>
    </row>
    <row r="344071" spans="1:1" x14ac:dyDescent="0.25">
      <c r="A344071" s="13" t="s">
        <v>126</v>
      </c>
    </row>
    <row r="344072" spans="1:1" x14ac:dyDescent="0.25">
      <c r="A344072" s="13" t="s">
        <v>127</v>
      </c>
    </row>
    <row r="344073" spans="1:1" x14ac:dyDescent="0.25">
      <c r="A344073" s="13" t="s">
        <v>88</v>
      </c>
    </row>
    <row r="344074" spans="1:1" x14ac:dyDescent="0.25">
      <c r="A344074" s="13" t="s">
        <v>22</v>
      </c>
    </row>
    <row r="344075" spans="1:1" x14ac:dyDescent="0.25">
      <c r="A344075" s="13" t="s">
        <v>3</v>
      </c>
    </row>
    <row r="344076" spans="1:1" x14ac:dyDescent="0.25">
      <c r="A344076" s="15" t="s">
        <v>95</v>
      </c>
    </row>
    <row r="344077" spans="1:1" x14ac:dyDescent="0.25">
      <c r="A344077" s="15" t="s">
        <v>94</v>
      </c>
    </row>
    <row r="344078" spans="1:1" x14ac:dyDescent="0.25">
      <c r="A344078" s="15" t="s">
        <v>4</v>
      </c>
    </row>
    <row r="344079" spans="1:1" x14ac:dyDescent="0.25">
      <c r="A344079" s="15" t="s">
        <v>118</v>
      </c>
    </row>
    <row r="344080" spans="1:1" x14ac:dyDescent="0.25">
      <c r="A344080" s="15" t="s">
        <v>5</v>
      </c>
    </row>
    <row r="344081" spans="1:1" x14ac:dyDescent="0.25">
      <c r="A344081" s="15" t="s">
        <v>6</v>
      </c>
    </row>
    <row r="344082" spans="1:1" x14ac:dyDescent="0.25">
      <c r="A344082" s="15" t="s">
        <v>7</v>
      </c>
    </row>
    <row r="344083" spans="1:1" x14ac:dyDescent="0.25">
      <c r="A344083" s="15" t="s">
        <v>8</v>
      </c>
    </row>
    <row r="344084" spans="1:1" x14ac:dyDescent="0.25">
      <c r="A344084" s="15" t="s">
        <v>9</v>
      </c>
    </row>
    <row r="344085" spans="1:1" x14ac:dyDescent="0.25">
      <c r="A344085" s="15" t="s">
        <v>10</v>
      </c>
    </row>
    <row r="344086" spans="1:1" x14ac:dyDescent="0.25">
      <c r="A344086" s="15" t="s">
        <v>11</v>
      </c>
    </row>
    <row r="344087" spans="1:1" x14ac:dyDescent="0.25">
      <c r="A344087" s="15" t="s">
        <v>12</v>
      </c>
    </row>
    <row r="344088" spans="1:1" x14ac:dyDescent="0.25">
      <c r="A344088" s="15" t="s">
        <v>13</v>
      </c>
    </row>
    <row r="344089" spans="1:1" x14ac:dyDescent="0.25">
      <c r="A344089" s="15" t="s">
        <v>14</v>
      </c>
    </row>
    <row r="344090" spans="1:1" x14ac:dyDescent="0.25">
      <c r="A344090" s="13" t="s">
        <v>31</v>
      </c>
    </row>
    <row r="344091" spans="1:1" x14ac:dyDescent="0.25">
      <c r="A344091" s="13" t="s">
        <v>87</v>
      </c>
    </row>
    <row r="344092" spans="1:1" x14ac:dyDescent="0.25">
      <c r="A344092" s="15" t="s">
        <v>30</v>
      </c>
    </row>
    <row r="344093" spans="1:1" x14ac:dyDescent="0.25">
      <c r="A344093" s="15" t="s">
        <v>26</v>
      </c>
    </row>
    <row r="344094" spans="1:1" x14ac:dyDescent="0.25">
      <c r="A344094" s="15" t="s">
        <v>27</v>
      </c>
    </row>
    <row r="344095" spans="1:1" x14ac:dyDescent="0.25">
      <c r="A344095" s="15" t="s">
        <v>28</v>
      </c>
    </row>
    <row r="344096" spans="1:1" x14ac:dyDescent="0.25">
      <c r="A344096" s="15" t="s">
        <v>89</v>
      </c>
    </row>
    <row r="344097" spans="1:1" x14ac:dyDescent="0.25">
      <c r="A344097" s="15" t="s">
        <v>90</v>
      </c>
    </row>
    <row r="344098" spans="1:1" x14ac:dyDescent="0.25">
      <c r="A344098" s="15" t="s">
        <v>185</v>
      </c>
    </row>
    <row r="344099" spans="1:1" x14ac:dyDescent="0.25">
      <c r="A344099" s="15" t="s">
        <v>186</v>
      </c>
    </row>
    <row r="344100" spans="1:1" x14ac:dyDescent="0.25">
      <c r="A344100" s="15" t="s">
        <v>187</v>
      </c>
    </row>
    <row r="344101" spans="1:1" x14ac:dyDescent="0.25">
      <c r="A344101" s="15" t="s">
        <v>188</v>
      </c>
    </row>
    <row r="344102" spans="1:1" x14ac:dyDescent="0.25">
      <c r="A344102" s="15" t="s">
        <v>189</v>
      </c>
    </row>
    <row r="344103" spans="1:1" x14ac:dyDescent="0.25">
      <c r="A344103" s="15" t="s">
        <v>190</v>
      </c>
    </row>
    <row r="344104" spans="1:1" x14ac:dyDescent="0.25">
      <c r="A344104" s="15" t="s">
        <v>191</v>
      </c>
    </row>
    <row r="344105" spans="1:1" x14ac:dyDescent="0.25">
      <c r="A344105" s="14" t="s">
        <v>47</v>
      </c>
    </row>
    <row r="344106" spans="1:1" x14ac:dyDescent="0.25">
      <c r="A344106" s="14" t="s">
        <v>119</v>
      </c>
    </row>
    <row r="344107" spans="1:1" x14ac:dyDescent="0.25">
      <c r="A344107" s="14" t="s">
        <v>86</v>
      </c>
    </row>
    <row r="344108" spans="1:1" x14ac:dyDescent="0.25">
      <c r="A344108" s="13" t="s">
        <v>21</v>
      </c>
    </row>
    <row r="344109" spans="1:1" x14ac:dyDescent="0.25">
      <c r="A344109" s="14" t="s">
        <v>92</v>
      </c>
    </row>
    <row r="344110" spans="1:1" x14ac:dyDescent="0.25">
      <c r="A344110" s="14" t="s">
        <v>93</v>
      </c>
    </row>
    <row r="344111" spans="1:1" x14ac:dyDescent="0.25">
      <c r="A344111" s="14" t="s">
        <v>99</v>
      </c>
    </row>
    <row r="344112" spans="1:1" x14ac:dyDescent="0.25">
      <c r="A344112" s="14" t="s">
        <v>100</v>
      </c>
    </row>
    <row r="344113" spans="1:1" x14ac:dyDescent="0.25">
      <c r="A344113" s="13" t="s">
        <v>24</v>
      </c>
    </row>
    <row r="344114" spans="1:1" x14ac:dyDescent="0.25">
      <c r="A344114" s="13" t="s">
        <v>83</v>
      </c>
    </row>
    <row r="344115" spans="1:1" x14ac:dyDescent="0.25">
      <c r="A344115" s="13" t="s">
        <v>106</v>
      </c>
    </row>
    <row r="344116" spans="1:1" x14ac:dyDescent="0.25">
      <c r="A344116" s="13" t="s">
        <v>101</v>
      </c>
    </row>
    <row r="344117" spans="1:1" x14ac:dyDescent="0.25">
      <c r="A344117" s="13" t="s">
        <v>102</v>
      </c>
    </row>
    <row r="344118" spans="1:1" x14ac:dyDescent="0.25">
      <c r="A344118" s="13" t="s">
        <v>103</v>
      </c>
    </row>
    <row r="344119" spans="1:1" x14ac:dyDescent="0.25">
      <c r="A344119" s="13" t="s">
        <v>104</v>
      </c>
    </row>
    <row r="344120" spans="1:1" x14ac:dyDescent="0.25">
      <c r="A344120" s="13" t="s">
        <v>105</v>
      </c>
    </row>
    <row r="360450" spans="1:1" x14ac:dyDescent="0.25">
      <c r="A360450" s="13" t="s">
        <v>0</v>
      </c>
    </row>
    <row r="360451" spans="1:1" x14ac:dyDescent="0.25">
      <c r="A360451" s="13" t="s">
        <v>125</v>
      </c>
    </row>
    <row r="360452" spans="1:1" x14ac:dyDescent="0.25">
      <c r="A360452" s="13" t="s">
        <v>1</v>
      </c>
    </row>
    <row r="360453" spans="1:1" x14ac:dyDescent="0.25">
      <c r="A360453" s="13" t="s">
        <v>2</v>
      </c>
    </row>
    <row r="360454" spans="1:1" x14ac:dyDescent="0.25">
      <c r="A360454" s="14" t="s">
        <v>25</v>
      </c>
    </row>
    <row r="360455" spans="1:1" x14ac:dyDescent="0.25">
      <c r="A360455" s="13" t="s">
        <v>126</v>
      </c>
    </row>
    <row r="360456" spans="1:1" x14ac:dyDescent="0.25">
      <c r="A360456" s="13" t="s">
        <v>127</v>
      </c>
    </row>
    <row r="360457" spans="1:1" x14ac:dyDescent="0.25">
      <c r="A360457" s="13" t="s">
        <v>88</v>
      </c>
    </row>
    <row r="360458" spans="1:1" x14ac:dyDescent="0.25">
      <c r="A360458" s="13" t="s">
        <v>22</v>
      </c>
    </row>
    <row r="360459" spans="1:1" x14ac:dyDescent="0.25">
      <c r="A360459" s="13" t="s">
        <v>3</v>
      </c>
    </row>
    <row r="360460" spans="1:1" x14ac:dyDescent="0.25">
      <c r="A360460" s="15" t="s">
        <v>95</v>
      </c>
    </row>
    <row r="360461" spans="1:1" x14ac:dyDescent="0.25">
      <c r="A360461" s="15" t="s">
        <v>94</v>
      </c>
    </row>
    <row r="360462" spans="1:1" x14ac:dyDescent="0.25">
      <c r="A360462" s="15" t="s">
        <v>4</v>
      </c>
    </row>
    <row r="360463" spans="1:1" x14ac:dyDescent="0.25">
      <c r="A360463" s="15" t="s">
        <v>118</v>
      </c>
    </row>
    <row r="360464" spans="1:1" x14ac:dyDescent="0.25">
      <c r="A360464" s="15" t="s">
        <v>5</v>
      </c>
    </row>
    <row r="360465" spans="1:1" x14ac:dyDescent="0.25">
      <c r="A360465" s="15" t="s">
        <v>6</v>
      </c>
    </row>
    <row r="360466" spans="1:1" x14ac:dyDescent="0.25">
      <c r="A360466" s="15" t="s">
        <v>7</v>
      </c>
    </row>
    <row r="360467" spans="1:1" x14ac:dyDescent="0.25">
      <c r="A360467" s="15" t="s">
        <v>8</v>
      </c>
    </row>
    <row r="360468" spans="1:1" x14ac:dyDescent="0.25">
      <c r="A360468" s="15" t="s">
        <v>9</v>
      </c>
    </row>
    <row r="360469" spans="1:1" x14ac:dyDescent="0.25">
      <c r="A360469" s="15" t="s">
        <v>10</v>
      </c>
    </row>
    <row r="360470" spans="1:1" x14ac:dyDescent="0.25">
      <c r="A360470" s="15" t="s">
        <v>11</v>
      </c>
    </row>
    <row r="360471" spans="1:1" x14ac:dyDescent="0.25">
      <c r="A360471" s="15" t="s">
        <v>12</v>
      </c>
    </row>
    <row r="360472" spans="1:1" x14ac:dyDescent="0.25">
      <c r="A360472" s="15" t="s">
        <v>13</v>
      </c>
    </row>
    <row r="360473" spans="1:1" x14ac:dyDescent="0.25">
      <c r="A360473" s="15" t="s">
        <v>14</v>
      </c>
    </row>
    <row r="360474" spans="1:1" x14ac:dyDescent="0.25">
      <c r="A360474" s="13" t="s">
        <v>31</v>
      </c>
    </row>
    <row r="360475" spans="1:1" x14ac:dyDescent="0.25">
      <c r="A360475" s="13" t="s">
        <v>87</v>
      </c>
    </row>
    <row r="360476" spans="1:1" x14ac:dyDescent="0.25">
      <c r="A360476" s="15" t="s">
        <v>30</v>
      </c>
    </row>
    <row r="360477" spans="1:1" x14ac:dyDescent="0.25">
      <c r="A360477" s="15" t="s">
        <v>26</v>
      </c>
    </row>
    <row r="360478" spans="1:1" x14ac:dyDescent="0.25">
      <c r="A360478" s="15" t="s">
        <v>27</v>
      </c>
    </row>
    <row r="360479" spans="1:1" x14ac:dyDescent="0.25">
      <c r="A360479" s="15" t="s">
        <v>28</v>
      </c>
    </row>
    <row r="360480" spans="1:1" x14ac:dyDescent="0.25">
      <c r="A360480" s="15" t="s">
        <v>89</v>
      </c>
    </row>
    <row r="360481" spans="1:1" x14ac:dyDescent="0.25">
      <c r="A360481" s="15" t="s">
        <v>90</v>
      </c>
    </row>
    <row r="360482" spans="1:1" x14ac:dyDescent="0.25">
      <c r="A360482" s="15" t="s">
        <v>185</v>
      </c>
    </row>
    <row r="360483" spans="1:1" x14ac:dyDescent="0.25">
      <c r="A360483" s="15" t="s">
        <v>186</v>
      </c>
    </row>
    <row r="360484" spans="1:1" x14ac:dyDescent="0.25">
      <c r="A360484" s="15" t="s">
        <v>187</v>
      </c>
    </row>
    <row r="360485" spans="1:1" x14ac:dyDescent="0.25">
      <c r="A360485" s="15" t="s">
        <v>188</v>
      </c>
    </row>
    <row r="360486" spans="1:1" x14ac:dyDescent="0.25">
      <c r="A360486" s="15" t="s">
        <v>189</v>
      </c>
    </row>
    <row r="360487" spans="1:1" x14ac:dyDescent="0.25">
      <c r="A360487" s="15" t="s">
        <v>190</v>
      </c>
    </row>
    <row r="360488" spans="1:1" x14ac:dyDescent="0.25">
      <c r="A360488" s="15" t="s">
        <v>191</v>
      </c>
    </row>
    <row r="360489" spans="1:1" x14ac:dyDescent="0.25">
      <c r="A360489" s="14" t="s">
        <v>47</v>
      </c>
    </row>
    <row r="360490" spans="1:1" x14ac:dyDescent="0.25">
      <c r="A360490" s="14" t="s">
        <v>119</v>
      </c>
    </row>
    <row r="360491" spans="1:1" x14ac:dyDescent="0.25">
      <c r="A360491" s="14" t="s">
        <v>86</v>
      </c>
    </row>
    <row r="360492" spans="1:1" x14ac:dyDescent="0.25">
      <c r="A360492" s="13" t="s">
        <v>21</v>
      </c>
    </row>
    <row r="360493" spans="1:1" x14ac:dyDescent="0.25">
      <c r="A360493" s="14" t="s">
        <v>92</v>
      </c>
    </row>
    <row r="360494" spans="1:1" x14ac:dyDescent="0.25">
      <c r="A360494" s="14" t="s">
        <v>93</v>
      </c>
    </row>
    <row r="360495" spans="1:1" x14ac:dyDescent="0.25">
      <c r="A360495" s="14" t="s">
        <v>99</v>
      </c>
    </row>
    <row r="360496" spans="1:1" x14ac:dyDescent="0.25">
      <c r="A360496" s="14" t="s">
        <v>100</v>
      </c>
    </row>
    <row r="360497" spans="1:1" x14ac:dyDescent="0.25">
      <c r="A360497" s="13" t="s">
        <v>24</v>
      </c>
    </row>
    <row r="360498" spans="1:1" x14ac:dyDescent="0.25">
      <c r="A360498" s="13" t="s">
        <v>83</v>
      </c>
    </row>
    <row r="360499" spans="1:1" x14ac:dyDescent="0.25">
      <c r="A360499" s="13" t="s">
        <v>106</v>
      </c>
    </row>
    <row r="360500" spans="1:1" x14ac:dyDescent="0.25">
      <c r="A360500" s="13" t="s">
        <v>101</v>
      </c>
    </row>
    <row r="360501" spans="1:1" x14ac:dyDescent="0.25">
      <c r="A360501" s="13" t="s">
        <v>102</v>
      </c>
    </row>
    <row r="360502" spans="1:1" x14ac:dyDescent="0.25">
      <c r="A360502" s="13" t="s">
        <v>103</v>
      </c>
    </row>
    <row r="360503" spans="1:1" x14ac:dyDescent="0.25">
      <c r="A360503" s="13" t="s">
        <v>104</v>
      </c>
    </row>
    <row r="360504" spans="1:1" x14ac:dyDescent="0.25">
      <c r="A360504" s="13" t="s">
        <v>105</v>
      </c>
    </row>
    <row r="376834" spans="1:1" x14ac:dyDescent="0.25">
      <c r="A376834" s="13" t="s">
        <v>0</v>
      </c>
    </row>
    <row r="376835" spans="1:1" x14ac:dyDescent="0.25">
      <c r="A376835" s="13" t="s">
        <v>125</v>
      </c>
    </row>
    <row r="376836" spans="1:1" x14ac:dyDescent="0.25">
      <c r="A376836" s="13" t="s">
        <v>1</v>
      </c>
    </row>
    <row r="376837" spans="1:1" x14ac:dyDescent="0.25">
      <c r="A376837" s="13" t="s">
        <v>2</v>
      </c>
    </row>
    <row r="376838" spans="1:1" x14ac:dyDescent="0.25">
      <c r="A376838" s="14" t="s">
        <v>25</v>
      </c>
    </row>
    <row r="376839" spans="1:1" x14ac:dyDescent="0.25">
      <c r="A376839" s="13" t="s">
        <v>126</v>
      </c>
    </row>
    <row r="376840" spans="1:1" x14ac:dyDescent="0.25">
      <c r="A376840" s="13" t="s">
        <v>127</v>
      </c>
    </row>
    <row r="376841" spans="1:1" x14ac:dyDescent="0.25">
      <c r="A376841" s="13" t="s">
        <v>88</v>
      </c>
    </row>
    <row r="376842" spans="1:1" x14ac:dyDescent="0.25">
      <c r="A376842" s="13" t="s">
        <v>22</v>
      </c>
    </row>
    <row r="376843" spans="1:1" x14ac:dyDescent="0.25">
      <c r="A376843" s="13" t="s">
        <v>3</v>
      </c>
    </row>
    <row r="376844" spans="1:1" x14ac:dyDescent="0.25">
      <c r="A376844" s="15" t="s">
        <v>95</v>
      </c>
    </row>
    <row r="376845" spans="1:1" x14ac:dyDescent="0.25">
      <c r="A376845" s="15" t="s">
        <v>94</v>
      </c>
    </row>
    <row r="376846" spans="1:1" x14ac:dyDescent="0.25">
      <c r="A376846" s="15" t="s">
        <v>4</v>
      </c>
    </row>
    <row r="376847" spans="1:1" x14ac:dyDescent="0.25">
      <c r="A376847" s="15" t="s">
        <v>118</v>
      </c>
    </row>
    <row r="376848" spans="1:1" x14ac:dyDescent="0.25">
      <c r="A376848" s="15" t="s">
        <v>5</v>
      </c>
    </row>
    <row r="376849" spans="1:1" x14ac:dyDescent="0.25">
      <c r="A376849" s="15" t="s">
        <v>6</v>
      </c>
    </row>
    <row r="376850" spans="1:1" x14ac:dyDescent="0.25">
      <c r="A376850" s="15" t="s">
        <v>7</v>
      </c>
    </row>
    <row r="376851" spans="1:1" x14ac:dyDescent="0.25">
      <c r="A376851" s="15" t="s">
        <v>8</v>
      </c>
    </row>
    <row r="376852" spans="1:1" x14ac:dyDescent="0.25">
      <c r="A376852" s="15" t="s">
        <v>9</v>
      </c>
    </row>
    <row r="376853" spans="1:1" x14ac:dyDescent="0.25">
      <c r="A376853" s="15" t="s">
        <v>10</v>
      </c>
    </row>
    <row r="376854" spans="1:1" x14ac:dyDescent="0.25">
      <c r="A376854" s="15" t="s">
        <v>11</v>
      </c>
    </row>
    <row r="376855" spans="1:1" x14ac:dyDescent="0.25">
      <c r="A376855" s="15" t="s">
        <v>12</v>
      </c>
    </row>
    <row r="376856" spans="1:1" x14ac:dyDescent="0.25">
      <c r="A376856" s="15" t="s">
        <v>13</v>
      </c>
    </row>
    <row r="376857" spans="1:1" x14ac:dyDescent="0.25">
      <c r="A376857" s="15" t="s">
        <v>14</v>
      </c>
    </row>
    <row r="376858" spans="1:1" x14ac:dyDescent="0.25">
      <c r="A376858" s="13" t="s">
        <v>31</v>
      </c>
    </row>
    <row r="376859" spans="1:1" x14ac:dyDescent="0.25">
      <c r="A376859" s="13" t="s">
        <v>87</v>
      </c>
    </row>
    <row r="376860" spans="1:1" x14ac:dyDescent="0.25">
      <c r="A376860" s="15" t="s">
        <v>30</v>
      </c>
    </row>
    <row r="376861" spans="1:1" x14ac:dyDescent="0.25">
      <c r="A376861" s="15" t="s">
        <v>26</v>
      </c>
    </row>
    <row r="376862" spans="1:1" x14ac:dyDescent="0.25">
      <c r="A376862" s="15" t="s">
        <v>27</v>
      </c>
    </row>
    <row r="376863" spans="1:1" x14ac:dyDescent="0.25">
      <c r="A376863" s="15" t="s">
        <v>28</v>
      </c>
    </row>
    <row r="376864" spans="1:1" x14ac:dyDescent="0.25">
      <c r="A376864" s="15" t="s">
        <v>89</v>
      </c>
    </row>
    <row r="376865" spans="1:1" x14ac:dyDescent="0.25">
      <c r="A376865" s="15" t="s">
        <v>90</v>
      </c>
    </row>
    <row r="376866" spans="1:1" x14ac:dyDescent="0.25">
      <c r="A376866" s="15" t="s">
        <v>185</v>
      </c>
    </row>
    <row r="376867" spans="1:1" x14ac:dyDescent="0.25">
      <c r="A376867" s="15" t="s">
        <v>186</v>
      </c>
    </row>
    <row r="376868" spans="1:1" x14ac:dyDescent="0.25">
      <c r="A376868" s="15" t="s">
        <v>187</v>
      </c>
    </row>
    <row r="376869" spans="1:1" x14ac:dyDescent="0.25">
      <c r="A376869" s="15" t="s">
        <v>188</v>
      </c>
    </row>
    <row r="376870" spans="1:1" x14ac:dyDescent="0.25">
      <c r="A376870" s="15" t="s">
        <v>189</v>
      </c>
    </row>
    <row r="376871" spans="1:1" x14ac:dyDescent="0.25">
      <c r="A376871" s="15" t="s">
        <v>190</v>
      </c>
    </row>
    <row r="376872" spans="1:1" x14ac:dyDescent="0.25">
      <c r="A376872" s="15" t="s">
        <v>191</v>
      </c>
    </row>
    <row r="376873" spans="1:1" x14ac:dyDescent="0.25">
      <c r="A376873" s="14" t="s">
        <v>47</v>
      </c>
    </row>
    <row r="376874" spans="1:1" x14ac:dyDescent="0.25">
      <c r="A376874" s="14" t="s">
        <v>119</v>
      </c>
    </row>
    <row r="376875" spans="1:1" x14ac:dyDescent="0.25">
      <c r="A376875" s="14" t="s">
        <v>86</v>
      </c>
    </row>
    <row r="376876" spans="1:1" x14ac:dyDescent="0.25">
      <c r="A376876" s="13" t="s">
        <v>21</v>
      </c>
    </row>
    <row r="376877" spans="1:1" x14ac:dyDescent="0.25">
      <c r="A376877" s="14" t="s">
        <v>92</v>
      </c>
    </row>
    <row r="376878" spans="1:1" x14ac:dyDescent="0.25">
      <c r="A376878" s="14" t="s">
        <v>93</v>
      </c>
    </row>
    <row r="376879" spans="1:1" x14ac:dyDescent="0.25">
      <c r="A376879" s="14" t="s">
        <v>99</v>
      </c>
    </row>
    <row r="376880" spans="1:1" x14ac:dyDescent="0.25">
      <c r="A376880" s="14" t="s">
        <v>100</v>
      </c>
    </row>
    <row r="376881" spans="1:1" x14ac:dyDescent="0.25">
      <c r="A376881" s="13" t="s">
        <v>24</v>
      </c>
    </row>
    <row r="376882" spans="1:1" x14ac:dyDescent="0.25">
      <c r="A376882" s="13" t="s">
        <v>83</v>
      </c>
    </row>
    <row r="376883" spans="1:1" x14ac:dyDescent="0.25">
      <c r="A376883" s="13" t="s">
        <v>106</v>
      </c>
    </row>
    <row r="376884" spans="1:1" x14ac:dyDescent="0.25">
      <c r="A376884" s="13" t="s">
        <v>101</v>
      </c>
    </row>
    <row r="376885" spans="1:1" x14ac:dyDescent="0.25">
      <c r="A376885" s="13" t="s">
        <v>102</v>
      </c>
    </row>
    <row r="376886" spans="1:1" x14ac:dyDescent="0.25">
      <c r="A376886" s="13" t="s">
        <v>103</v>
      </c>
    </row>
    <row r="376887" spans="1:1" x14ac:dyDescent="0.25">
      <c r="A376887" s="13" t="s">
        <v>104</v>
      </c>
    </row>
    <row r="376888" spans="1:1" x14ac:dyDescent="0.25">
      <c r="A376888" s="13" t="s">
        <v>105</v>
      </c>
    </row>
    <row r="393218" spans="1:1" x14ac:dyDescent="0.25">
      <c r="A393218" s="13" t="s">
        <v>0</v>
      </c>
    </row>
    <row r="393219" spans="1:1" x14ac:dyDescent="0.25">
      <c r="A393219" s="13" t="s">
        <v>125</v>
      </c>
    </row>
    <row r="393220" spans="1:1" x14ac:dyDescent="0.25">
      <c r="A393220" s="13" t="s">
        <v>1</v>
      </c>
    </row>
    <row r="393221" spans="1:1" x14ac:dyDescent="0.25">
      <c r="A393221" s="13" t="s">
        <v>2</v>
      </c>
    </row>
    <row r="393222" spans="1:1" x14ac:dyDescent="0.25">
      <c r="A393222" s="14" t="s">
        <v>25</v>
      </c>
    </row>
    <row r="393223" spans="1:1" x14ac:dyDescent="0.25">
      <c r="A393223" s="13" t="s">
        <v>126</v>
      </c>
    </row>
    <row r="393224" spans="1:1" x14ac:dyDescent="0.25">
      <c r="A393224" s="13" t="s">
        <v>127</v>
      </c>
    </row>
    <row r="393225" spans="1:1" x14ac:dyDescent="0.25">
      <c r="A393225" s="13" t="s">
        <v>88</v>
      </c>
    </row>
    <row r="393226" spans="1:1" x14ac:dyDescent="0.25">
      <c r="A393226" s="13" t="s">
        <v>22</v>
      </c>
    </row>
    <row r="393227" spans="1:1" x14ac:dyDescent="0.25">
      <c r="A393227" s="13" t="s">
        <v>3</v>
      </c>
    </row>
    <row r="393228" spans="1:1" x14ac:dyDescent="0.25">
      <c r="A393228" s="15" t="s">
        <v>95</v>
      </c>
    </row>
    <row r="393229" spans="1:1" x14ac:dyDescent="0.25">
      <c r="A393229" s="15" t="s">
        <v>94</v>
      </c>
    </row>
    <row r="393230" spans="1:1" x14ac:dyDescent="0.25">
      <c r="A393230" s="15" t="s">
        <v>4</v>
      </c>
    </row>
    <row r="393231" spans="1:1" x14ac:dyDescent="0.25">
      <c r="A393231" s="15" t="s">
        <v>118</v>
      </c>
    </row>
    <row r="393232" spans="1:1" x14ac:dyDescent="0.25">
      <c r="A393232" s="15" t="s">
        <v>5</v>
      </c>
    </row>
    <row r="393233" spans="1:1" x14ac:dyDescent="0.25">
      <c r="A393233" s="15" t="s">
        <v>6</v>
      </c>
    </row>
    <row r="393234" spans="1:1" x14ac:dyDescent="0.25">
      <c r="A393234" s="15" t="s">
        <v>7</v>
      </c>
    </row>
    <row r="393235" spans="1:1" x14ac:dyDescent="0.25">
      <c r="A393235" s="15" t="s">
        <v>8</v>
      </c>
    </row>
    <row r="393236" spans="1:1" x14ac:dyDescent="0.25">
      <c r="A393236" s="15" t="s">
        <v>9</v>
      </c>
    </row>
    <row r="393237" spans="1:1" x14ac:dyDescent="0.25">
      <c r="A393237" s="15" t="s">
        <v>10</v>
      </c>
    </row>
    <row r="393238" spans="1:1" x14ac:dyDescent="0.25">
      <c r="A393238" s="15" t="s">
        <v>11</v>
      </c>
    </row>
    <row r="393239" spans="1:1" x14ac:dyDescent="0.25">
      <c r="A393239" s="15" t="s">
        <v>12</v>
      </c>
    </row>
    <row r="393240" spans="1:1" x14ac:dyDescent="0.25">
      <c r="A393240" s="15" t="s">
        <v>13</v>
      </c>
    </row>
    <row r="393241" spans="1:1" x14ac:dyDescent="0.25">
      <c r="A393241" s="15" t="s">
        <v>14</v>
      </c>
    </row>
    <row r="393242" spans="1:1" x14ac:dyDescent="0.25">
      <c r="A393242" s="13" t="s">
        <v>31</v>
      </c>
    </row>
    <row r="393243" spans="1:1" x14ac:dyDescent="0.25">
      <c r="A393243" s="13" t="s">
        <v>87</v>
      </c>
    </row>
    <row r="393244" spans="1:1" x14ac:dyDescent="0.25">
      <c r="A393244" s="15" t="s">
        <v>30</v>
      </c>
    </row>
    <row r="393245" spans="1:1" x14ac:dyDescent="0.25">
      <c r="A393245" s="15" t="s">
        <v>26</v>
      </c>
    </row>
    <row r="393246" spans="1:1" x14ac:dyDescent="0.25">
      <c r="A393246" s="15" t="s">
        <v>27</v>
      </c>
    </row>
    <row r="393247" spans="1:1" x14ac:dyDescent="0.25">
      <c r="A393247" s="15" t="s">
        <v>28</v>
      </c>
    </row>
    <row r="393248" spans="1:1" x14ac:dyDescent="0.25">
      <c r="A393248" s="15" t="s">
        <v>89</v>
      </c>
    </row>
    <row r="393249" spans="1:1" x14ac:dyDescent="0.25">
      <c r="A393249" s="15" t="s">
        <v>90</v>
      </c>
    </row>
    <row r="393250" spans="1:1" x14ac:dyDescent="0.25">
      <c r="A393250" s="15" t="s">
        <v>185</v>
      </c>
    </row>
    <row r="393251" spans="1:1" x14ac:dyDescent="0.25">
      <c r="A393251" s="15" t="s">
        <v>186</v>
      </c>
    </row>
    <row r="393252" spans="1:1" x14ac:dyDescent="0.25">
      <c r="A393252" s="15" t="s">
        <v>187</v>
      </c>
    </row>
    <row r="393253" spans="1:1" x14ac:dyDescent="0.25">
      <c r="A393253" s="15" t="s">
        <v>188</v>
      </c>
    </row>
    <row r="393254" spans="1:1" x14ac:dyDescent="0.25">
      <c r="A393254" s="15" t="s">
        <v>189</v>
      </c>
    </row>
    <row r="393255" spans="1:1" x14ac:dyDescent="0.25">
      <c r="A393255" s="15" t="s">
        <v>190</v>
      </c>
    </row>
    <row r="393256" spans="1:1" x14ac:dyDescent="0.25">
      <c r="A393256" s="15" t="s">
        <v>191</v>
      </c>
    </row>
    <row r="393257" spans="1:1" x14ac:dyDescent="0.25">
      <c r="A393257" s="14" t="s">
        <v>47</v>
      </c>
    </row>
    <row r="393258" spans="1:1" x14ac:dyDescent="0.25">
      <c r="A393258" s="14" t="s">
        <v>119</v>
      </c>
    </row>
    <row r="393259" spans="1:1" x14ac:dyDescent="0.25">
      <c r="A393259" s="14" t="s">
        <v>86</v>
      </c>
    </row>
    <row r="393260" spans="1:1" x14ac:dyDescent="0.25">
      <c r="A393260" s="13" t="s">
        <v>21</v>
      </c>
    </row>
    <row r="393261" spans="1:1" x14ac:dyDescent="0.25">
      <c r="A393261" s="14" t="s">
        <v>92</v>
      </c>
    </row>
    <row r="393262" spans="1:1" x14ac:dyDescent="0.25">
      <c r="A393262" s="14" t="s">
        <v>93</v>
      </c>
    </row>
    <row r="393263" spans="1:1" x14ac:dyDescent="0.25">
      <c r="A393263" s="14" t="s">
        <v>99</v>
      </c>
    </row>
    <row r="393264" spans="1:1" x14ac:dyDescent="0.25">
      <c r="A393264" s="14" t="s">
        <v>100</v>
      </c>
    </row>
    <row r="393265" spans="1:1" x14ac:dyDescent="0.25">
      <c r="A393265" s="13" t="s">
        <v>24</v>
      </c>
    </row>
    <row r="393266" spans="1:1" x14ac:dyDescent="0.25">
      <c r="A393266" s="13" t="s">
        <v>83</v>
      </c>
    </row>
    <row r="393267" spans="1:1" x14ac:dyDescent="0.25">
      <c r="A393267" s="13" t="s">
        <v>106</v>
      </c>
    </row>
    <row r="393268" spans="1:1" x14ac:dyDescent="0.25">
      <c r="A393268" s="13" t="s">
        <v>101</v>
      </c>
    </row>
    <row r="393269" spans="1:1" x14ac:dyDescent="0.25">
      <c r="A393269" s="13" t="s">
        <v>102</v>
      </c>
    </row>
    <row r="393270" spans="1:1" x14ac:dyDescent="0.25">
      <c r="A393270" s="13" t="s">
        <v>103</v>
      </c>
    </row>
    <row r="393271" spans="1:1" x14ac:dyDescent="0.25">
      <c r="A393271" s="13" t="s">
        <v>104</v>
      </c>
    </row>
    <row r="393272" spans="1:1" x14ac:dyDescent="0.25">
      <c r="A393272" s="13" t="s">
        <v>105</v>
      </c>
    </row>
    <row r="409602" spans="1:1" x14ac:dyDescent="0.25">
      <c r="A409602" s="13" t="s">
        <v>0</v>
      </c>
    </row>
    <row r="409603" spans="1:1" x14ac:dyDescent="0.25">
      <c r="A409603" s="13" t="s">
        <v>125</v>
      </c>
    </row>
    <row r="409604" spans="1:1" x14ac:dyDescent="0.25">
      <c r="A409604" s="13" t="s">
        <v>1</v>
      </c>
    </row>
    <row r="409605" spans="1:1" x14ac:dyDescent="0.25">
      <c r="A409605" s="13" t="s">
        <v>2</v>
      </c>
    </row>
    <row r="409606" spans="1:1" x14ac:dyDescent="0.25">
      <c r="A409606" s="14" t="s">
        <v>25</v>
      </c>
    </row>
    <row r="409607" spans="1:1" x14ac:dyDescent="0.25">
      <c r="A409607" s="13" t="s">
        <v>126</v>
      </c>
    </row>
    <row r="409608" spans="1:1" x14ac:dyDescent="0.25">
      <c r="A409608" s="13" t="s">
        <v>127</v>
      </c>
    </row>
    <row r="409609" spans="1:1" x14ac:dyDescent="0.25">
      <c r="A409609" s="13" t="s">
        <v>88</v>
      </c>
    </row>
    <row r="409610" spans="1:1" x14ac:dyDescent="0.25">
      <c r="A409610" s="13" t="s">
        <v>22</v>
      </c>
    </row>
    <row r="409611" spans="1:1" x14ac:dyDescent="0.25">
      <c r="A409611" s="13" t="s">
        <v>3</v>
      </c>
    </row>
    <row r="409612" spans="1:1" x14ac:dyDescent="0.25">
      <c r="A409612" s="15" t="s">
        <v>95</v>
      </c>
    </row>
    <row r="409613" spans="1:1" x14ac:dyDescent="0.25">
      <c r="A409613" s="15" t="s">
        <v>94</v>
      </c>
    </row>
    <row r="409614" spans="1:1" x14ac:dyDescent="0.25">
      <c r="A409614" s="15" t="s">
        <v>4</v>
      </c>
    </row>
    <row r="409615" spans="1:1" x14ac:dyDescent="0.25">
      <c r="A409615" s="15" t="s">
        <v>118</v>
      </c>
    </row>
    <row r="409616" spans="1:1" x14ac:dyDescent="0.25">
      <c r="A409616" s="15" t="s">
        <v>5</v>
      </c>
    </row>
    <row r="409617" spans="1:1" x14ac:dyDescent="0.25">
      <c r="A409617" s="15" t="s">
        <v>6</v>
      </c>
    </row>
    <row r="409618" spans="1:1" x14ac:dyDescent="0.25">
      <c r="A409618" s="15" t="s">
        <v>7</v>
      </c>
    </row>
    <row r="409619" spans="1:1" x14ac:dyDescent="0.25">
      <c r="A409619" s="15" t="s">
        <v>8</v>
      </c>
    </row>
    <row r="409620" spans="1:1" x14ac:dyDescent="0.25">
      <c r="A409620" s="15" t="s">
        <v>9</v>
      </c>
    </row>
    <row r="409621" spans="1:1" x14ac:dyDescent="0.25">
      <c r="A409621" s="15" t="s">
        <v>10</v>
      </c>
    </row>
    <row r="409622" spans="1:1" x14ac:dyDescent="0.25">
      <c r="A409622" s="15" t="s">
        <v>11</v>
      </c>
    </row>
    <row r="409623" spans="1:1" x14ac:dyDescent="0.25">
      <c r="A409623" s="15" t="s">
        <v>12</v>
      </c>
    </row>
    <row r="409624" spans="1:1" x14ac:dyDescent="0.25">
      <c r="A409624" s="15" t="s">
        <v>13</v>
      </c>
    </row>
    <row r="409625" spans="1:1" x14ac:dyDescent="0.25">
      <c r="A409625" s="15" t="s">
        <v>14</v>
      </c>
    </row>
    <row r="409626" spans="1:1" x14ac:dyDescent="0.25">
      <c r="A409626" s="13" t="s">
        <v>31</v>
      </c>
    </row>
    <row r="409627" spans="1:1" x14ac:dyDescent="0.25">
      <c r="A409627" s="13" t="s">
        <v>87</v>
      </c>
    </row>
    <row r="409628" spans="1:1" x14ac:dyDescent="0.25">
      <c r="A409628" s="15" t="s">
        <v>30</v>
      </c>
    </row>
    <row r="409629" spans="1:1" x14ac:dyDescent="0.25">
      <c r="A409629" s="15" t="s">
        <v>26</v>
      </c>
    </row>
    <row r="409630" spans="1:1" x14ac:dyDescent="0.25">
      <c r="A409630" s="15" t="s">
        <v>27</v>
      </c>
    </row>
    <row r="409631" spans="1:1" x14ac:dyDescent="0.25">
      <c r="A409631" s="15" t="s">
        <v>28</v>
      </c>
    </row>
    <row r="409632" spans="1:1" x14ac:dyDescent="0.25">
      <c r="A409632" s="15" t="s">
        <v>89</v>
      </c>
    </row>
    <row r="409633" spans="1:1" x14ac:dyDescent="0.25">
      <c r="A409633" s="15" t="s">
        <v>90</v>
      </c>
    </row>
    <row r="409634" spans="1:1" x14ac:dyDescent="0.25">
      <c r="A409634" s="15" t="s">
        <v>185</v>
      </c>
    </row>
    <row r="409635" spans="1:1" x14ac:dyDescent="0.25">
      <c r="A409635" s="15" t="s">
        <v>186</v>
      </c>
    </row>
    <row r="409636" spans="1:1" x14ac:dyDescent="0.25">
      <c r="A409636" s="15" t="s">
        <v>187</v>
      </c>
    </row>
    <row r="409637" spans="1:1" x14ac:dyDescent="0.25">
      <c r="A409637" s="15" t="s">
        <v>188</v>
      </c>
    </row>
    <row r="409638" spans="1:1" x14ac:dyDescent="0.25">
      <c r="A409638" s="15" t="s">
        <v>189</v>
      </c>
    </row>
    <row r="409639" spans="1:1" x14ac:dyDescent="0.25">
      <c r="A409639" s="15" t="s">
        <v>190</v>
      </c>
    </row>
    <row r="409640" spans="1:1" x14ac:dyDescent="0.25">
      <c r="A409640" s="15" t="s">
        <v>191</v>
      </c>
    </row>
    <row r="409641" spans="1:1" x14ac:dyDescent="0.25">
      <c r="A409641" s="14" t="s">
        <v>47</v>
      </c>
    </row>
    <row r="409642" spans="1:1" x14ac:dyDescent="0.25">
      <c r="A409642" s="14" t="s">
        <v>119</v>
      </c>
    </row>
    <row r="409643" spans="1:1" x14ac:dyDescent="0.25">
      <c r="A409643" s="14" t="s">
        <v>86</v>
      </c>
    </row>
    <row r="409644" spans="1:1" x14ac:dyDescent="0.25">
      <c r="A409644" s="13" t="s">
        <v>21</v>
      </c>
    </row>
    <row r="409645" spans="1:1" x14ac:dyDescent="0.25">
      <c r="A409645" s="14" t="s">
        <v>92</v>
      </c>
    </row>
    <row r="409646" spans="1:1" x14ac:dyDescent="0.25">
      <c r="A409646" s="14" t="s">
        <v>93</v>
      </c>
    </row>
    <row r="409647" spans="1:1" x14ac:dyDescent="0.25">
      <c r="A409647" s="14" t="s">
        <v>99</v>
      </c>
    </row>
    <row r="409648" spans="1:1" x14ac:dyDescent="0.25">
      <c r="A409648" s="14" t="s">
        <v>100</v>
      </c>
    </row>
    <row r="409649" spans="1:1" x14ac:dyDescent="0.25">
      <c r="A409649" s="13" t="s">
        <v>24</v>
      </c>
    </row>
    <row r="409650" spans="1:1" x14ac:dyDescent="0.25">
      <c r="A409650" s="13" t="s">
        <v>83</v>
      </c>
    </row>
    <row r="409651" spans="1:1" x14ac:dyDescent="0.25">
      <c r="A409651" s="13" t="s">
        <v>106</v>
      </c>
    </row>
    <row r="409652" spans="1:1" x14ac:dyDescent="0.25">
      <c r="A409652" s="13" t="s">
        <v>101</v>
      </c>
    </row>
    <row r="409653" spans="1:1" x14ac:dyDescent="0.25">
      <c r="A409653" s="13" t="s">
        <v>102</v>
      </c>
    </row>
    <row r="409654" spans="1:1" x14ac:dyDescent="0.25">
      <c r="A409654" s="13" t="s">
        <v>103</v>
      </c>
    </row>
    <row r="409655" spans="1:1" x14ac:dyDescent="0.25">
      <c r="A409655" s="13" t="s">
        <v>104</v>
      </c>
    </row>
    <row r="409656" spans="1:1" x14ac:dyDescent="0.25">
      <c r="A409656" s="13" t="s">
        <v>105</v>
      </c>
    </row>
    <row r="425986" spans="1:1" x14ac:dyDescent="0.25">
      <c r="A425986" s="13" t="s">
        <v>0</v>
      </c>
    </row>
    <row r="425987" spans="1:1" x14ac:dyDescent="0.25">
      <c r="A425987" s="13" t="s">
        <v>125</v>
      </c>
    </row>
    <row r="425988" spans="1:1" x14ac:dyDescent="0.25">
      <c r="A425988" s="13" t="s">
        <v>1</v>
      </c>
    </row>
    <row r="425989" spans="1:1" x14ac:dyDescent="0.25">
      <c r="A425989" s="13" t="s">
        <v>2</v>
      </c>
    </row>
    <row r="425990" spans="1:1" x14ac:dyDescent="0.25">
      <c r="A425990" s="14" t="s">
        <v>25</v>
      </c>
    </row>
    <row r="425991" spans="1:1" x14ac:dyDescent="0.25">
      <c r="A425991" s="13" t="s">
        <v>126</v>
      </c>
    </row>
    <row r="425992" spans="1:1" x14ac:dyDescent="0.25">
      <c r="A425992" s="13" t="s">
        <v>127</v>
      </c>
    </row>
    <row r="425993" spans="1:1" x14ac:dyDescent="0.25">
      <c r="A425993" s="13" t="s">
        <v>88</v>
      </c>
    </row>
    <row r="425994" spans="1:1" x14ac:dyDescent="0.25">
      <c r="A425994" s="13" t="s">
        <v>22</v>
      </c>
    </row>
    <row r="425995" spans="1:1" x14ac:dyDescent="0.25">
      <c r="A425995" s="13" t="s">
        <v>3</v>
      </c>
    </row>
    <row r="425996" spans="1:1" x14ac:dyDescent="0.25">
      <c r="A425996" s="15" t="s">
        <v>95</v>
      </c>
    </row>
    <row r="425997" spans="1:1" x14ac:dyDescent="0.25">
      <c r="A425997" s="15" t="s">
        <v>94</v>
      </c>
    </row>
    <row r="425998" spans="1:1" x14ac:dyDescent="0.25">
      <c r="A425998" s="15" t="s">
        <v>4</v>
      </c>
    </row>
    <row r="425999" spans="1:1" x14ac:dyDescent="0.25">
      <c r="A425999" s="15" t="s">
        <v>118</v>
      </c>
    </row>
    <row r="426000" spans="1:1" x14ac:dyDescent="0.25">
      <c r="A426000" s="15" t="s">
        <v>5</v>
      </c>
    </row>
    <row r="426001" spans="1:1" x14ac:dyDescent="0.25">
      <c r="A426001" s="15" t="s">
        <v>6</v>
      </c>
    </row>
    <row r="426002" spans="1:1" x14ac:dyDescent="0.25">
      <c r="A426002" s="15" t="s">
        <v>7</v>
      </c>
    </row>
    <row r="426003" spans="1:1" x14ac:dyDescent="0.25">
      <c r="A426003" s="15" t="s">
        <v>8</v>
      </c>
    </row>
    <row r="426004" spans="1:1" x14ac:dyDescent="0.25">
      <c r="A426004" s="15" t="s">
        <v>9</v>
      </c>
    </row>
    <row r="426005" spans="1:1" x14ac:dyDescent="0.25">
      <c r="A426005" s="15" t="s">
        <v>10</v>
      </c>
    </row>
    <row r="426006" spans="1:1" x14ac:dyDescent="0.25">
      <c r="A426006" s="15" t="s">
        <v>11</v>
      </c>
    </row>
    <row r="426007" spans="1:1" x14ac:dyDescent="0.25">
      <c r="A426007" s="15" t="s">
        <v>12</v>
      </c>
    </row>
    <row r="426008" spans="1:1" x14ac:dyDescent="0.25">
      <c r="A426008" s="15" t="s">
        <v>13</v>
      </c>
    </row>
    <row r="426009" spans="1:1" x14ac:dyDescent="0.25">
      <c r="A426009" s="15" t="s">
        <v>14</v>
      </c>
    </row>
    <row r="426010" spans="1:1" x14ac:dyDescent="0.25">
      <c r="A426010" s="13" t="s">
        <v>31</v>
      </c>
    </row>
    <row r="426011" spans="1:1" x14ac:dyDescent="0.25">
      <c r="A426011" s="13" t="s">
        <v>87</v>
      </c>
    </row>
    <row r="426012" spans="1:1" x14ac:dyDescent="0.25">
      <c r="A426012" s="15" t="s">
        <v>30</v>
      </c>
    </row>
    <row r="426013" spans="1:1" x14ac:dyDescent="0.25">
      <c r="A426013" s="15" t="s">
        <v>26</v>
      </c>
    </row>
    <row r="426014" spans="1:1" x14ac:dyDescent="0.25">
      <c r="A426014" s="15" t="s">
        <v>27</v>
      </c>
    </row>
    <row r="426015" spans="1:1" x14ac:dyDescent="0.25">
      <c r="A426015" s="15" t="s">
        <v>28</v>
      </c>
    </row>
    <row r="426016" spans="1:1" x14ac:dyDescent="0.25">
      <c r="A426016" s="15" t="s">
        <v>89</v>
      </c>
    </row>
    <row r="426017" spans="1:1" x14ac:dyDescent="0.25">
      <c r="A426017" s="15" t="s">
        <v>90</v>
      </c>
    </row>
    <row r="426018" spans="1:1" x14ac:dyDescent="0.25">
      <c r="A426018" s="15" t="s">
        <v>185</v>
      </c>
    </row>
    <row r="426019" spans="1:1" x14ac:dyDescent="0.25">
      <c r="A426019" s="15" t="s">
        <v>186</v>
      </c>
    </row>
    <row r="426020" spans="1:1" x14ac:dyDescent="0.25">
      <c r="A426020" s="15" t="s">
        <v>187</v>
      </c>
    </row>
    <row r="426021" spans="1:1" x14ac:dyDescent="0.25">
      <c r="A426021" s="15" t="s">
        <v>188</v>
      </c>
    </row>
    <row r="426022" spans="1:1" x14ac:dyDescent="0.25">
      <c r="A426022" s="15" t="s">
        <v>189</v>
      </c>
    </row>
    <row r="426023" spans="1:1" x14ac:dyDescent="0.25">
      <c r="A426023" s="15" t="s">
        <v>190</v>
      </c>
    </row>
    <row r="426024" spans="1:1" x14ac:dyDescent="0.25">
      <c r="A426024" s="15" t="s">
        <v>191</v>
      </c>
    </row>
    <row r="426025" spans="1:1" x14ac:dyDescent="0.25">
      <c r="A426025" s="14" t="s">
        <v>47</v>
      </c>
    </row>
    <row r="426026" spans="1:1" x14ac:dyDescent="0.25">
      <c r="A426026" s="14" t="s">
        <v>119</v>
      </c>
    </row>
    <row r="426027" spans="1:1" x14ac:dyDescent="0.25">
      <c r="A426027" s="14" t="s">
        <v>86</v>
      </c>
    </row>
    <row r="426028" spans="1:1" x14ac:dyDescent="0.25">
      <c r="A426028" s="13" t="s">
        <v>21</v>
      </c>
    </row>
    <row r="426029" spans="1:1" x14ac:dyDescent="0.25">
      <c r="A426029" s="14" t="s">
        <v>92</v>
      </c>
    </row>
    <row r="426030" spans="1:1" x14ac:dyDescent="0.25">
      <c r="A426030" s="14" t="s">
        <v>93</v>
      </c>
    </row>
    <row r="426031" spans="1:1" x14ac:dyDescent="0.25">
      <c r="A426031" s="14" t="s">
        <v>99</v>
      </c>
    </row>
    <row r="426032" spans="1:1" x14ac:dyDescent="0.25">
      <c r="A426032" s="14" t="s">
        <v>100</v>
      </c>
    </row>
    <row r="426033" spans="1:1" x14ac:dyDescent="0.25">
      <c r="A426033" s="13" t="s">
        <v>24</v>
      </c>
    </row>
    <row r="426034" spans="1:1" x14ac:dyDescent="0.25">
      <c r="A426034" s="13" t="s">
        <v>83</v>
      </c>
    </row>
    <row r="426035" spans="1:1" x14ac:dyDescent="0.25">
      <c r="A426035" s="13" t="s">
        <v>106</v>
      </c>
    </row>
    <row r="426036" spans="1:1" x14ac:dyDescent="0.25">
      <c r="A426036" s="13" t="s">
        <v>101</v>
      </c>
    </row>
    <row r="426037" spans="1:1" x14ac:dyDescent="0.25">
      <c r="A426037" s="13" t="s">
        <v>102</v>
      </c>
    </row>
    <row r="426038" spans="1:1" x14ac:dyDescent="0.25">
      <c r="A426038" s="13" t="s">
        <v>103</v>
      </c>
    </row>
    <row r="426039" spans="1:1" x14ac:dyDescent="0.25">
      <c r="A426039" s="13" t="s">
        <v>104</v>
      </c>
    </row>
    <row r="426040" spans="1:1" x14ac:dyDescent="0.25">
      <c r="A426040" s="13" t="s">
        <v>105</v>
      </c>
    </row>
    <row r="442370" spans="1:1" x14ac:dyDescent="0.25">
      <c r="A442370" s="13" t="s">
        <v>0</v>
      </c>
    </row>
    <row r="442371" spans="1:1" x14ac:dyDescent="0.25">
      <c r="A442371" s="13" t="s">
        <v>125</v>
      </c>
    </row>
    <row r="442372" spans="1:1" x14ac:dyDescent="0.25">
      <c r="A442372" s="13" t="s">
        <v>1</v>
      </c>
    </row>
    <row r="442373" spans="1:1" x14ac:dyDescent="0.25">
      <c r="A442373" s="13" t="s">
        <v>2</v>
      </c>
    </row>
    <row r="442374" spans="1:1" x14ac:dyDescent="0.25">
      <c r="A442374" s="14" t="s">
        <v>25</v>
      </c>
    </row>
    <row r="442375" spans="1:1" x14ac:dyDescent="0.25">
      <c r="A442375" s="13" t="s">
        <v>126</v>
      </c>
    </row>
    <row r="442376" spans="1:1" x14ac:dyDescent="0.25">
      <c r="A442376" s="13" t="s">
        <v>127</v>
      </c>
    </row>
    <row r="442377" spans="1:1" x14ac:dyDescent="0.25">
      <c r="A442377" s="13" t="s">
        <v>88</v>
      </c>
    </row>
    <row r="442378" spans="1:1" x14ac:dyDescent="0.25">
      <c r="A442378" s="13" t="s">
        <v>22</v>
      </c>
    </row>
    <row r="442379" spans="1:1" x14ac:dyDescent="0.25">
      <c r="A442379" s="13" t="s">
        <v>3</v>
      </c>
    </row>
    <row r="442380" spans="1:1" x14ac:dyDescent="0.25">
      <c r="A442380" s="15" t="s">
        <v>95</v>
      </c>
    </row>
    <row r="442381" spans="1:1" x14ac:dyDescent="0.25">
      <c r="A442381" s="15" t="s">
        <v>94</v>
      </c>
    </row>
    <row r="442382" spans="1:1" x14ac:dyDescent="0.25">
      <c r="A442382" s="15" t="s">
        <v>4</v>
      </c>
    </row>
    <row r="442383" spans="1:1" x14ac:dyDescent="0.25">
      <c r="A442383" s="15" t="s">
        <v>118</v>
      </c>
    </row>
    <row r="442384" spans="1:1" x14ac:dyDescent="0.25">
      <c r="A442384" s="15" t="s">
        <v>5</v>
      </c>
    </row>
    <row r="442385" spans="1:1" x14ac:dyDescent="0.25">
      <c r="A442385" s="15" t="s">
        <v>6</v>
      </c>
    </row>
    <row r="442386" spans="1:1" x14ac:dyDescent="0.25">
      <c r="A442386" s="15" t="s">
        <v>7</v>
      </c>
    </row>
    <row r="442387" spans="1:1" x14ac:dyDescent="0.25">
      <c r="A442387" s="15" t="s">
        <v>8</v>
      </c>
    </row>
    <row r="442388" spans="1:1" x14ac:dyDescent="0.25">
      <c r="A442388" s="15" t="s">
        <v>9</v>
      </c>
    </row>
    <row r="442389" spans="1:1" x14ac:dyDescent="0.25">
      <c r="A442389" s="15" t="s">
        <v>10</v>
      </c>
    </row>
    <row r="442390" spans="1:1" x14ac:dyDescent="0.25">
      <c r="A442390" s="15" t="s">
        <v>11</v>
      </c>
    </row>
    <row r="442391" spans="1:1" x14ac:dyDescent="0.25">
      <c r="A442391" s="15" t="s">
        <v>12</v>
      </c>
    </row>
    <row r="442392" spans="1:1" x14ac:dyDescent="0.25">
      <c r="A442392" s="15" t="s">
        <v>13</v>
      </c>
    </row>
    <row r="442393" spans="1:1" x14ac:dyDescent="0.25">
      <c r="A442393" s="15" t="s">
        <v>14</v>
      </c>
    </row>
    <row r="442394" spans="1:1" x14ac:dyDescent="0.25">
      <c r="A442394" s="13" t="s">
        <v>31</v>
      </c>
    </row>
    <row r="442395" spans="1:1" x14ac:dyDescent="0.25">
      <c r="A442395" s="13" t="s">
        <v>87</v>
      </c>
    </row>
    <row r="442396" spans="1:1" x14ac:dyDescent="0.25">
      <c r="A442396" s="15" t="s">
        <v>30</v>
      </c>
    </row>
    <row r="442397" spans="1:1" x14ac:dyDescent="0.25">
      <c r="A442397" s="15" t="s">
        <v>26</v>
      </c>
    </row>
    <row r="442398" spans="1:1" x14ac:dyDescent="0.25">
      <c r="A442398" s="15" t="s">
        <v>27</v>
      </c>
    </row>
    <row r="442399" spans="1:1" x14ac:dyDescent="0.25">
      <c r="A442399" s="15" t="s">
        <v>28</v>
      </c>
    </row>
    <row r="442400" spans="1:1" x14ac:dyDescent="0.25">
      <c r="A442400" s="15" t="s">
        <v>89</v>
      </c>
    </row>
    <row r="442401" spans="1:1" x14ac:dyDescent="0.25">
      <c r="A442401" s="15" t="s">
        <v>90</v>
      </c>
    </row>
    <row r="442402" spans="1:1" x14ac:dyDescent="0.25">
      <c r="A442402" s="15" t="s">
        <v>185</v>
      </c>
    </row>
    <row r="442403" spans="1:1" x14ac:dyDescent="0.25">
      <c r="A442403" s="15" t="s">
        <v>186</v>
      </c>
    </row>
    <row r="442404" spans="1:1" x14ac:dyDescent="0.25">
      <c r="A442404" s="15" t="s">
        <v>187</v>
      </c>
    </row>
    <row r="442405" spans="1:1" x14ac:dyDescent="0.25">
      <c r="A442405" s="15" t="s">
        <v>188</v>
      </c>
    </row>
    <row r="442406" spans="1:1" x14ac:dyDescent="0.25">
      <c r="A442406" s="15" t="s">
        <v>189</v>
      </c>
    </row>
    <row r="442407" spans="1:1" x14ac:dyDescent="0.25">
      <c r="A442407" s="15" t="s">
        <v>190</v>
      </c>
    </row>
    <row r="442408" spans="1:1" x14ac:dyDescent="0.25">
      <c r="A442408" s="15" t="s">
        <v>191</v>
      </c>
    </row>
    <row r="442409" spans="1:1" x14ac:dyDescent="0.25">
      <c r="A442409" s="14" t="s">
        <v>47</v>
      </c>
    </row>
    <row r="442410" spans="1:1" x14ac:dyDescent="0.25">
      <c r="A442410" s="14" t="s">
        <v>119</v>
      </c>
    </row>
    <row r="442411" spans="1:1" x14ac:dyDescent="0.25">
      <c r="A442411" s="14" t="s">
        <v>86</v>
      </c>
    </row>
    <row r="442412" spans="1:1" x14ac:dyDescent="0.25">
      <c r="A442412" s="13" t="s">
        <v>21</v>
      </c>
    </row>
    <row r="442413" spans="1:1" x14ac:dyDescent="0.25">
      <c r="A442413" s="14" t="s">
        <v>92</v>
      </c>
    </row>
    <row r="442414" spans="1:1" x14ac:dyDescent="0.25">
      <c r="A442414" s="14" t="s">
        <v>93</v>
      </c>
    </row>
    <row r="442415" spans="1:1" x14ac:dyDescent="0.25">
      <c r="A442415" s="14" t="s">
        <v>99</v>
      </c>
    </row>
    <row r="442416" spans="1:1" x14ac:dyDescent="0.25">
      <c r="A442416" s="14" t="s">
        <v>100</v>
      </c>
    </row>
    <row r="442417" spans="1:1" x14ac:dyDescent="0.25">
      <c r="A442417" s="13" t="s">
        <v>24</v>
      </c>
    </row>
    <row r="442418" spans="1:1" x14ac:dyDescent="0.25">
      <c r="A442418" s="13" t="s">
        <v>83</v>
      </c>
    </row>
    <row r="442419" spans="1:1" x14ac:dyDescent="0.25">
      <c r="A442419" s="13" t="s">
        <v>106</v>
      </c>
    </row>
    <row r="442420" spans="1:1" x14ac:dyDescent="0.25">
      <c r="A442420" s="13" t="s">
        <v>101</v>
      </c>
    </row>
    <row r="442421" spans="1:1" x14ac:dyDescent="0.25">
      <c r="A442421" s="13" t="s">
        <v>102</v>
      </c>
    </row>
    <row r="442422" spans="1:1" x14ac:dyDescent="0.25">
      <c r="A442422" s="13" t="s">
        <v>103</v>
      </c>
    </row>
    <row r="442423" spans="1:1" x14ac:dyDescent="0.25">
      <c r="A442423" s="13" t="s">
        <v>104</v>
      </c>
    </row>
    <row r="442424" spans="1:1" x14ac:dyDescent="0.25">
      <c r="A442424" s="13" t="s">
        <v>105</v>
      </c>
    </row>
    <row r="458754" spans="1:1" x14ac:dyDescent="0.25">
      <c r="A458754" s="13" t="s">
        <v>0</v>
      </c>
    </row>
    <row r="458755" spans="1:1" x14ac:dyDescent="0.25">
      <c r="A458755" s="13" t="s">
        <v>125</v>
      </c>
    </row>
    <row r="458756" spans="1:1" x14ac:dyDescent="0.25">
      <c r="A458756" s="13" t="s">
        <v>1</v>
      </c>
    </row>
    <row r="458757" spans="1:1" x14ac:dyDescent="0.25">
      <c r="A458757" s="13" t="s">
        <v>2</v>
      </c>
    </row>
    <row r="458758" spans="1:1" x14ac:dyDescent="0.25">
      <c r="A458758" s="14" t="s">
        <v>25</v>
      </c>
    </row>
    <row r="458759" spans="1:1" x14ac:dyDescent="0.25">
      <c r="A458759" s="13" t="s">
        <v>126</v>
      </c>
    </row>
    <row r="458760" spans="1:1" x14ac:dyDescent="0.25">
      <c r="A458760" s="13" t="s">
        <v>127</v>
      </c>
    </row>
    <row r="458761" spans="1:1" x14ac:dyDescent="0.25">
      <c r="A458761" s="13" t="s">
        <v>88</v>
      </c>
    </row>
    <row r="458762" spans="1:1" x14ac:dyDescent="0.25">
      <c r="A458762" s="13" t="s">
        <v>22</v>
      </c>
    </row>
    <row r="458763" spans="1:1" x14ac:dyDescent="0.25">
      <c r="A458763" s="13" t="s">
        <v>3</v>
      </c>
    </row>
    <row r="458764" spans="1:1" x14ac:dyDescent="0.25">
      <c r="A458764" s="15" t="s">
        <v>95</v>
      </c>
    </row>
    <row r="458765" spans="1:1" x14ac:dyDescent="0.25">
      <c r="A458765" s="15" t="s">
        <v>94</v>
      </c>
    </row>
    <row r="458766" spans="1:1" x14ac:dyDescent="0.25">
      <c r="A458766" s="15" t="s">
        <v>4</v>
      </c>
    </row>
    <row r="458767" spans="1:1" x14ac:dyDescent="0.25">
      <c r="A458767" s="15" t="s">
        <v>118</v>
      </c>
    </row>
    <row r="458768" spans="1:1" x14ac:dyDescent="0.25">
      <c r="A458768" s="15" t="s">
        <v>5</v>
      </c>
    </row>
    <row r="458769" spans="1:1" x14ac:dyDescent="0.25">
      <c r="A458769" s="15" t="s">
        <v>6</v>
      </c>
    </row>
    <row r="458770" spans="1:1" x14ac:dyDescent="0.25">
      <c r="A458770" s="15" t="s">
        <v>7</v>
      </c>
    </row>
    <row r="458771" spans="1:1" x14ac:dyDescent="0.25">
      <c r="A458771" s="15" t="s">
        <v>8</v>
      </c>
    </row>
    <row r="458772" spans="1:1" x14ac:dyDescent="0.25">
      <c r="A458772" s="15" t="s">
        <v>9</v>
      </c>
    </row>
    <row r="458773" spans="1:1" x14ac:dyDescent="0.25">
      <c r="A458773" s="15" t="s">
        <v>10</v>
      </c>
    </row>
    <row r="458774" spans="1:1" x14ac:dyDescent="0.25">
      <c r="A458774" s="15" t="s">
        <v>11</v>
      </c>
    </row>
    <row r="458775" spans="1:1" x14ac:dyDescent="0.25">
      <c r="A458775" s="15" t="s">
        <v>12</v>
      </c>
    </row>
    <row r="458776" spans="1:1" x14ac:dyDescent="0.25">
      <c r="A458776" s="15" t="s">
        <v>13</v>
      </c>
    </row>
    <row r="458777" spans="1:1" x14ac:dyDescent="0.25">
      <c r="A458777" s="15" t="s">
        <v>14</v>
      </c>
    </row>
    <row r="458778" spans="1:1" x14ac:dyDescent="0.25">
      <c r="A458778" s="13" t="s">
        <v>31</v>
      </c>
    </row>
    <row r="458779" spans="1:1" x14ac:dyDescent="0.25">
      <c r="A458779" s="13" t="s">
        <v>87</v>
      </c>
    </row>
    <row r="458780" spans="1:1" x14ac:dyDescent="0.25">
      <c r="A458780" s="15" t="s">
        <v>30</v>
      </c>
    </row>
    <row r="458781" spans="1:1" x14ac:dyDescent="0.25">
      <c r="A458781" s="15" t="s">
        <v>26</v>
      </c>
    </row>
    <row r="458782" spans="1:1" x14ac:dyDescent="0.25">
      <c r="A458782" s="15" t="s">
        <v>27</v>
      </c>
    </row>
    <row r="458783" spans="1:1" x14ac:dyDescent="0.25">
      <c r="A458783" s="15" t="s">
        <v>28</v>
      </c>
    </row>
    <row r="458784" spans="1:1" x14ac:dyDescent="0.25">
      <c r="A458784" s="15" t="s">
        <v>89</v>
      </c>
    </row>
    <row r="458785" spans="1:1" x14ac:dyDescent="0.25">
      <c r="A458785" s="15" t="s">
        <v>90</v>
      </c>
    </row>
    <row r="458786" spans="1:1" x14ac:dyDescent="0.25">
      <c r="A458786" s="15" t="s">
        <v>185</v>
      </c>
    </row>
    <row r="458787" spans="1:1" x14ac:dyDescent="0.25">
      <c r="A458787" s="15" t="s">
        <v>186</v>
      </c>
    </row>
    <row r="458788" spans="1:1" x14ac:dyDescent="0.25">
      <c r="A458788" s="15" t="s">
        <v>187</v>
      </c>
    </row>
    <row r="458789" spans="1:1" x14ac:dyDescent="0.25">
      <c r="A458789" s="15" t="s">
        <v>188</v>
      </c>
    </row>
    <row r="458790" spans="1:1" x14ac:dyDescent="0.25">
      <c r="A458790" s="15" t="s">
        <v>189</v>
      </c>
    </row>
    <row r="458791" spans="1:1" x14ac:dyDescent="0.25">
      <c r="A458791" s="15" t="s">
        <v>190</v>
      </c>
    </row>
    <row r="458792" spans="1:1" x14ac:dyDescent="0.25">
      <c r="A458792" s="15" t="s">
        <v>191</v>
      </c>
    </row>
    <row r="458793" spans="1:1" x14ac:dyDescent="0.25">
      <c r="A458793" s="14" t="s">
        <v>47</v>
      </c>
    </row>
    <row r="458794" spans="1:1" x14ac:dyDescent="0.25">
      <c r="A458794" s="14" t="s">
        <v>119</v>
      </c>
    </row>
    <row r="458795" spans="1:1" x14ac:dyDescent="0.25">
      <c r="A458795" s="14" t="s">
        <v>86</v>
      </c>
    </row>
    <row r="458796" spans="1:1" x14ac:dyDescent="0.25">
      <c r="A458796" s="13" t="s">
        <v>21</v>
      </c>
    </row>
    <row r="458797" spans="1:1" x14ac:dyDescent="0.25">
      <c r="A458797" s="14" t="s">
        <v>92</v>
      </c>
    </row>
    <row r="458798" spans="1:1" x14ac:dyDescent="0.25">
      <c r="A458798" s="14" t="s">
        <v>93</v>
      </c>
    </row>
    <row r="458799" spans="1:1" x14ac:dyDescent="0.25">
      <c r="A458799" s="14" t="s">
        <v>99</v>
      </c>
    </row>
    <row r="458800" spans="1:1" x14ac:dyDescent="0.25">
      <c r="A458800" s="14" t="s">
        <v>100</v>
      </c>
    </row>
    <row r="458801" spans="1:1" x14ac:dyDescent="0.25">
      <c r="A458801" s="13" t="s">
        <v>24</v>
      </c>
    </row>
    <row r="458802" spans="1:1" x14ac:dyDescent="0.25">
      <c r="A458802" s="13" t="s">
        <v>83</v>
      </c>
    </row>
    <row r="458803" spans="1:1" x14ac:dyDescent="0.25">
      <c r="A458803" s="13" t="s">
        <v>106</v>
      </c>
    </row>
    <row r="458804" spans="1:1" x14ac:dyDescent="0.25">
      <c r="A458804" s="13" t="s">
        <v>101</v>
      </c>
    </row>
    <row r="458805" spans="1:1" x14ac:dyDescent="0.25">
      <c r="A458805" s="13" t="s">
        <v>102</v>
      </c>
    </row>
    <row r="458806" spans="1:1" x14ac:dyDescent="0.25">
      <c r="A458806" s="13" t="s">
        <v>103</v>
      </c>
    </row>
    <row r="458807" spans="1:1" x14ac:dyDescent="0.25">
      <c r="A458807" s="13" t="s">
        <v>104</v>
      </c>
    </row>
    <row r="458808" spans="1:1" x14ac:dyDescent="0.25">
      <c r="A458808" s="13" t="s">
        <v>105</v>
      </c>
    </row>
    <row r="475138" spans="1:1" x14ac:dyDescent="0.25">
      <c r="A475138" s="13" t="s">
        <v>0</v>
      </c>
    </row>
    <row r="475139" spans="1:1" x14ac:dyDescent="0.25">
      <c r="A475139" s="13" t="s">
        <v>125</v>
      </c>
    </row>
    <row r="475140" spans="1:1" x14ac:dyDescent="0.25">
      <c r="A475140" s="13" t="s">
        <v>1</v>
      </c>
    </row>
    <row r="475141" spans="1:1" x14ac:dyDescent="0.25">
      <c r="A475141" s="13" t="s">
        <v>2</v>
      </c>
    </row>
    <row r="475142" spans="1:1" x14ac:dyDescent="0.25">
      <c r="A475142" s="14" t="s">
        <v>25</v>
      </c>
    </row>
    <row r="475143" spans="1:1" x14ac:dyDescent="0.25">
      <c r="A475143" s="13" t="s">
        <v>126</v>
      </c>
    </row>
    <row r="475144" spans="1:1" x14ac:dyDescent="0.25">
      <c r="A475144" s="13" t="s">
        <v>127</v>
      </c>
    </row>
    <row r="475145" spans="1:1" x14ac:dyDescent="0.25">
      <c r="A475145" s="13" t="s">
        <v>88</v>
      </c>
    </row>
    <row r="475146" spans="1:1" x14ac:dyDescent="0.25">
      <c r="A475146" s="13" t="s">
        <v>22</v>
      </c>
    </row>
    <row r="475147" spans="1:1" x14ac:dyDescent="0.25">
      <c r="A475147" s="13" t="s">
        <v>3</v>
      </c>
    </row>
    <row r="475148" spans="1:1" x14ac:dyDescent="0.25">
      <c r="A475148" s="15" t="s">
        <v>95</v>
      </c>
    </row>
    <row r="475149" spans="1:1" x14ac:dyDescent="0.25">
      <c r="A475149" s="15" t="s">
        <v>94</v>
      </c>
    </row>
    <row r="475150" spans="1:1" x14ac:dyDescent="0.25">
      <c r="A475150" s="15" t="s">
        <v>4</v>
      </c>
    </row>
    <row r="475151" spans="1:1" x14ac:dyDescent="0.25">
      <c r="A475151" s="15" t="s">
        <v>118</v>
      </c>
    </row>
    <row r="475152" spans="1:1" x14ac:dyDescent="0.25">
      <c r="A475152" s="15" t="s">
        <v>5</v>
      </c>
    </row>
    <row r="475153" spans="1:1" x14ac:dyDescent="0.25">
      <c r="A475153" s="15" t="s">
        <v>6</v>
      </c>
    </row>
    <row r="475154" spans="1:1" x14ac:dyDescent="0.25">
      <c r="A475154" s="15" t="s">
        <v>7</v>
      </c>
    </row>
    <row r="475155" spans="1:1" x14ac:dyDescent="0.25">
      <c r="A475155" s="15" t="s">
        <v>8</v>
      </c>
    </row>
    <row r="475156" spans="1:1" x14ac:dyDescent="0.25">
      <c r="A475156" s="15" t="s">
        <v>9</v>
      </c>
    </row>
    <row r="475157" spans="1:1" x14ac:dyDescent="0.25">
      <c r="A475157" s="15" t="s">
        <v>10</v>
      </c>
    </row>
    <row r="475158" spans="1:1" x14ac:dyDescent="0.25">
      <c r="A475158" s="15" t="s">
        <v>11</v>
      </c>
    </row>
    <row r="475159" spans="1:1" x14ac:dyDescent="0.25">
      <c r="A475159" s="15" t="s">
        <v>12</v>
      </c>
    </row>
    <row r="475160" spans="1:1" x14ac:dyDescent="0.25">
      <c r="A475160" s="15" t="s">
        <v>13</v>
      </c>
    </row>
    <row r="475161" spans="1:1" x14ac:dyDescent="0.25">
      <c r="A475161" s="15" t="s">
        <v>14</v>
      </c>
    </row>
    <row r="475162" spans="1:1" x14ac:dyDescent="0.25">
      <c r="A475162" s="13" t="s">
        <v>31</v>
      </c>
    </row>
    <row r="475163" spans="1:1" x14ac:dyDescent="0.25">
      <c r="A475163" s="13" t="s">
        <v>87</v>
      </c>
    </row>
    <row r="475164" spans="1:1" x14ac:dyDescent="0.25">
      <c r="A475164" s="15" t="s">
        <v>30</v>
      </c>
    </row>
    <row r="475165" spans="1:1" x14ac:dyDescent="0.25">
      <c r="A475165" s="15" t="s">
        <v>26</v>
      </c>
    </row>
    <row r="475166" spans="1:1" x14ac:dyDescent="0.25">
      <c r="A475166" s="15" t="s">
        <v>27</v>
      </c>
    </row>
    <row r="475167" spans="1:1" x14ac:dyDescent="0.25">
      <c r="A475167" s="15" t="s">
        <v>28</v>
      </c>
    </row>
    <row r="475168" spans="1:1" x14ac:dyDescent="0.25">
      <c r="A475168" s="15" t="s">
        <v>89</v>
      </c>
    </row>
    <row r="475169" spans="1:1" x14ac:dyDescent="0.25">
      <c r="A475169" s="15" t="s">
        <v>90</v>
      </c>
    </row>
    <row r="475170" spans="1:1" x14ac:dyDescent="0.25">
      <c r="A475170" s="15" t="s">
        <v>185</v>
      </c>
    </row>
    <row r="475171" spans="1:1" x14ac:dyDescent="0.25">
      <c r="A475171" s="15" t="s">
        <v>186</v>
      </c>
    </row>
    <row r="475172" spans="1:1" x14ac:dyDescent="0.25">
      <c r="A475172" s="15" t="s">
        <v>187</v>
      </c>
    </row>
    <row r="475173" spans="1:1" x14ac:dyDescent="0.25">
      <c r="A475173" s="15" t="s">
        <v>188</v>
      </c>
    </row>
    <row r="475174" spans="1:1" x14ac:dyDescent="0.25">
      <c r="A475174" s="15" t="s">
        <v>189</v>
      </c>
    </row>
    <row r="475175" spans="1:1" x14ac:dyDescent="0.25">
      <c r="A475175" s="15" t="s">
        <v>190</v>
      </c>
    </row>
    <row r="475176" spans="1:1" x14ac:dyDescent="0.25">
      <c r="A475176" s="15" t="s">
        <v>191</v>
      </c>
    </row>
    <row r="475177" spans="1:1" x14ac:dyDescent="0.25">
      <c r="A475177" s="14" t="s">
        <v>47</v>
      </c>
    </row>
    <row r="475178" spans="1:1" x14ac:dyDescent="0.25">
      <c r="A475178" s="14" t="s">
        <v>119</v>
      </c>
    </row>
    <row r="475179" spans="1:1" x14ac:dyDescent="0.25">
      <c r="A475179" s="14" t="s">
        <v>86</v>
      </c>
    </row>
    <row r="475180" spans="1:1" x14ac:dyDescent="0.25">
      <c r="A475180" s="13" t="s">
        <v>21</v>
      </c>
    </row>
    <row r="475181" spans="1:1" x14ac:dyDescent="0.25">
      <c r="A475181" s="14" t="s">
        <v>92</v>
      </c>
    </row>
    <row r="475182" spans="1:1" x14ac:dyDescent="0.25">
      <c r="A475182" s="14" t="s">
        <v>93</v>
      </c>
    </row>
    <row r="475183" spans="1:1" x14ac:dyDescent="0.25">
      <c r="A475183" s="14" t="s">
        <v>99</v>
      </c>
    </row>
    <row r="475184" spans="1:1" x14ac:dyDescent="0.25">
      <c r="A475184" s="14" t="s">
        <v>100</v>
      </c>
    </row>
    <row r="475185" spans="1:1" x14ac:dyDescent="0.25">
      <c r="A475185" s="13" t="s">
        <v>24</v>
      </c>
    </row>
    <row r="475186" spans="1:1" x14ac:dyDescent="0.25">
      <c r="A475186" s="13" t="s">
        <v>83</v>
      </c>
    </row>
    <row r="475187" spans="1:1" x14ac:dyDescent="0.25">
      <c r="A475187" s="13" t="s">
        <v>106</v>
      </c>
    </row>
    <row r="475188" spans="1:1" x14ac:dyDescent="0.25">
      <c r="A475188" s="13" t="s">
        <v>101</v>
      </c>
    </row>
    <row r="475189" spans="1:1" x14ac:dyDescent="0.25">
      <c r="A475189" s="13" t="s">
        <v>102</v>
      </c>
    </row>
    <row r="475190" spans="1:1" x14ac:dyDescent="0.25">
      <c r="A475190" s="13" t="s">
        <v>103</v>
      </c>
    </row>
    <row r="475191" spans="1:1" x14ac:dyDescent="0.25">
      <c r="A475191" s="13" t="s">
        <v>104</v>
      </c>
    </row>
    <row r="475192" spans="1:1" x14ac:dyDescent="0.25">
      <c r="A475192" s="13" t="s">
        <v>105</v>
      </c>
    </row>
    <row r="491522" spans="1:1" x14ac:dyDescent="0.25">
      <c r="A491522" s="13" t="s">
        <v>0</v>
      </c>
    </row>
    <row r="491523" spans="1:1" x14ac:dyDescent="0.25">
      <c r="A491523" s="13" t="s">
        <v>125</v>
      </c>
    </row>
    <row r="491524" spans="1:1" x14ac:dyDescent="0.25">
      <c r="A491524" s="13" t="s">
        <v>1</v>
      </c>
    </row>
    <row r="491525" spans="1:1" x14ac:dyDescent="0.25">
      <c r="A491525" s="13" t="s">
        <v>2</v>
      </c>
    </row>
    <row r="491526" spans="1:1" x14ac:dyDescent="0.25">
      <c r="A491526" s="14" t="s">
        <v>25</v>
      </c>
    </row>
    <row r="491527" spans="1:1" x14ac:dyDescent="0.25">
      <c r="A491527" s="13" t="s">
        <v>126</v>
      </c>
    </row>
    <row r="491528" spans="1:1" x14ac:dyDescent="0.25">
      <c r="A491528" s="13" t="s">
        <v>127</v>
      </c>
    </row>
    <row r="491529" spans="1:1" x14ac:dyDescent="0.25">
      <c r="A491529" s="13" t="s">
        <v>88</v>
      </c>
    </row>
    <row r="491530" spans="1:1" x14ac:dyDescent="0.25">
      <c r="A491530" s="13" t="s">
        <v>22</v>
      </c>
    </row>
    <row r="491531" spans="1:1" x14ac:dyDescent="0.25">
      <c r="A491531" s="13" t="s">
        <v>3</v>
      </c>
    </row>
    <row r="491532" spans="1:1" x14ac:dyDescent="0.25">
      <c r="A491532" s="15" t="s">
        <v>95</v>
      </c>
    </row>
    <row r="491533" spans="1:1" x14ac:dyDescent="0.25">
      <c r="A491533" s="15" t="s">
        <v>94</v>
      </c>
    </row>
    <row r="491534" spans="1:1" x14ac:dyDescent="0.25">
      <c r="A491534" s="15" t="s">
        <v>4</v>
      </c>
    </row>
    <row r="491535" spans="1:1" x14ac:dyDescent="0.25">
      <c r="A491535" s="15" t="s">
        <v>118</v>
      </c>
    </row>
    <row r="491536" spans="1:1" x14ac:dyDescent="0.25">
      <c r="A491536" s="15" t="s">
        <v>5</v>
      </c>
    </row>
    <row r="491537" spans="1:1" x14ac:dyDescent="0.25">
      <c r="A491537" s="15" t="s">
        <v>6</v>
      </c>
    </row>
    <row r="491538" spans="1:1" x14ac:dyDescent="0.25">
      <c r="A491538" s="15" t="s">
        <v>7</v>
      </c>
    </row>
    <row r="491539" spans="1:1" x14ac:dyDescent="0.25">
      <c r="A491539" s="15" t="s">
        <v>8</v>
      </c>
    </row>
    <row r="491540" spans="1:1" x14ac:dyDescent="0.25">
      <c r="A491540" s="15" t="s">
        <v>9</v>
      </c>
    </row>
    <row r="491541" spans="1:1" x14ac:dyDescent="0.25">
      <c r="A491541" s="15" t="s">
        <v>10</v>
      </c>
    </row>
    <row r="491542" spans="1:1" x14ac:dyDescent="0.25">
      <c r="A491542" s="15" t="s">
        <v>11</v>
      </c>
    </row>
    <row r="491543" spans="1:1" x14ac:dyDescent="0.25">
      <c r="A491543" s="15" t="s">
        <v>12</v>
      </c>
    </row>
    <row r="491544" spans="1:1" x14ac:dyDescent="0.25">
      <c r="A491544" s="15" t="s">
        <v>13</v>
      </c>
    </row>
    <row r="491545" spans="1:1" x14ac:dyDescent="0.25">
      <c r="A491545" s="15" t="s">
        <v>14</v>
      </c>
    </row>
    <row r="491546" spans="1:1" x14ac:dyDescent="0.25">
      <c r="A491546" s="13" t="s">
        <v>31</v>
      </c>
    </row>
    <row r="491547" spans="1:1" x14ac:dyDescent="0.25">
      <c r="A491547" s="13" t="s">
        <v>87</v>
      </c>
    </row>
    <row r="491548" spans="1:1" x14ac:dyDescent="0.25">
      <c r="A491548" s="15" t="s">
        <v>30</v>
      </c>
    </row>
    <row r="491549" spans="1:1" x14ac:dyDescent="0.25">
      <c r="A491549" s="15" t="s">
        <v>26</v>
      </c>
    </row>
    <row r="491550" spans="1:1" x14ac:dyDescent="0.25">
      <c r="A491550" s="15" t="s">
        <v>27</v>
      </c>
    </row>
    <row r="491551" spans="1:1" x14ac:dyDescent="0.25">
      <c r="A491551" s="15" t="s">
        <v>28</v>
      </c>
    </row>
    <row r="491552" spans="1:1" x14ac:dyDescent="0.25">
      <c r="A491552" s="15" t="s">
        <v>89</v>
      </c>
    </row>
    <row r="491553" spans="1:1" x14ac:dyDescent="0.25">
      <c r="A491553" s="15" t="s">
        <v>90</v>
      </c>
    </row>
    <row r="491554" spans="1:1" x14ac:dyDescent="0.25">
      <c r="A491554" s="15" t="s">
        <v>185</v>
      </c>
    </row>
    <row r="491555" spans="1:1" x14ac:dyDescent="0.25">
      <c r="A491555" s="15" t="s">
        <v>186</v>
      </c>
    </row>
    <row r="491556" spans="1:1" x14ac:dyDescent="0.25">
      <c r="A491556" s="15" t="s">
        <v>187</v>
      </c>
    </row>
    <row r="491557" spans="1:1" x14ac:dyDescent="0.25">
      <c r="A491557" s="15" t="s">
        <v>188</v>
      </c>
    </row>
    <row r="491558" spans="1:1" x14ac:dyDescent="0.25">
      <c r="A491558" s="15" t="s">
        <v>189</v>
      </c>
    </row>
    <row r="491559" spans="1:1" x14ac:dyDescent="0.25">
      <c r="A491559" s="15" t="s">
        <v>190</v>
      </c>
    </row>
    <row r="491560" spans="1:1" x14ac:dyDescent="0.25">
      <c r="A491560" s="15" t="s">
        <v>191</v>
      </c>
    </row>
    <row r="491561" spans="1:1" x14ac:dyDescent="0.25">
      <c r="A491561" s="14" t="s">
        <v>47</v>
      </c>
    </row>
    <row r="491562" spans="1:1" x14ac:dyDescent="0.25">
      <c r="A491562" s="14" t="s">
        <v>119</v>
      </c>
    </row>
    <row r="491563" spans="1:1" x14ac:dyDescent="0.25">
      <c r="A491563" s="14" t="s">
        <v>86</v>
      </c>
    </row>
    <row r="491564" spans="1:1" x14ac:dyDescent="0.25">
      <c r="A491564" s="13" t="s">
        <v>21</v>
      </c>
    </row>
    <row r="491565" spans="1:1" x14ac:dyDescent="0.25">
      <c r="A491565" s="14" t="s">
        <v>92</v>
      </c>
    </row>
    <row r="491566" spans="1:1" x14ac:dyDescent="0.25">
      <c r="A491566" s="14" t="s">
        <v>93</v>
      </c>
    </row>
    <row r="491567" spans="1:1" x14ac:dyDescent="0.25">
      <c r="A491567" s="14" t="s">
        <v>99</v>
      </c>
    </row>
    <row r="491568" spans="1:1" x14ac:dyDescent="0.25">
      <c r="A491568" s="14" t="s">
        <v>100</v>
      </c>
    </row>
    <row r="491569" spans="1:1" x14ac:dyDescent="0.25">
      <c r="A491569" s="13" t="s">
        <v>24</v>
      </c>
    </row>
    <row r="491570" spans="1:1" x14ac:dyDescent="0.25">
      <c r="A491570" s="13" t="s">
        <v>83</v>
      </c>
    </row>
    <row r="491571" spans="1:1" x14ac:dyDescent="0.25">
      <c r="A491571" s="13" t="s">
        <v>106</v>
      </c>
    </row>
    <row r="491572" spans="1:1" x14ac:dyDescent="0.25">
      <c r="A491572" s="13" t="s">
        <v>101</v>
      </c>
    </row>
    <row r="491573" spans="1:1" x14ac:dyDescent="0.25">
      <c r="A491573" s="13" t="s">
        <v>102</v>
      </c>
    </row>
    <row r="491574" spans="1:1" x14ac:dyDescent="0.25">
      <c r="A491574" s="13" t="s">
        <v>103</v>
      </c>
    </row>
    <row r="491575" spans="1:1" x14ac:dyDescent="0.25">
      <c r="A491575" s="13" t="s">
        <v>104</v>
      </c>
    </row>
    <row r="491576" spans="1:1" x14ac:dyDescent="0.25">
      <c r="A491576" s="13" t="s">
        <v>105</v>
      </c>
    </row>
    <row r="507906" spans="1:1" x14ac:dyDescent="0.25">
      <c r="A507906" s="13" t="s">
        <v>0</v>
      </c>
    </row>
    <row r="507907" spans="1:1" x14ac:dyDescent="0.25">
      <c r="A507907" s="13" t="s">
        <v>125</v>
      </c>
    </row>
    <row r="507908" spans="1:1" x14ac:dyDescent="0.25">
      <c r="A507908" s="13" t="s">
        <v>1</v>
      </c>
    </row>
    <row r="507909" spans="1:1" x14ac:dyDescent="0.25">
      <c r="A507909" s="13" t="s">
        <v>2</v>
      </c>
    </row>
    <row r="507910" spans="1:1" x14ac:dyDescent="0.25">
      <c r="A507910" s="14" t="s">
        <v>25</v>
      </c>
    </row>
    <row r="507911" spans="1:1" x14ac:dyDescent="0.25">
      <c r="A507911" s="13" t="s">
        <v>126</v>
      </c>
    </row>
    <row r="507912" spans="1:1" x14ac:dyDescent="0.25">
      <c r="A507912" s="13" t="s">
        <v>127</v>
      </c>
    </row>
    <row r="507913" spans="1:1" x14ac:dyDescent="0.25">
      <c r="A507913" s="13" t="s">
        <v>88</v>
      </c>
    </row>
    <row r="507914" spans="1:1" x14ac:dyDescent="0.25">
      <c r="A507914" s="13" t="s">
        <v>22</v>
      </c>
    </row>
    <row r="507915" spans="1:1" x14ac:dyDescent="0.25">
      <c r="A507915" s="13" t="s">
        <v>3</v>
      </c>
    </row>
    <row r="507916" spans="1:1" x14ac:dyDescent="0.25">
      <c r="A507916" s="15" t="s">
        <v>95</v>
      </c>
    </row>
    <row r="507917" spans="1:1" x14ac:dyDescent="0.25">
      <c r="A507917" s="15" t="s">
        <v>94</v>
      </c>
    </row>
    <row r="507918" spans="1:1" x14ac:dyDescent="0.25">
      <c r="A507918" s="15" t="s">
        <v>4</v>
      </c>
    </row>
    <row r="507919" spans="1:1" x14ac:dyDescent="0.25">
      <c r="A507919" s="15" t="s">
        <v>118</v>
      </c>
    </row>
    <row r="507920" spans="1:1" x14ac:dyDescent="0.25">
      <c r="A507920" s="15" t="s">
        <v>5</v>
      </c>
    </row>
    <row r="507921" spans="1:1" x14ac:dyDescent="0.25">
      <c r="A507921" s="15" t="s">
        <v>6</v>
      </c>
    </row>
    <row r="507922" spans="1:1" x14ac:dyDescent="0.25">
      <c r="A507922" s="15" t="s">
        <v>7</v>
      </c>
    </row>
    <row r="507923" spans="1:1" x14ac:dyDescent="0.25">
      <c r="A507923" s="15" t="s">
        <v>8</v>
      </c>
    </row>
    <row r="507924" spans="1:1" x14ac:dyDescent="0.25">
      <c r="A507924" s="15" t="s">
        <v>9</v>
      </c>
    </row>
    <row r="507925" spans="1:1" x14ac:dyDescent="0.25">
      <c r="A507925" s="15" t="s">
        <v>10</v>
      </c>
    </row>
    <row r="507926" spans="1:1" x14ac:dyDescent="0.25">
      <c r="A507926" s="15" t="s">
        <v>11</v>
      </c>
    </row>
    <row r="507927" spans="1:1" x14ac:dyDescent="0.25">
      <c r="A507927" s="15" t="s">
        <v>12</v>
      </c>
    </row>
    <row r="507928" spans="1:1" x14ac:dyDescent="0.25">
      <c r="A507928" s="15" t="s">
        <v>13</v>
      </c>
    </row>
    <row r="507929" spans="1:1" x14ac:dyDescent="0.25">
      <c r="A507929" s="15" t="s">
        <v>14</v>
      </c>
    </row>
    <row r="507930" spans="1:1" x14ac:dyDescent="0.25">
      <c r="A507930" s="13" t="s">
        <v>31</v>
      </c>
    </row>
    <row r="507931" spans="1:1" x14ac:dyDescent="0.25">
      <c r="A507931" s="13" t="s">
        <v>87</v>
      </c>
    </row>
    <row r="507932" spans="1:1" x14ac:dyDescent="0.25">
      <c r="A507932" s="15" t="s">
        <v>30</v>
      </c>
    </row>
    <row r="507933" spans="1:1" x14ac:dyDescent="0.25">
      <c r="A507933" s="15" t="s">
        <v>26</v>
      </c>
    </row>
    <row r="507934" spans="1:1" x14ac:dyDescent="0.25">
      <c r="A507934" s="15" t="s">
        <v>27</v>
      </c>
    </row>
    <row r="507935" spans="1:1" x14ac:dyDescent="0.25">
      <c r="A507935" s="15" t="s">
        <v>28</v>
      </c>
    </row>
    <row r="507936" spans="1:1" x14ac:dyDescent="0.25">
      <c r="A507936" s="15" t="s">
        <v>89</v>
      </c>
    </row>
    <row r="507937" spans="1:1" x14ac:dyDescent="0.25">
      <c r="A507937" s="15" t="s">
        <v>90</v>
      </c>
    </row>
    <row r="507938" spans="1:1" x14ac:dyDescent="0.25">
      <c r="A507938" s="15" t="s">
        <v>185</v>
      </c>
    </row>
    <row r="507939" spans="1:1" x14ac:dyDescent="0.25">
      <c r="A507939" s="15" t="s">
        <v>186</v>
      </c>
    </row>
    <row r="507940" spans="1:1" x14ac:dyDescent="0.25">
      <c r="A507940" s="15" t="s">
        <v>187</v>
      </c>
    </row>
    <row r="507941" spans="1:1" x14ac:dyDescent="0.25">
      <c r="A507941" s="15" t="s">
        <v>188</v>
      </c>
    </row>
    <row r="507942" spans="1:1" x14ac:dyDescent="0.25">
      <c r="A507942" s="15" t="s">
        <v>189</v>
      </c>
    </row>
    <row r="507943" spans="1:1" x14ac:dyDescent="0.25">
      <c r="A507943" s="15" t="s">
        <v>190</v>
      </c>
    </row>
    <row r="507944" spans="1:1" x14ac:dyDescent="0.25">
      <c r="A507944" s="15" t="s">
        <v>191</v>
      </c>
    </row>
    <row r="507945" spans="1:1" x14ac:dyDescent="0.25">
      <c r="A507945" s="14" t="s">
        <v>47</v>
      </c>
    </row>
    <row r="507946" spans="1:1" x14ac:dyDescent="0.25">
      <c r="A507946" s="14" t="s">
        <v>119</v>
      </c>
    </row>
    <row r="507947" spans="1:1" x14ac:dyDescent="0.25">
      <c r="A507947" s="14" t="s">
        <v>86</v>
      </c>
    </row>
    <row r="507948" spans="1:1" x14ac:dyDescent="0.25">
      <c r="A507948" s="13" t="s">
        <v>21</v>
      </c>
    </row>
    <row r="507949" spans="1:1" x14ac:dyDescent="0.25">
      <c r="A507949" s="14" t="s">
        <v>92</v>
      </c>
    </row>
    <row r="507950" spans="1:1" x14ac:dyDescent="0.25">
      <c r="A507950" s="14" t="s">
        <v>93</v>
      </c>
    </row>
    <row r="507951" spans="1:1" x14ac:dyDescent="0.25">
      <c r="A507951" s="14" t="s">
        <v>99</v>
      </c>
    </row>
    <row r="507952" spans="1:1" x14ac:dyDescent="0.25">
      <c r="A507952" s="14" t="s">
        <v>100</v>
      </c>
    </row>
    <row r="507953" spans="1:1" x14ac:dyDescent="0.25">
      <c r="A507953" s="13" t="s">
        <v>24</v>
      </c>
    </row>
    <row r="507954" spans="1:1" x14ac:dyDescent="0.25">
      <c r="A507954" s="13" t="s">
        <v>83</v>
      </c>
    </row>
    <row r="507955" spans="1:1" x14ac:dyDescent="0.25">
      <c r="A507955" s="13" t="s">
        <v>106</v>
      </c>
    </row>
    <row r="507956" spans="1:1" x14ac:dyDescent="0.25">
      <c r="A507956" s="13" t="s">
        <v>101</v>
      </c>
    </row>
    <row r="507957" spans="1:1" x14ac:dyDescent="0.25">
      <c r="A507957" s="13" t="s">
        <v>102</v>
      </c>
    </row>
    <row r="507958" spans="1:1" x14ac:dyDescent="0.25">
      <c r="A507958" s="13" t="s">
        <v>103</v>
      </c>
    </row>
    <row r="507959" spans="1:1" x14ac:dyDescent="0.25">
      <c r="A507959" s="13" t="s">
        <v>104</v>
      </c>
    </row>
    <row r="507960" spans="1:1" x14ac:dyDescent="0.25">
      <c r="A507960" s="13" t="s">
        <v>105</v>
      </c>
    </row>
    <row r="524290" spans="1:1" x14ac:dyDescent="0.25">
      <c r="A524290" s="13" t="s">
        <v>0</v>
      </c>
    </row>
    <row r="524291" spans="1:1" x14ac:dyDescent="0.25">
      <c r="A524291" s="13" t="s">
        <v>125</v>
      </c>
    </row>
    <row r="524292" spans="1:1" x14ac:dyDescent="0.25">
      <c r="A524292" s="13" t="s">
        <v>1</v>
      </c>
    </row>
    <row r="524293" spans="1:1" x14ac:dyDescent="0.25">
      <c r="A524293" s="13" t="s">
        <v>2</v>
      </c>
    </row>
    <row r="524294" spans="1:1" x14ac:dyDescent="0.25">
      <c r="A524294" s="14" t="s">
        <v>25</v>
      </c>
    </row>
    <row r="524295" spans="1:1" x14ac:dyDescent="0.25">
      <c r="A524295" s="13" t="s">
        <v>126</v>
      </c>
    </row>
    <row r="524296" spans="1:1" x14ac:dyDescent="0.25">
      <c r="A524296" s="13" t="s">
        <v>127</v>
      </c>
    </row>
    <row r="524297" spans="1:1" x14ac:dyDescent="0.25">
      <c r="A524297" s="13" t="s">
        <v>88</v>
      </c>
    </row>
    <row r="524298" spans="1:1" x14ac:dyDescent="0.25">
      <c r="A524298" s="13" t="s">
        <v>22</v>
      </c>
    </row>
    <row r="524299" spans="1:1" x14ac:dyDescent="0.25">
      <c r="A524299" s="13" t="s">
        <v>3</v>
      </c>
    </row>
    <row r="524300" spans="1:1" x14ac:dyDescent="0.25">
      <c r="A524300" s="15" t="s">
        <v>95</v>
      </c>
    </row>
    <row r="524301" spans="1:1" x14ac:dyDescent="0.25">
      <c r="A524301" s="15" t="s">
        <v>94</v>
      </c>
    </row>
    <row r="524302" spans="1:1" x14ac:dyDescent="0.25">
      <c r="A524302" s="15" t="s">
        <v>4</v>
      </c>
    </row>
    <row r="524303" spans="1:1" x14ac:dyDescent="0.25">
      <c r="A524303" s="15" t="s">
        <v>118</v>
      </c>
    </row>
    <row r="524304" spans="1:1" x14ac:dyDescent="0.25">
      <c r="A524304" s="15" t="s">
        <v>5</v>
      </c>
    </row>
    <row r="524305" spans="1:1" x14ac:dyDescent="0.25">
      <c r="A524305" s="15" t="s">
        <v>6</v>
      </c>
    </row>
    <row r="524306" spans="1:1" x14ac:dyDescent="0.25">
      <c r="A524306" s="15" t="s">
        <v>7</v>
      </c>
    </row>
    <row r="524307" spans="1:1" x14ac:dyDescent="0.25">
      <c r="A524307" s="15" t="s">
        <v>8</v>
      </c>
    </row>
    <row r="524308" spans="1:1" x14ac:dyDescent="0.25">
      <c r="A524308" s="15" t="s">
        <v>9</v>
      </c>
    </row>
    <row r="524309" spans="1:1" x14ac:dyDescent="0.25">
      <c r="A524309" s="15" t="s">
        <v>10</v>
      </c>
    </row>
    <row r="524310" spans="1:1" x14ac:dyDescent="0.25">
      <c r="A524310" s="15" t="s">
        <v>11</v>
      </c>
    </row>
    <row r="524311" spans="1:1" x14ac:dyDescent="0.25">
      <c r="A524311" s="15" t="s">
        <v>12</v>
      </c>
    </row>
    <row r="524312" spans="1:1" x14ac:dyDescent="0.25">
      <c r="A524312" s="15" t="s">
        <v>13</v>
      </c>
    </row>
    <row r="524313" spans="1:1" x14ac:dyDescent="0.25">
      <c r="A524313" s="15" t="s">
        <v>14</v>
      </c>
    </row>
    <row r="524314" spans="1:1" x14ac:dyDescent="0.25">
      <c r="A524314" s="13" t="s">
        <v>31</v>
      </c>
    </row>
    <row r="524315" spans="1:1" x14ac:dyDescent="0.25">
      <c r="A524315" s="13" t="s">
        <v>87</v>
      </c>
    </row>
    <row r="524316" spans="1:1" x14ac:dyDescent="0.25">
      <c r="A524316" s="15" t="s">
        <v>30</v>
      </c>
    </row>
    <row r="524317" spans="1:1" x14ac:dyDescent="0.25">
      <c r="A524317" s="15" t="s">
        <v>26</v>
      </c>
    </row>
    <row r="524318" spans="1:1" x14ac:dyDescent="0.25">
      <c r="A524318" s="15" t="s">
        <v>27</v>
      </c>
    </row>
    <row r="524319" spans="1:1" x14ac:dyDescent="0.25">
      <c r="A524319" s="15" t="s">
        <v>28</v>
      </c>
    </row>
    <row r="524320" spans="1:1" x14ac:dyDescent="0.25">
      <c r="A524320" s="15" t="s">
        <v>89</v>
      </c>
    </row>
    <row r="524321" spans="1:1" x14ac:dyDescent="0.25">
      <c r="A524321" s="15" t="s">
        <v>90</v>
      </c>
    </row>
    <row r="524322" spans="1:1" x14ac:dyDescent="0.25">
      <c r="A524322" s="15" t="s">
        <v>185</v>
      </c>
    </row>
    <row r="524323" spans="1:1" x14ac:dyDescent="0.25">
      <c r="A524323" s="15" t="s">
        <v>186</v>
      </c>
    </row>
    <row r="524324" spans="1:1" x14ac:dyDescent="0.25">
      <c r="A524324" s="15" t="s">
        <v>187</v>
      </c>
    </row>
    <row r="524325" spans="1:1" x14ac:dyDescent="0.25">
      <c r="A524325" s="15" t="s">
        <v>188</v>
      </c>
    </row>
    <row r="524326" spans="1:1" x14ac:dyDescent="0.25">
      <c r="A524326" s="15" t="s">
        <v>189</v>
      </c>
    </row>
    <row r="524327" spans="1:1" x14ac:dyDescent="0.25">
      <c r="A524327" s="15" t="s">
        <v>190</v>
      </c>
    </row>
    <row r="524328" spans="1:1" x14ac:dyDescent="0.25">
      <c r="A524328" s="15" t="s">
        <v>191</v>
      </c>
    </row>
    <row r="524329" spans="1:1" x14ac:dyDescent="0.25">
      <c r="A524329" s="14" t="s">
        <v>47</v>
      </c>
    </row>
    <row r="524330" spans="1:1" x14ac:dyDescent="0.25">
      <c r="A524330" s="14" t="s">
        <v>119</v>
      </c>
    </row>
    <row r="524331" spans="1:1" x14ac:dyDescent="0.25">
      <c r="A524331" s="14" t="s">
        <v>86</v>
      </c>
    </row>
    <row r="524332" spans="1:1" x14ac:dyDescent="0.25">
      <c r="A524332" s="13" t="s">
        <v>21</v>
      </c>
    </row>
    <row r="524333" spans="1:1" x14ac:dyDescent="0.25">
      <c r="A524333" s="14" t="s">
        <v>92</v>
      </c>
    </row>
    <row r="524334" spans="1:1" x14ac:dyDescent="0.25">
      <c r="A524334" s="14" t="s">
        <v>93</v>
      </c>
    </row>
    <row r="524335" spans="1:1" x14ac:dyDescent="0.25">
      <c r="A524335" s="14" t="s">
        <v>99</v>
      </c>
    </row>
    <row r="524336" spans="1:1" x14ac:dyDescent="0.25">
      <c r="A524336" s="14" t="s">
        <v>100</v>
      </c>
    </row>
    <row r="524337" spans="1:1" x14ac:dyDescent="0.25">
      <c r="A524337" s="13" t="s">
        <v>24</v>
      </c>
    </row>
    <row r="524338" spans="1:1" x14ac:dyDescent="0.25">
      <c r="A524338" s="13" t="s">
        <v>83</v>
      </c>
    </row>
    <row r="524339" spans="1:1" x14ac:dyDescent="0.25">
      <c r="A524339" s="13" t="s">
        <v>106</v>
      </c>
    </row>
    <row r="524340" spans="1:1" x14ac:dyDescent="0.25">
      <c r="A524340" s="13" t="s">
        <v>101</v>
      </c>
    </row>
    <row r="524341" spans="1:1" x14ac:dyDescent="0.25">
      <c r="A524341" s="13" t="s">
        <v>102</v>
      </c>
    </row>
    <row r="524342" spans="1:1" x14ac:dyDescent="0.25">
      <c r="A524342" s="13" t="s">
        <v>103</v>
      </c>
    </row>
    <row r="524343" spans="1:1" x14ac:dyDescent="0.25">
      <c r="A524343" s="13" t="s">
        <v>104</v>
      </c>
    </row>
    <row r="524344" spans="1:1" x14ac:dyDescent="0.25">
      <c r="A524344" s="13" t="s">
        <v>105</v>
      </c>
    </row>
    <row r="540674" spans="1:1" x14ac:dyDescent="0.25">
      <c r="A540674" s="13" t="s">
        <v>0</v>
      </c>
    </row>
    <row r="540675" spans="1:1" x14ac:dyDescent="0.25">
      <c r="A540675" s="13" t="s">
        <v>125</v>
      </c>
    </row>
    <row r="540676" spans="1:1" x14ac:dyDescent="0.25">
      <c r="A540676" s="13" t="s">
        <v>1</v>
      </c>
    </row>
    <row r="540677" spans="1:1" x14ac:dyDescent="0.25">
      <c r="A540677" s="13" t="s">
        <v>2</v>
      </c>
    </row>
    <row r="540678" spans="1:1" x14ac:dyDescent="0.25">
      <c r="A540678" s="14" t="s">
        <v>25</v>
      </c>
    </row>
    <row r="540679" spans="1:1" x14ac:dyDescent="0.25">
      <c r="A540679" s="13" t="s">
        <v>126</v>
      </c>
    </row>
    <row r="540680" spans="1:1" x14ac:dyDescent="0.25">
      <c r="A540680" s="13" t="s">
        <v>127</v>
      </c>
    </row>
    <row r="540681" spans="1:1" x14ac:dyDescent="0.25">
      <c r="A540681" s="13" t="s">
        <v>88</v>
      </c>
    </row>
    <row r="540682" spans="1:1" x14ac:dyDescent="0.25">
      <c r="A540682" s="13" t="s">
        <v>22</v>
      </c>
    </row>
    <row r="540683" spans="1:1" x14ac:dyDescent="0.25">
      <c r="A540683" s="13" t="s">
        <v>3</v>
      </c>
    </row>
    <row r="540684" spans="1:1" x14ac:dyDescent="0.25">
      <c r="A540684" s="15" t="s">
        <v>95</v>
      </c>
    </row>
    <row r="540685" spans="1:1" x14ac:dyDescent="0.25">
      <c r="A540685" s="15" t="s">
        <v>94</v>
      </c>
    </row>
    <row r="540686" spans="1:1" x14ac:dyDescent="0.25">
      <c r="A540686" s="15" t="s">
        <v>4</v>
      </c>
    </row>
    <row r="540687" spans="1:1" x14ac:dyDescent="0.25">
      <c r="A540687" s="15" t="s">
        <v>118</v>
      </c>
    </row>
    <row r="540688" spans="1:1" x14ac:dyDescent="0.25">
      <c r="A540688" s="15" t="s">
        <v>5</v>
      </c>
    </row>
    <row r="540689" spans="1:1" x14ac:dyDescent="0.25">
      <c r="A540689" s="15" t="s">
        <v>6</v>
      </c>
    </row>
    <row r="540690" spans="1:1" x14ac:dyDescent="0.25">
      <c r="A540690" s="15" t="s">
        <v>7</v>
      </c>
    </row>
    <row r="540691" spans="1:1" x14ac:dyDescent="0.25">
      <c r="A540691" s="15" t="s">
        <v>8</v>
      </c>
    </row>
    <row r="540692" spans="1:1" x14ac:dyDescent="0.25">
      <c r="A540692" s="15" t="s">
        <v>9</v>
      </c>
    </row>
    <row r="540693" spans="1:1" x14ac:dyDescent="0.25">
      <c r="A540693" s="15" t="s">
        <v>10</v>
      </c>
    </row>
    <row r="540694" spans="1:1" x14ac:dyDescent="0.25">
      <c r="A540694" s="15" t="s">
        <v>11</v>
      </c>
    </row>
    <row r="540695" spans="1:1" x14ac:dyDescent="0.25">
      <c r="A540695" s="15" t="s">
        <v>12</v>
      </c>
    </row>
    <row r="540696" spans="1:1" x14ac:dyDescent="0.25">
      <c r="A540696" s="15" t="s">
        <v>13</v>
      </c>
    </row>
    <row r="540697" spans="1:1" x14ac:dyDescent="0.25">
      <c r="A540697" s="15" t="s">
        <v>14</v>
      </c>
    </row>
    <row r="540698" spans="1:1" x14ac:dyDescent="0.25">
      <c r="A540698" s="13" t="s">
        <v>31</v>
      </c>
    </row>
    <row r="540699" spans="1:1" x14ac:dyDescent="0.25">
      <c r="A540699" s="13" t="s">
        <v>87</v>
      </c>
    </row>
    <row r="540700" spans="1:1" x14ac:dyDescent="0.25">
      <c r="A540700" s="15" t="s">
        <v>30</v>
      </c>
    </row>
    <row r="540701" spans="1:1" x14ac:dyDescent="0.25">
      <c r="A540701" s="15" t="s">
        <v>26</v>
      </c>
    </row>
    <row r="540702" spans="1:1" x14ac:dyDescent="0.25">
      <c r="A540702" s="15" t="s">
        <v>27</v>
      </c>
    </row>
    <row r="540703" spans="1:1" x14ac:dyDescent="0.25">
      <c r="A540703" s="15" t="s">
        <v>28</v>
      </c>
    </row>
    <row r="540704" spans="1:1" x14ac:dyDescent="0.25">
      <c r="A540704" s="15" t="s">
        <v>89</v>
      </c>
    </row>
    <row r="540705" spans="1:1" x14ac:dyDescent="0.25">
      <c r="A540705" s="15" t="s">
        <v>90</v>
      </c>
    </row>
    <row r="540706" spans="1:1" x14ac:dyDescent="0.25">
      <c r="A540706" s="15" t="s">
        <v>185</v>
      </c>
    </row>
    <row r="540707" spans="1:1" x14ac:dyDescent="0.25">
      <c r="A540707" s="15" t="s">
        <v>186</v>
      </c>
    </row>
    <row r="540708" spans="1:1" x14ac:dyDescent="0.25">
      <c r="A540708" s="15" t="s">
        <v>187</v>
      </c>
    </row>
    <row r="540709" spans="1:1" x14ac:dyDescent="0.25">
      <c r="A540709" s="15" t="s">
        <v>188</v>
      </c>
    </row>
    <row r="540710" spans="1:1" x14ac:dyDescent="0.25">
      <c r="A540710" s="15" t="s">
        <v>189</v>
      </c>
    </row>
    <row r="540711" spans="1:1" x14ac:dyDescent="0.25">
      <c r="A540711" s="15" t="s">
        <v>190</v>
      </c>
    </row>
    <row r="540712" spans="1:1" x14ac:dyDescent="0.25">
      <c r="A540712" s="15" t="s">
        <v>191</v>
      </c>
    </row>
    <row r="540713" spans="1:1" x14ac:dyDescent="0.25">
      <c r="A540713" s="14" t="s">
        <v>47</v>
      </c>
    </row>
    <row r="540714" spans="1:1" x14ac:dyDescent="0.25">
      <c r="A540714" s="14" t="s">
        <v>119</v>
      </c>
    </row>
    <row r="540715" spans="1:1" x14ac:dyDescent="0.25">
      <c r="A540715" s="14" t="s">
        <v>86</v>
      </c>
    </row>
    <row r="540716" spans="1:1" x14ac:dyDescent="0.25">
      <c r="A540716" s="13" t="s">
        <v>21</v>
      </c>
    </row>
    <row r="540717" spans="1:1" x14ac:dyDescent="0.25">
      <c r="A540717" s="14" t="s">
        <v>92</v>
      </c>
    </row>
    <row r="540718" spans="1:1" x14ac:dyDescent="0.25">
      <c r="A540718" s="14" t="s">
        <v>93</v>
      </c>
    </row>
    <row r="540719" spans="1:1" x14ac:dyDescent="0.25">
      <c r="A540719" s="14" t="s">
        <v>99</v>
      </c>
    </row>
    <row r="540720" spans="1:1" x14ac:dyDescent="0.25">
      <c r="A540720" s="14" t="s">
        <v>100</v>
      </c>
    </row>
    <row r="540721" spans="1:1" x14ac:dyDescent="0.25">
      <c r="A540721" s="13" t="s">
        <v>24</v>
      </c>
    </row>
    <row r="540722" spans="1:1" x14ac:dyDescent="0.25">
      <c r="A540722" s="13" t="s">
        <v>83</v>
      </c>
    </row>
    <row r="540723" spans="1:1" x14ac:dyDescent="0.25">
      <c r="A540723" s="13" t="s">
        <v>106</v>
      </c>
    </row>
    <row r="540724" spans="1:1" x14ac:dyDescent="0.25">
      <c r="A540724" s="13" t="s">
        <v>101</v>
      </c>
    </row>
    <row r="540725" spans="1:1" x14ac:dyDescent="0.25">
      <c r="A540725" s="13" t="s">
        <v>102</v>
      </c>
    </row>
    <row r="540726" spans="1:1" x14ac:dyDescent="0.25">
      <c r="A540726" s="13" t="s">
        <v>103</v>
      </c>
    </row>
    <row r="540727" spans="1:1" x14ac:dyDescent="0.25">
      <c r="A540727" s="13" t="s">
        <v>104</v>
      </c>
    </row>
    <row r="540728" spans="1:1" x14ac:dyDescent="0.25">
      <c r="A540728" s="13" t="s">
        <v>105</v>
      </c>
    </row>
    <row r="557058" spans="1:1" x14ac:dyDescent="0.25">
      <c r="A557058" s="13" t="s">
        <v>0</v>
      </c>
    </row>
    <row r="557059" spans="1:1" x14ac:dyDescent="0.25">
      <c r="A557059" s="13" t="s">
        <v>125</v>
      </c>
    </row>
    <row r="557060" spans="1:1" x14ac:dyDescent="0.25">
      <c r="A557060" s="13" t="s">
        <v>1</v>
      </c>
    </row>
    <row r="557061" spans="1:1" x14ac:dyDescent="0.25">
      <c r="A557061" s="13" t="s">
        <v>2</v>
      </c>
    </row>
    <row r="557062" spans="1:1" x14ac:dyDescent="0.25">
      <c r="A557062" s="14" t="s">
        <v>25</v>
      </c>
    </row>
    <row r="557063" spans="1:1" x14ac:dyDescent="0.25">
      <c r="A557063" s="13" t="s">
        <v>126</v>
      </c>
    </row>
    <row r="557064" spans="1:1" x14ac:dyDescent="0.25">
      <c r="A557064" s="13" t="s">
        <v>127</v>
      </c>
    </row>
    <row r="557065" spans="1:1" x14ac:dyDescent="0.25">
      <c r="A557065" s="13" t="s">
        <v>88</v>
      </c>
    </row>
    <row r="557066" spans="1:1" x14ac:dyDescent="0.25">
      <c r="A557066" s="13" t="s">
        <v>22</v>
      </c>
    </row>
    <row r="557067" spans="1:1" x14ac:dyDescent="0.25">
      <c r="A557067" s="13" t="s">
        <v>3</v>
      </c>
    </row>
    <row r="557068" spans="1:1" x14ac:dyDescent="0.25">
      <c r="A557068" s="15" t="s">
        <v>95</v>
      </c>
    </row>
    <row r="557069" spans="1:1" x14ac:dyDescent="0.25">
      <c r="A557069" s="15" t="s">
        <v>94</v>
      </c>
    </row>
    <row r="557070" spans="1:1" x14ac:dyDescent="0.25">
      <c r="A557070" s="15" t="s">
        <v>4</v>
      </c>
    </row>
    <row r="557071" spans="1:1" x14ac:dyDescent="0.25">
      <c r="A557071" s="15" t="s">
        <v>118</v>
      </c>
    </row>
    <row r="557072" spans="1:1" x14ac:dyDescent="0.25">
      <c r="A557072" s="15" t="s">
        <v>5</v>
      </c>
    </row>
    <row r="557073" spans="1:1" x14ac:dyDescent="0.25">
      <c r="A557073" s="15" t="s">
        <v>6</v>
      </c>
    </row>
    <row r="557074" spans="1:1" x14ac:dyDescent="0.25">
      <c r="A557074" s="15" t="s">
        <v>7</v>
      </c>
    </row>
    <row r="557075" spans="1:1" x14ac:dyDescent="0.25">
      <c r="A557075" s="15" t="s">
        <v>8</v>
      </c>
    </row>
    <row r="557076" spans="1:1" x14ac:dyDescent="0.25">
      <c r="A557076" s="15" t="s">
        <v>9</v>
      </c>
    </row>
    <row r="557077" spans="1:1" x14ac:dyDescent="0.25">
      <c r="A557077" s="15" t="s">
        <v>10</v>
      </c>
    </row>
    <row r="557078" spans="1:1" x14ac:dyDescent="0.25">
      <c r="A557078" s="15" t="s">
        <v>11</v>
      </c>
    </row>
    <row r="557079" spans="1:1" x14ac:dyDescent="0.25">
      <c r="A557079" s="15" t="s">
        <v>12</v>
      </c>
    </row>
    <row r="557080" spans="1:1" x14ac:dyDescent="0.25">
      <c r="A557080" s="15" t="s">
        <v>13</v>
      </c>
    </row>
    <row r="557081" spans="1:1" x14ac:dyDescent="0.25">
      <c r="A557081" s="15" t="s">
        <v>14</v>
      </c>
    </row>
    <row r="557082" spans="1:1" x14ac:dyDescent="0.25">
      <c r="A557082" s="13" t="s">
        <v>31</v>
      </c>
    </row>
    <row r="557083" spans="1:1" x14ac:dyDescent="0.25">
      <c r="A557083" s="13" t="s">
        <v>87</v>
      </c>
    </row>
    <row r="557084" spans="1:1" x14ac:dyDescent="0.25">
      <c r="A557084" s="15" t="s">
        <v>30</v>
      </c>
    </row>
    <row r="557085" spans="1:1" x14ac:dyDescent="0.25">
      <c r="A557085" s="15" t="s">
        <v>26</v>
      </c>
    </row>
    <row r="557086" spans="1:1" x14ac:dyDescent="0.25">
      <c r="A557086" s="15" t="s">
        <v>27</v>
      </c>
    </row>
    <row r="557087" spans="1:1" x14ac:dyDescent="0.25">
      <c r="A557087" s="15" t="s">
        <v>28</v>
      </c>
    </row>
    <row r="557088" spans="1:1" x14ac:dyDescent="0.25">
      <c r="A557088" s="15" t="s">
        <v>89</v>
      </c>
    </row>
    <row r="557089" spans="1:1" x14ac:dyDescent="0.25">
      <c r="A557089" s="15" t="s">
        <v>90</v>
      </c>
    </row>
    <row r="557090" spans="1:1" x14ac:dyDescent="0.25">
      <c r="A557090" s="15" t="s">
        <v>185</v>
      </c>
    </row>
    <row r="557091" spans="1:1" x14ac:dyDescent="0.25">
      <c r="A557091" s="15" t="s">
        <v>186</v>
      </c>
    </row>
    <row r="557092" spans="1:1" x14ac:dyDescent="0.25">
      <c r="A557092" s="15" t="s">
        <v>187</v>
      </c>
    </row>
    <row r="557093" spans="1:1" x14ac:dyDescent="0.25">
      <c r="A557093" s="15" t="s">
        <v>188</v>
      </c>
    </row>
    <row r="557094" spans="1:1" x14ac:dyDescent="0.25">
      <c r="A557094" s="15" t="s">
        <v>189</v>
      </c>
    </row>
    <row r="557095" spans="1:1" x14ac:dyDescent="0.25">
      <c r="A557095" s="15" t="s">
        <v>190</v>
      </c>
    </row>
    <row r="557096" spans="1:1" x14ac:dyDescent="0.25">
      <c r="A557096" s="15" t="s">
        <v>191</v>
      </c>
    </row>
    <row r="557097" spans="1:1" x14ac:dyDescent="0.25">
      <c r="A557097" s="14" t="s">
        <v>47</v>
      </c>
    </row>
    <row r="557098" spans="1:1" x14ac:dyDescent="0.25">
      <c r="A557098" s="14" t="s">
        <v>119</v>
      </c>
    </row>
    <row r="557099" spans="1:1" x14ac:dyDescent="0.25">
      <c r="A557099" s="14" t="s">
        <v>86</v>
      </c>
    </row>
    <row r="557100" spans="1:1" x14ac:dyDescent="0.25">
      <c r="A557100" s="13" t="s">
        <v>21</v>
      </c>
    </row>
    <row r="557101" spans="1:1" x14ac:dyDescent="0.25">
      <c r="A557101" s="14" t="s">
        <v>92</v>
      </c>
    </row>
    <row r="557102" spans="1:1" x14ac:dyDescent="0.25">
      <c r="A557102" s="14" t="s">
        <v>93</v>
      </c>
    </row>
    <row r="557103" spans="1:1" x14ac:dyDescent="0.25">
      <c r="A557103" s="14" t="s">
        <v>99</v>
      </c>
    </row>
    <row r="557104" spans="1:1" x14ac:dyDescent="0.25">
      <c r="A557104" s="14" t="s">
        <v>100</v>
      </c>
    </row>
    <row r="557105" spans="1:1" x14ac:dyDescent="0.25">
      <c r="A557105" s="13" t="s">
        <v>24</v>
      </c>
    </row>
    <row r="557106" spans="1:1" x14ac:dyDescent="0.25">
      <c r="A557106" s="13" t="s">
        <v>83</v>
      </c>
    </row>
    <row r="557107" spans="1:1" x14ac:dyDescent="0.25">
      <c r="A557107" s="13" t="s">
        <v>106</v>
      </c>
    </row>
    <row r="557108" spans="1:1" x14ac:dyDescent="0.25">
      <c r="A557108" s="13" t="s">
        <v>101</v>
      </c>
    </row>
    <row r="557109" spans="1:1" x14ac:dyDescent="0.25">
      <c r="A557109" s="13" t="s">
        <v>102</v>
      </c>
    </row>
    <row r="557110" spans="1:1" x14ac:dyDescent="0.25">
      <c r="A557110" s="13" t="s">
        <v>103</v>
      </c>
    </row>
    <row r="557111" spans="1:1" x14ac:dyDescent="0.25">
      <c r="A557111" s="13" t="s">
        <v>104</v>
      </c>
    </row>
    <row r="557112" spans="1:1" x14ac:dyDescent="0.25">
      <c r="A557112" s="13" t="s">
        <v>105</v>
      </c>
    </row>
    <row r="573442" spans="1:1" x14ac:dyDescent="0.25">
      <c r="A573442" s="13" t="s">
        <v>0</v>
      </c>
    </row>
    <row r="573443" spans="1:1" x14ac:dyDescent="0.25">
      <c r="A573443" s="13" t="s">
        <v>125</v>
      </c>
    </row>
    <row r="573444" spans="1:1" x14ac:dyDescent="0.25">
      <c r="A573444" s="13" t="s">
        <v>1</v>
      </c>
    </row>
    <row r="573445" spans="1:1" x14ac:dyDescent="0.25">
      <c r="A573445" s="13" t="s">
        <v>2</v>
      </c>
    </row>
    <row r="573446" spans="1:1" x14ac:dyDescent="0.25">
      <c r="A573446" s="14" t="s">
        <v>25</v>
      </c>
    </row>
    <row r="573447" spans="1:1" x14ac:dyDescent="0.25">
      <c r="A573447" s="13" t="s">
        <v>126</v>
      </c>
    </row>
    <row r="573448" spans="1:1" x14ac:dyDescent="0.25">
      <c r="A573448" s="13" t="s">
        <v>127</v>
      </c>
    </row>
    <row r="573449" spans="1:1" x14ac:dyDescent="0.25">
      <c r="A573449" s="13" t="s">
        <v>88</v>
      </c>
    </row>
    <row r="573450" spans="1:1" x14ac:dyDescent="0.25">
      <c r="A573450" s="13" t="s">
        <v>22</v>
      </c>
    </row>
    <row r="573451" spans="1:1" x14ac:dyDescent="0.25">
      <c r="A573451" s="13" t="s">
        <v>3</v>
      </c>
    </row>
    <row r="573452" spans="1:1" x14ac:dyDescent="0.25">
      <c r="A573452" s="15" t="s">
        <v>95</v>
      </c>
    </row>
    <row r="573453" spans="1:1" x14ac:dyDescent="0.25">
      <c r="A573453" s="15" t="s">
        <v>94</v>
      </c>
    </row>
    <row r="573454" spans="1:1" x14ac:dyDescent="0.25">
      <c r="A573454" s="15" t="s">
        <v>4</v>
      </c>
    </row>
    <row r="573455" spans="1:1" x14ac:dyDescent="0.25">
      <c r="A573455" s="15" t="s">
        <v>118</v>
      </c>
    </row>
    <row r="573456" spans="1:1" x14ac:dyDescent="0.25">
      <c r="A573456" s="15" t="s">
        <v>5</v>
      </c>
    </row>
    <row r="573457" spans="1:1" x14ac:dyDescent="0.25">
      <c r="A573457" s="15" t="s">
        <v>6</v>
      </c>
    </row>
    <row r="573458" spans="1:1" x14ac:dyDescent="0.25">
      <c r="A573458" s="15" t="s">
        <v>7</v>
      </c>
    </row>
    <row r="573459" spans="1:1" x14ac:dyDescent="0.25">
      <c r="A573459" s="15" t="s">
        <v>8</v>
      </c>
    </row>
    <row r="573460" spans="1:1" x14ac:dyDescent="0.25">
      <c r="A573460" s="15" t="s">
        <v>9</v>
      </c>
    </row>
    <row r="573461" spans="1:1" x14ac:dyDescent="0.25">
      <c r="A573461" s="15" t="s">
        <v>10</v>
      </c>
    </row>
    <row r="573462" spans="1:1" x14ac:dyDescent="0.25">
      <c r="A573462" s="15" t="s">
        <v>11</v>
      </c>
    </row>
    <row r="573463" spans="1:1" x14ac:dyDescent="0.25">
      <c r="A573463" s="15" t="s">
        <v>12</v>
      </c>
    </row>
    <row r="573464" spans="1:1" x14ac:dyDescent="0.25">
      <c r="A573464" s="15" t="s">
        <v>13</v>
      </c>
    </row>
    <row r="573465" spans="1:1" x14ac:dyDescent="0.25">
      <c r="A573465" s="15" t="s">
        <v>14</v>
      </c>
    </row>
    <row r="573466" spans="1:1" x14ac:dyDescent="0.25">
      <c r="A573466" s="13" t="s">
        <v>31</v>
      </c>
    </row>
    <row r="573467" spans="1:1" x14ac:dyDescent="0.25">
      <c r="A573467" s="13" t="s">
        <v>87</v>
      </c>
    </row>
    <row r="573468" spans="1:1" x14ac:dyDescent="0.25">
      <c r="A573468" s="15" t="s">
        <v>30</v>
      </c>
    </row>
    <row r="573469" spans="1:1" x14ac:dyDescent="0.25">
      <c r="A573469" s="15" t="s">
        <v>26</v>
      </c>
    </row>
    <row r="573470" spans="1:1" x14ac:dyDescent="0.25">
      <c r="A573470" s="15" t="s">
        <v>27</v>
      </c>
    </row>
    <row r="573471" spans="1:1" x14ac:dyDescent="0.25">
      <c r="A573471" s="15" t="s">
        <v>28</v>
      </c>
    </row>
    <row r="573472" spans="1:1" x14ac:dyDescent="0.25">
      <c r="A573472" s="15" t="s">
        <v>89</v>
      </c>
    </row>
    <row r="573473" spans="1:1" x14ac:dyDescent="0.25">
      <c r="A573473" s="15" t="s">
        <v>90</v>
      </c>
    </row>
    <row r="573474" spans="1:1" x14ac:dyDescent="0.25">
      <c r="A573474" s="15" t="s">
        <v>185</v>
      </c>
    </row>
    <row r="573475" spans="1:1" x14ac:dyDescent="0.25">
      <c r="A573475" s="15" t="s">
        <v>186</v>
      </c>
    </row>
    <row r="573476" spans="1:1" x14ac:dyDescent="0.25">
      <c r="A573476" s="15" t="s">
        <v>187</v>
      </c>
    </row>
    <row r="573477" spans="1:1" x14ac:dyDescent="0.25">
      <c r="A573477" s="15" t="s">
        <v>188</v>
      </c>
    </row>
    <row r="573478" spans="1:1" x14ac:dyDescent="0.25">
      <c r="A573478" s="15" t="s">
        <v>189</v>
      </c>
    </row>
    <row r="573479" spans="1:1" x14ac:dyDescent="0.25">
      <c r="A573479" s="15" t="s">
        <v>190</v>
      </c>
    </row>
    <row r="573480" spans="1:1" x14ac:dyDescent="0.25">
      <c r="A573480" s="15" t="s">
        <v>191</v>
      </c>
    </row>
    <row r="573481" spans="1:1" x14ac:dyDescent="0.25">
      <c r="A573481" s="14" t="s">
        <v>47</v>
      </c>
    </row>
    <row r="573482" spans="1:1" x14ac:dyDescent="0.25">
      <c r="A573482" s="14" t="s">
        <v>119</v>
      </c>
    </row>
    <row r="573483" spans="1:1" x14ac:dyDescent="0.25">
      <c r="A573483" s="14" t="s">
        <v>86</v>
      </c>
    </row>
    <row r="573484" spans="1:1" x14ac:dyDescent="0.25">
      <c r="A573484" s="13" t="s">
        <v>21</v>
      </c>
    </row>
    <row r="573485" spans="1:1" x14ac:dyDescent="0.25">
      <c r="A573485" s="14" t="s">
        <v>92</v>
      </c>
    </row>
    <row r="573486" spans="1:1" x14ac:dyDescent="0.25">
      <c r="A573486" s="14" t="s">
        <v>93</v>
      </c>
    </row>
    <row r="573487" spans="1:1" x14ac:dyDescent="0.25">
      <c r="A573487" s="14" t="s">
        <v>99</v>
      </c>
    </row>
    <row r="573488" spans="1:1" x14ac:dyDescent="0.25">
      <c r="A573488" s="14" t="s">
        <v>100</v>
      </c>
    </row>
    <row r="573489" spans="1:1" x14ac:dyDescent="0.25">
      <c r="A573489" s="13" t="s">
        <v>24</v>
      </c>
    </row>
    <row r="573490" spans="1:1" x14ac:dyDescent="0.25">
      <c r="A573490" s="13" t="s">
        <v>83</v>
      </c>
    </row>
    <row r="573491" spans="1:1" x14ac:dyDescent="0.25">
      <c r="A573491" s="13" t="s">
        <v>106</v>
      </c>
    </row>
    <row r="573492" spans="1:1" x14ac:dyDescent="0.25">
      <c r="A573492" s="13" t="s">
        <v>101</v>
      </c>
    </row>
    <row r="573493" spans="1:1" x14ac:dyDescent="0.25">
      <c r="A573493" s="13" t="s">
        <v>102</v>
      </c>
    </row>
    <row r="573494" spans="1:1" x14ac:dyDescent="0.25">
      <c r="A573494" s="13" t="s">
        <v>103</v>
      </c>
    </row>
    <row r="573495" spans="1:1" x14ac:dyDescent="0.25">
      <c r="A573495" s="13" t="s">
        <v>104</v>
      </c>
    </row>
    <row r="573496" spans="1:1" x14ac:dyDescent="0.25">
      <c r="A573496" s="13" t="s">
        <v>105</v>
      </c>
    </row>
    <row r="589826" spans="1:1" x14ac:dyDescent="0.25">
      <c r="A589826" s="13" t="s">
        <v>0</v>
      </c>
    </row>
    <row r="589827" spans="1:1" x14ac:dyDescent="0.25">
      <c r="A589827" s="13" t="s">
        <v>125</v>
      </c>
    </row>
    <row r="589828" spans="1:1" x14ac:dyDescent="0.25">
      <c r="A589828" s="13" t="s">
        <v>1</v>
      </c>
    </row>
    <row r="589829" spans="1:1" x14ac:dyDescent="0.25">
      <c r="A589829" s="13" t="s">
        <v>2</v>
      </c>
    </row>
    <row r="589830" spans="1:1" x14ac:dyDescent="0.25">
      <c r="A589830" s="14" t="s">
        <v>25</v>
      </c>
    </row>
    <row r="589831" spans="1:1" x14ac:dyDescent="0.25">
      <c r="A589831" s="13" t="s">
        <v>126</v>
      </c>
    </row>
    <row r="589832" spans="1:1" x14ac:dyDescent="0.25">
      <c r="A589832" s="13" t="s">
        <v>127</v>
      </c>
    </row>
    <row r="589833" spans="1:1" x14ac:dyDescent="0.25">
      <c r="A589833" s="13" t="s">
        <v>88</v>
      </c>
    </row>
    <row r="589834" spans="1:1" x14ac:dyDescent="0.25">
      <c r="A589834" s="13" t="s">
        <v>22</v>
      </c>
    </row>
    <row r="589835" spans="1:1" x14ac:dyDescent="0.25">
      <c r="A589835" s="13" t="s">
        <v>3</v>
      </c>
    </row>
    <row r="589836" spans="1:1" x14ac:dyDescent="0.25">
      <c r="A589836" s="15" t="s">
        <v>95</v>
      </c>
    </row>
    <row r="589837" spans="1:1" x14ac:dyDescent="0.25">
      <c r="A589837" s="15" t="s">
        <v>94</v>
      </c>
    </row>
    <row r="589838" spans="1:1" x14ac:dyDescent="0.25">
      <c r="A589838" s="15" t="s">
        <v>4</v>
      </c>
    </row>
    <row r="589839" spans="1:1" x14ac:dyDescent="0.25">
      <c r="A589839" s="15" t="s">
        <v>118</v>
      </c>
    </row>
    <row r="589840" spans="1:1" x14ac:dyDescent="0.25">
      <c r="A589840" s="15" t="s">
        <v>5</v>
      </c>
    </row>
    <row r="589841" spans="1:1" x14ac:dyDescent="0.25">
      <c r="A589841" s="15" t="s">
        <v>6</v>
      </c>
    </row>
    <row r="589842" spans="1:1" x14ac:dyDescent="0.25">
      <c r="A589842" s="15" t="s">
        <v>7</v>
      </c>
    </row>
    <row r="589843" spans="1:1" x14ac:dyDescent="0.25">
      <c r="A589843" s="15" t="s">
        <v>8</v>
      </c>
    </row>
    <row r="589844" spans="1:1" x14ac:dyDescent="0.25">
      <c r="A589844" s="15" t="s">
        <v>9</v>
      </c>
    </row>
    <row r="589845" spans="1:1" x14ac:dyDescent="0.25">
      <c r="A589845" s="15" t="s">
        <v>10</v>
      </c>
    </row>
    <row r="589846" spans="1:1" x14ac:dyDescent="0.25">
      <c r="A589846" s="15" t="s">
        <v>11</v>
      </c>
    </row>
    <row r="589847" spans="1:1" x14ac:dyDescent="0.25">
      <c r="A589847" s="15" t="s">
        <v>12</v>
      </c>
    </row>
    <row r="589848" spans="1:1" x14ac:dyDescent="0.25">
      <c r="A589848" s="15" t="s">
        <v>13</v>
      </c>
    </row>
    <row r="589849" spans="1:1" x14ac:dyDescent="0.25">
      <c r="A589849" s="15" t="s">
        <v>14</v>
      </c>
    </row>
    <row r="589850" spans="1:1" x14ac:dyDescent="0.25">
      <c r="A589850" s="13" t="s">
        <v>31</v>
      </c>
    </row>
    <row r="589851" spans="1:1" x14ac:dyDescent="0.25">
      <c r="A589851" s="13" t="s">
        <v>87</v>
      </c>
    </row>
    <row r="589852" spans="1:1" x14ac:dyDescent="0.25">
      <c r="A589852" s="15" t="s">
        <v>30</v>
      </c>
    </row>
    <row r="589853" spans="1:1" x14ac:dyDescent="0.25">
      <c r="A589853" s="15" t="s">
        <v>26</v>
      </c>
    </row>
    <row r="589854" spans="1:1" x14ac:dyDescent="0.25">
      <c r="A589854" s="15" t="s">
        <v>27</v>
      </c>
    </row>
    <row r="589855" spans="1:1" x14ac:dyDescent="0.25">
      <c r="A589855" s="15" t="s">
        <v>28</v>
      </c>
    </row>
    <row r="589856" spans="1:1" x14ac:dyDescent="0.25">
      <c r="A589856" s="15" t="s">
        <v>89</v>
      </c>
    </row>
    <row r="589857" spans="1:1" x14ac:dyDescent="0.25">
      <c r="A589857" s="15" t="s">
        <v>90</v>
      </c>
    </row>
    <row r="589858" spans="1:1" x14ac:dyDescent="0.25">
      <c r="A589858" s="15" t="s">
        <v>185</v>
      </c>
    </row>
    <row r="589859" spans="1:1" x14ac:dyDescent="0.25">
      <c r="A589859" s="15" t="s">
        <v>186</v>
      </c>
    </row>
    <row r="589860" spans="1:1" x14ac:dyDescent="0.25">
      <c r="A589860" s="15" t="s">
        <v>187</v>
      </c>
    </row>
    <row r="589861" spans="1:1" x14ac:dyDescent="0.25">
      <c r="A589861" s="15" t="s">
        <v>188</v>
      </c>
    </row>
    <row r="589862" spans="1:1" x14ac:dyDescent="0.25">
      <c r="A589862" s="15" t="s">
        <v>189</v>
      </c>
    </row>
    <row r="589863" spans="1:1" x14ac:dyDescent="0.25">
      <c r="A589863" s="15" t="s">
        <v>190</v>
      </c>
    </row>
    <row r="589864" spans="1:1" x14ac:dyDescent="0.25">
      <c r="A589864" s="15" t="s">
        <v>191</v>
      </c>
    </row>
    <row r="589865" spans="1:1" x14ac:dyDescent="0.25">
      <c r="A589865" s="14" t="s">
        <v>47</v>
      </c>
    </row>
    <row r="589866" spans="1:1" x14ac:dyDescent="0.25">
      <c r="A589866" s="14" t="s">
        <v>119</v>
      </c>
    </row>
    <row r="589867" spans="1:1" x14ac:dyDescent="0.25">
      <c r="A589867" s="14" t="s">
        <v>86</v>
      </c>
    </row>
    <row r="589868" spans="1:1" x14ac:dyDescent="0.25">
      <c r="A589868" s="13" t="s">
        <v>21</v>
      </c>
    </row>
    <row r="589869" spans="1:1" x14ac:dyDescent="0.25">
      <c r="A589869" s="14" t="s">
        <v>92</v>
      </c>
    </row>
    <row r="589870" spans="1:1" x14ac:dyDescent="0.25">
      <c r="A589870" s="14" t="s">
        <v>93</v>
      </c>
    </row>
    <row r="589871" spans="1:1" x14ac:dyDescent="0.25">
      <c r="A589871" s="14" t="s">
        <v>99</v>
      </c>
    </row>
    <row r="589872" spans="1:1" x14ac:dyDescent="0.25">
      <c r="A589872" s="14" t="s">
        <v>100</v>
      </c>
    </row>
    <row r="589873" spans="1:1" x14ac:dyDescent="0.25">
      <c r="A589873" s="13" t="s">
        <v>24</v>
      </c>
    </row>
    <row r="589874" spans="1:1" x14ac:dyDescent="0.25">
      <c r="A589874" s="13" t="s">
        <v>83</v>
      </c>
    </row>
    <row r="589875" spans="1:1" x14ac:dyDescent="0.25">
      <c r="A589875" s="13" t="s">
        <v>106</v>
      </c>
    </row>
    <row r="589876" spans="1:1" x14ac:dyDescent="0.25">
      <c r="A589876" s="13" t="s">
        <v>101</v>
      </c>
    </row>
    <row r="589877" spans="1:1" x14ac:dyDescent="0.25">
      <c r="A589877" s="13" t="s">
        <v>102</v>
      </c>
    </row>
    <row r="589878" spans="1:1" x14ac:dyDescent="0.25">
      <c r="A589878" s="13" t="s">
        <v>103</v>
      </c>
    </row>
    <row r="589879" spans="1:1" x14ac:dyDescent="0.25">
      <c r="A589879" s="13" t="s">
        <v>104</v>
      </c>
    </row>
    <row r="589880" spans="1:1" x14ac:dyDescent="0.25">
      <c r="A589880" s="13" t="s">
        <v>105</v>
      </c>
    </row>
    <row r="606210" spans="1:1" x14ac:dyDescent="0.25">
      <c r="A606210" s="13" t="s">
        <v>0</v>
      </c>
    </row>
    <row r="606211" spans="1:1" x14ac:dyDescent="0.25">
      <c r="A606211" s="13" t="s">
        <v>125</v>
      </c>
    </row>
    <row r="606212" spans="1:1" x14ac:dyDescent="0.25">
      <c r="A606212" s="13" t="s">
        <v>1</v>
      </c>
    </row>
    <row r="606213" spans="1:1" x14ac:dyDescent="0.25">
      <c r="A606213" s="13" t="s">
        <v>2</v>
      </c>
    </row>
    <row r="606214" spans="1:1" x14ac:dyDescent="0.25">
      <c r="A606214" s="14" t="s">
        <v>25</v>
      </c>
    </row>
    <row r="606215" spans="1:1" x14ac:dyDescent="0.25">
      <c r="A606215" s="13" t="s">
        <v>126</v>
      </c>
    </row>
    <row r="606216" spans="1:1" x14ac:dyDescent="0.25">
      <c r="A606216" s="13" t="s">
        <v>127</v>
      </c>
    </row>
    <row r="606217" spans="1:1" x14ac:dyDescent="0.25">
      <c r="A606217" s="13" t="s">
        <v>88</v>
      </c>
    </row>
    <row r="606218" spans="1:1" x14ac:dyDescent="0.25">
      <c r="A606218" s="13" t="s">
        <v>22</v>
      </c>
    </row>
    <row r="606219" spans="1:1" x14ac:dyDescent="0.25">
      <c r="A606219" s="13" t="s">
        <v>3</v>
      </c>
    </row>
    <row r="606220" spans="1:1" x14ac:dyDescent="0.25">
      <c r="A606220" s="15" t="s">
        <v>95</v>
      </c>
    </row>
    <row r="606221" spans="1:1" x14ac:dyDescent="0.25">
      <c r="A606221" s="15" t="s">
        <v>94</v>
      </c>
    </row>
    <row r="606222" spans="1:1" x14ac:dyDescent="0.25">
      <c r="A606222" s="15" t="s">
        <v>4</v>
      </c>
    </row>
    <row r="606223" spans="1:1" x14ac:dyDescent="0.25">
      <c r="A606223" s="15" t="s">
        <v>118</v>
      </c>
    </row>
    <row r="606224" spans="1:1" x14ac:dyDescent="0.25">
      <c r="A606224" s="15" t="s">
        <v>5</v>
      </c>
    </row>
    <row r="606225" spans="1:1" x14ac:dyDescent="0.25">
      <c r="A606225" s="15" t="s">
        <v>6</v>
      </c>
    </row>
    <row r="606226" spans="1:1" x14ac:dyDescent="0.25">
      <c r="A606226" s="15" t="s">
        <v>7</v>
      </c>
    </row>
    <row r="606227" spans="1:1" x14ac:dyDescent="0.25">
      <c r="A606227" s="15" t="s">
        <v>8</v>
      </c>
    </row>
    <row r="606228" spans="1:1" x14ac:dyDescent="0.25">
      <c r="A606228" s="15" t="s">
        <v>9</v>
      </c>
    </row>
    <row r="606229" spans="1:1" x14ac:dyDescent="0.25">
      <c r="A606229" s="15" t="s">
        <v>10</v>
      </c>
    </row>
    <row r="606230" spans="1:1" x14ac:dyDescent="0.25">
      <c r="A606230" s="15" t="s">
        <v>11</v>
      </c>
    </row>
    <row r="606231" spans="1:1" x14ac:dyDescent="0.25">
      <c r="A606231" s="15" t="s">
        <v>12</v>
      </c>
    </row>
    <row r="606232" spans="1:1" x14ac:dyDescent="0.25">
      <c r="A606232" s="15" t="s">
        <v>13</v>
      </c>
    </row>
    <row r="606233" spans="1:1" x14ac:dyDescent="0.25">
      <c r="A606233" s="15" t="s">
        <v>14</v>
      </c>
    </row>
    <row r="606234" spans="1:1" x14ac:dyDescent="0.25">
      <c r="A606234" s="13" t="s">
        <v>31</v>
      </c>
    </row>
    <row r="606235" spans="1:1" x14ac:dyDescent="0.25">
      <c r="A606235" s="13" t="s">
        <v>87</v>
      </c>
    </row>
    <row r="606236" spans="1:1" x14ac:dyDescent="0.25">
      <c r="A606236" s="15" t="s">
        <v>30</v>
      </c>
    </row>
    <row r="606237" spans="1:1" x14ac:dyDescent="0.25">
      <c r="A606237" s="15" t="s">
        <v>26</v>
      </c>
    </row>
    <row r="606238" spans="1:1" x14ac:dyDescent="0.25">
      <c r="A606238" s="15" t="s">
        <v>27</v>
      </c>
    </row>
    <row r="606239" spans="1:1" x14ac:dyDescent="0.25">
      <c r="A606239" s="15" t="s">
        <v>28</v>
      </c>
    </row>
    <row r="606240" spans="1:1" x14ac:dyDescent="0.25">
      <c r="A606240" s="15" t="s">
        <v>89</v>
      </c>
    </row>
    <row r="606241" spans="1:1" x14ac:dyDescent="0.25">
      <c r="A606241" s="15" t="s">
        <v>90</v>
      </c>
    </row>
    <row r="606242" spans="1:1" x14ac:dyDescent="0.25">
      <c r="A606242" s="15" t="s">
        <v>185</v>
      </c>
    </row>
    <row r="606243" spans="1:1" x14ac:dyDescent="0.25">
      <c r="A606243" s="15" t="s">
        <v>186</v>
      </c>
    </row>
    <row r="606244" spans="1:1" x14ac:dyDescent="0.25">
      <c r="A606244" s="15" t="s">
        <v>187</v>
      </c>
    </row>
    <row r="606245" spans="1:1" x14ac:dyDescent="0.25">
      <c r="A606245" s="15" t="s">
        <v>188</v>
      </c>
    </row>
    <row r="606246" spans="1:1" x14ac:dyDescent="0.25">
      <c r="A606246" s="15" t="s">
        <v>189</v>
      </c>
    </row>
    <row r="606247" spans="1:1" x14ac:dyDescent="0.25">
      <c r="A606247" s="15" t="s">
        <v>190</v>
      </c>
    </row>
    <row r="606248" spans="1:1" x14ac:dyDescent="0.25">
      <c r="A606248" s="15" t="s">
        <v>191</v>
      </c>
    </row>
    <row r="606249" spans="1:1" x14ac:dyDescent="0.25">
      <c r="A606249" s="14" t="s">
        <v>47</v>
      </c>
    </row>
    <row r="606250" spans="1:1" x14ac:dyDescent="0.25">
      <c r="A606250" s="14" t="s">
        <v>119</v>
      </c>
    </row>
    <row r="606251" spans="1:1" x14ac:dyDescent="0.25">
      <c r="A606251" s="14" t="s">
        <v>86</v>
      </c>
    </row>
    <row r="606252" spans="1:1" x14ac:dyDescent="0.25">
      <c r="A606252" s="13" t="s">
        <v>21</v>
      </c>
    </row>
    <row r="606253" spans="1:1" x14ac:dyDescent="0.25">
      <c r="A606253" s="14" t="s">
        <v>92</v>
      </c>
    </row>
    <row r="606254" spans="1:1" x14ac:dyDescent="0.25">
      <c r="A606254" s="14" t="s">
        <v>93</v>
      </c>
    </row>
    <row r="606255" spans="1:1" x14ac:dyDescent="0.25">
      <c r="A606255" s="14" t="s">
        <v>99</v>
      </c>
    </row>
    <row r="606256" spans="1:1" x14ac:dyDescent="0.25">
      <c r="A606256" s="14" t="s">
        <v>100</v>
      </c>
    </row>
    <row r="606257" spans="1:1" x14ac:dyDescent="0.25">
      <c r="A606257" s="13" t="s">
        <v>24</v>
      </c>
    </row>
    <row r="606258" spans="1:1" x14ac:dyDescent="0.25">
      <c r="A606258" s="13" t="s">
        <v>83</v>
      </c>
    </row>
    <row r="606259" spans="1:1" x14ac:dyDescent="0.25">
      <c r="A606259" s="13" t="s">
        <v>106</v>
      </c>
    </row>
    <row r="606260" spans="1:1" x14ac:dyDescent="0.25">
      <c r="A606260" s="13" t="s">
        <v>101</v>
      </c>
    </row>
    <row r="606261" spans="1:1" x14ac:dyDescent="0.25">
      <c r="A606261" s="13" t="s">
        <v>102</v>
      </c>
    </row>
    <row r="606262" spans="1:1" x14ac:dyDescent="0.25">
      <c r="A606262" s="13" t="s">
        <v>103</v>
      </c>
    </row>
    <row r="606263" spans="1:1" x14ac:dyDescent="0.25">
      <c r="A606263" s="13" t="s">
        <v>104</v>
      </c>
    </row>
    <row r="606264" spans="1:1" x14ac:dyDescent="0.25">
      <c r="A606264" s="13" t="s">
        <v>105</v>
      </c>
    </row>
    <row r="622594" spans="1:1" x14ac:dyDescent="0.25">
      <c r="A622594" s="13" t="s">
        <v>0</v>
      </c>
    </row>
    <row r="622595" spans="1:1" x14ac:dyDescent="0.25">
      <c r="A622595" s="13" t="s">
        <v>125</v>
      </c>
    </row>
    <row r="622596" spans="1:1" x14ac:dyDescent="0.25">
      <c r="A622596" s="13" t="s">
        <v>1</v>
      </c>
    </row>
    <row r="622597" spans="1:1" x14ac:dyDescent="0.25">
      <c r="A622597" s="13" t="s">
        <v>2</v>
      </c>
    </row>
    <row r="622598" spans="1:1" x14ac:dyDescent="0.25">
      <c r="A622598" s="14" t="s">
        <v>25</v>
      </c>
    </row>
    <row r="622599" spans="1:1" x14ac:dyDescent="0.25">
      <c r="A622599" s="13" t="s">
        <v>126</v>
      </c>
    </row>
    <row r="622600" spans="1:1" x14ac:dyDescent="0.25">
      <c r="A622600" s="13" t="s">
        <v>127</v>
      </c>
    </row>
    <row r="622601" spans="1:1" x14ac:dyDescent="0.25">
      <c r="A622601" s="13" t="s">
        <v>88</v>
      </c>
    </row>
    <row r="622602" spans="1:1" x14ac:dyDescent="0.25">
      <c r="A622602" s="13" t="s">
        <v>22</v>
      </c>
    </row>
    <row r="622603" spans="1:1" x14ac:dyDescent="0.25">
      <c r="A622603" s="13" t="s">
        <v>3</v>
      </c>
    </row>
    <row r="622604" spans="1:1" x14ac:dyDescent="0.25">
      <c r="A622604" s="15" t="s">
        <v>95</v>
      </c>
    </row>
    <row r="622605" spans="1:1" x14ac:dyDescent="0.25">
      <c r="A622605" s="15" t="s">
        <v>94</v>
      </c>
    </row>
    <row r="622606" spans="1:1" x14ac:dyDescent="0.25">
      <c r="A622606" s="15" t="s">
        <v>4</v>
      </c>
    </row>
    <row r="622607" spans="1:1" x14ac:dyDescent="0.25">
      <c r="A622607" s="15" t="s">
        <v>118</v>
      </c>
    </row>
    <row r="622608" spans="1:1" x14ac:dyDescent="0.25">
      <c r="A622608" s="15" t="s">
        <v>5</v>
      </c>
    </row>
    <row r="622609" spans="1:1" x14ac:dyDescent="0.25">
      <c r="A622609" s="15" t="s">
        <v>6</v>
      </c>
    </row>
    <row r="622610" spans="1:1" x14ac:dyDescent="0.25">
      <c r="A622610" s="15" t="s">
        <v>7</v>
      </c>
    </row>
    <row r="622611" spans="1:1" x14ac:dyDescent="0.25">
      <c r="A622611" s="15" t="s">
        <v>8</v>
      </c>
    </row>
    <row r="622612" spans="1:1" x14ac:dyDescent="0.25">
      <c r="A622612" s="15" t="s">
        <v>9</v>
      </c>
    </row>
    <row r="622613" spans="1:1" x14ac:dyDescent="0.25">
      <c r="A622613" s="15" t="s">
        <v>10</v>
      </c>
    </row>
    <row r="622614" spans="1:1" x14ac:dyDescent="0.25">
      <c r="A622614" s="15" t="s">
        <v>11</v>
      </c>
    </row>
    <row r="622615" spans="1:1" x14ac:dyDescent="0.25">
      <c r="A622615" s="15" t="s">
        <v>12</v>
      </c>
    </row>
    <row r="622616" spans="1:1" x14ac:dyDescent="0.25">
      <c r="A622616" s="15" t="s">
        <v>13</v>
      </c>
    </row>
    <row r="622617" spans="1:1" x14ac:dyDescent="0.25">
      <c r="A622617" s="15" t="s">
        <v>14</v>
      </c>
    </row>
    <row r="622618" spans="1:1" x14ac:dyDescent="0.25">
      <c r="A622618" s="13" t="s">
        <v>31</v>
      </c>
    </row>
    <row r="622619" spans="1:1" x14ac:dyDescent="0.25">
      <c r="A622619" s="13" t="s">
        <v>87</v>
      </c>
    </row>
    <row r="622620" spans="1:1" x14ac:dyDescent="0.25">
      <c r="A622620" s="15" t="s">
        <v>30</v>
      </c>
    </row>
    <row r="622621" spans="1:1" x14ac:dyDescent="0.25">
      <c r="A622621" s="15" t="s">
        <v>26</v>
      </c>
    </row>
    <row r="622622" spans="1:1" x14ac:dyDescent="0.25">
      <c r="A622622" s="15" t="s">
        <v>27</v>
      </c>
    </row>
    <row r="622623" spans="1:1" x14ac:dyDescent="0.25">
      <c r="A622623" s="15" t="s">
        <v>28</v>
      </c>
    </row>
    <row r="622624" spans="1:1" x14ac:dyDescent="0.25">
      <c r="A622624" s="15" t="s">
        <v>89</v>
      </c>
    </row>
    <row r="622625" spans="1:1" x14ac:dyDescent="0.25">
      <c r="A622625" s="15" t="s">
        <v>90</v>
      </c>
    </row>
    <row r="622626" spans="1:1" x14ac:dyDescent="0.25">
      <c r="A622626" s="15" t="s">
        <v>185</v>
      </c>
    </row>
    <row r="622627" spans="1:1" x14ac:dyDescent="0.25">
      <c r="A622627" s="15" t="s">
        <v>186</v>
      </c>
    </row>
    <row r="622628" spans="1:1" x14ac:dyDescent="0.25">
      <c r="A622628" s="15" t="s">
        <v>187</v>
      </c>
    </row>
    <row r="622629" spans="1:1" x14ac:dyDescent="0.25">
      <c r="A622629" s="15" t="s">
        <v>188</v>
      </c>
    </row>
    <row r="622630" spans="1:1" x14ac:dyDescent="0.25">
      <c r="A622630" s="15" t="s">
        <v>189</v>
      </c>
    </row>
    <row r="622631" spans="1:1" x14ac:dyDescent="0.25">
      <c r="A622631" s="15" t="s">
        <v>190</v>
      </c>
    </row>
    <row r="622632" spans="1:1" x14ac:dyDescent="0.25">
      <c r="A622632" s="15" t="s">
        <v>191</v>
      </c>
    </row>
    <row r="622633" spans="1:1" x14ac:dyDescent="0.25">
      <c r="A622633" s="14" t="s">
        <v>47</v>
      </c>
    </row>
    <row r="622634" spans="1:1" x14ac:dyDescent="0.25">
      <c r="A622634" s="14" t="s">
        <v>119</v>
      </c>
    </row>
    <row r="622635" spans="1:1" x14ac:dyDescent="0.25">
      <c r="A622635" s="14" t="s">
        <v>86</v>
      </c>
    </row>
    <row r="622636" spans="1:1" x14ac:dyDescent="0.25">
      <c r="A622636" s="13" t="s">
        <v>21</v>
      </c>
    </row>
    <row r="622637" spans="1:1" x14ac:dyDescent="0.25">
      <c r="A622637" s="14" t="s">
        <v>92</v>
      </c>
    </row>
    <row r="622638" spans="1:1" x14ac:dyDescent="0.25">
      <c r="A622638" s="14" t="s">
        <v>93</v>
      </c>
    </row>
    <row r="622639" spans="1:1" x14ac:dyDescent="0.25">
      <c r="A622639" s="14" t="s">
        <v>99</v>
      </c>
    </row>
    <row r="622640" spans="1:1" x14ac:dyDescent="0.25">
      <c r="A622640" s="14" t="s">
        <v>100</v>
      </c>
    </row>
    <row r="622641" spans="1:1" x14ac:dyDescent="0.25">
      <c r="A622641" s="13" t="s">
        <v>24</v>
      </c>
    </row>
    <row r="622642" spans="1:1" x14ac:dyDescent="0.25">
      <c r="A622642" s="13" t="s">
        <v>83</v>
      </c>
    </row>
    <row r="622643" spans="1:1" x14ac:dyDescent="0.25">
      <c r="A622643" s="13" t="s">
        <v>106</v>
      </c>
    </row>
    <row r="622644" spans="1:1" x14ac:dyDescent="0.25">
      <c r="A622644" s="13" t="s">
        <v>101</v>
      </c>
    </row>
    <row r="622645" spans="1:1" x14ac:dyDescent="0.25">
      <c r="A622645" s="13" t="s">
        <v>102</v>
      </c>
    </row>
    <row r="622646" spans="1:1" x14ac:dyDescent="0.25">
      <c r="A622646" s="13" t="s">
        <v>103</v>
      </c>
    </row>
    <row r="622647" spans="1:1" x14ac:dyDescent="0.25">
      <c r="A622647" s="13" t="s">
        <v>104</v>
      </c>
    </row>
    <row r="622648" spans="1:1" x14ac:dyDescent="0.25">
      <c r="A622648" s="13" t="s">
        <v>105</v>
      </c>
    </row>
    <row r="638978" spans="1:1" x14ac:dyDescent="0.25">
      <c r="A638978" s="13" t="s">
        <v>0</v>
      </c>
    </row>
    <row r="638979" spans="1:1" x14ac:dyDescent="0.25">
      <c r="A638979" s="13" t="s">
        <v>125</v>
      </c>
    </row>
    <row r="638980" spans="1:1" x14ac:dyDescent="0.25">
      <c r="A638980" s="13" t="s">
        <v>1</v>
      </c>
    </row>
    <row r="638981" spans="1:1" x14ac:dyDescent="0.25">
      <c r="A638981" s="13" t="s">
        <v>2</v>
      </c>
    </row>
    <row r="638982" spans="1:1" x14ac:dyDescent="0.25">
      <c r="A638982" s="14" t="s">
        <v>25</v>
      </c>
    </row>
    <row r="638983" spans="1:1" x14ac:dyDescent="0.25">
      <c r="A638983" s="13" t="s">
        <v>126</v>
      </c>
    </row>
    <row r="638984" spans="1:1" x14ac:dyDescent="0.25">
      <c r="A638984" s="13" t="s">
        <v>127</v>
      </c>
    </row>
    <row r="638985" spans="1:1" x14ac:dyDescent="0.25">
      <c r="A638985" s="13" t="s">
        <v>88</v>
      </c>
    </row>
    <row r="638986" spans="1:1" x14ac:dyDescent="0.25">
      <c r="A638986" s="13" t="s">
        <v>22</v>
      </c>
    </row>
    <row r="638987" spans="1:1" x14ac:dyDescent="0.25">
      <c r="A638987" s="13" t="s">
        <v>3</v>
      </c>
    </row>
    <row r="638988" spans="1:1" x14ac:dyDescent="0.25">
      <c r="A638988" s="15" t="s">
        <v>95</v>
      </c>
    </row>
    <row r="638989" spans="1:1" x14ac:dyDescent="0.25">
      <c r="A638989" s="15" t="s">
        <v>94</v>
      </c>
    </row>
    <row r="638990" spans="1:1" x14ac:dyDescent="0.25">
      <c r="A638990" s="15" t="s">
        <v>4</v>
      </c>
    </row>
    <row r="638991" spans="1:1" x14ac:dyDescent="0.25">
      <c r="A638991" s="15" t="s">
        <v>118</v>
      </c>
    </row>
    <row r="638992" spans="1:1" x14ac:dyDescent="0.25">
      <c r="A638992" s="15" t="s">
        <v>5</v>
      </c>
    </row>
    <row r="638993" spans="1:1" x14ac:dyDescent="0.25">
      <c r="A638993" s="15" t="s">
        <v>6</v>
      </c>
    </row>
    <row r="638994" spans="1:1" x14ac:dyDescent="0.25">
      <c r="A638994" s="15" t="s">
        <v>7</v>
      </c>
    </row>
    <row r="638995" spans="1:1" x14ac:dyDescent="0.25">
      <c r="A638995" s="15" t="s">
        <v>8</v>
      </c>
    </row>
    <row r="638996" spans="1:1" x14ac:dyDescent="0.25">
      <c r="A638996" s="15" t="s">
        <v>9</v>
      </c>
    </row>
    <row r="638997" spans="1:1" x14ac:dyDescent="0.25">
      <c r="A638997" s="15" t="s">
        <v>10</v>
      </c>
    </row>
    <row r="638998" spans="1:1" x14ac:dyDescent="0.25">
      <c r="A638998" s="15" t="s">
        <v>11</v>
      </c>
    </row>
    <row r="638999" spans="1:1" x14ac:dyDescent="0.25">
      <c r="A638999" s="15" t="s">
        <v>12</v>
      </c>
    </row>
    <row r="639000" spans="1:1" x14ac:dyDescent="0.25">
      <c r="A639000" s="15" t="s">
        <v>13</v>
      </c>
    </row>
    <row r="639001" spans="1:1" x14ac:dyDescent="0.25">
      <c r="A639001" s="15" t="s">
        <v>14</v>
      </c>
    </row>
    <row r="639002" spans="1:1" x14ac:dyDescent="0.25">
      <c r="A639002" s="13" t="s">
        <v>31</v>
      </c>
    </row>
    <row r="639003" spans="1:1" x14ac:dyDescent="0.25">
      <c r="A639003" s="13" t="s">
        <v>87</v>
      </c>
    </row>
    <row r="639004" spans="1:1" x14ac:dyDescent="0.25">
      <c r="A639004" s="15" t="s">
        <v>30</v>
      </c>
    </row>
    <row r="639005" spans="1:1" x14ac:dyDescent="0.25">
      <c r="A639005" s="15" t="s">
        <v>26</v>
      </c>
    </row>
    <row r="639006" spans="1:1" x14ac:dyDescent="0.25">
      <c r="A639006" s="15" t="s">
        <v>27</v>
      </c>
    </row>
    <row r="639007" spans="1:1" x14ac:dyDescent="0.25">
      <c r="A639007" s="15" t="s">
        <v>28</v>
      </c>
    </row>
    <row r="639008" spans="1:1" x14ac:dyDescent="0.25">
      <c r="A639008" s="15" t="s">
        <v>89</v>
      </c>
    </row>
    <row r="639009" spans="1:1" x14ac:dyDescent="0.25">
      <c r="A639009" s="15" t="s">
        <v>90</v>
      </c>
    </row>
    <row r="639010" spans="1:1" x14ac:dyDescent="0.25">
      <c r="A639010" s="15" t="s">
        <v>185</v>
      </c>
    </row>
    <row r="639011" spans="1:1" x14ac:dyDescent="0.25">
      <c r="A639011" s="15" t="s">
        <v>186</v>
      </c>
    </row>
    <row r="639012" spans="1:1" x14ac:dyDescent="0.25">
      <c r="A639012" s="15" t="s">
        <v>187</v>
      </c>
    </row>
    <row r="639013" spans="1:1" x14ac:dyDescent="0.25">
      <c r="A639013" s="15" t="s">
        <v>188</v>
      </c>
    </row>
    <row r="639014" spans="1:1" x14ac:dyDescent="0.25">
      <c r="A639014" s="15" t="s">
        <v>189</v>
      </c>
    </row>
    <row r="639015" spans="1:1" x14ac:dyDescent="0.25">
      <c r="A639015" s="15" t="s">
        <v>190</v>
      </c>
    </row>
    <row r="639016" spans="1:1" x14ac:dyDescent="0.25">
      <c r="A639016" s="15" t="s">
        <v>191</v>
      </c>
    </row>
    <row r="639017" spans="1:1" x14ac:dyDescent="0.25">
      <c r="A639017" s="14" t="s">
        <v>47</v>
      </c>
    </row>
    <row r="639018" spans="1:1" x14ac:dyDescent="0.25">
      <c r="A639018" s="14" t="s">
        <v>119</v>
      </c>
    </row>
    <row r="639019" spans="1:1" x14ac:dyDescent="0.25">
      <c r="A639019" s="14" t="s">
        <v>86</v>
      </c>
    </row>
    <row r="639020" spans="1:1" x14ac:dyDescent="0.25">
      <c r="A639020" s="13" t="s">
        <v>21</v>
      </c>
    </row>
    <row r="639021" spans="1:1" x14ac:dyDescent="0.25">
      <c r="A639021" s="14" t="s">
        <v>92</v>
      </c>
    </row>
    <row r="639022" spans="1:1" x14ac:dyDescent="0.25">
      <c r="A639022" s="14" t="s">
        <v>93</v>
      </c>
    </row>
    <row r="639023" spans="1:1" x14ac:dyDescent="0.25">
      <c r="A639023" s="14" t="s">
        <v>99</v>
      </c>
    </row>
    <row r="639024" spans="1:1" x14ac:dyDescent="0.25">
      <c r="A639024" s="14" t="s">
        <v>100</v>
      </c>
    </row>
    <row r="639025" spans="1:1" x14ac:dyDescent="0.25">
      <c r="A639025" s="13" t="s">
        <v>24</v>
      </c>
    </row>
    <row r="639026" spans="1:1" x14ac:dyDescent="0.25">
      <c r="A639026" s="13" t="s">
        <v>83</v>
      </c>
    </row>
    <row r="639027" spans="1:1" x14ac:dyDescent="0.25">
      <c r="A639027" s="13" t="s">
        <v>106</v>
      </c>
    </row>
    <row r="639028" spans="1:1" x14ac:dyDescent="0.25">
      <c r="A639028" s="13" t="s">
        <v>101</v>
      </c>
    </row>
    <row r="639029" spans="1:1" x14ac:dyDescent="0.25">
      <c r="A639029" s="13" t="s">
        <v>102</v>
      </c>
    </row>
    <row r="639030" spans="1:1" x14ac:dyDescent="0.25">
      <c r="A639030" s="13" t="s">
        <v>103</v>
      </c>
    </row>
    <row r="639031" spans="1:1" x14ac:dyDescent="0.25">
      <c r="A639031" s="13" t="s">
        <v>104</v>
      </c>
    </row>
    <row r="639032" spans="1:1" x14ac:dyDescent="0.25">
      <c r="A639032" s="13" t="s">
        <v>105</v>
      </c>
    </row>
    <row r="655362" spans="1:1" x14ac:dyDescent="0.25">
      <c r="A655362" s="13" t="s">
        <v>0</v>
      </c>
    </row>
    <row r="655363" spans="1:1" x14ac:dyDescent="0.25">
      <c r="A655363" s="13" t="s">
        <v>125</v>
      </c>
    </row>
    <row r="655364" spans="1:1" x14ac:dyDescent="0.25">
      <c r="A655364" s="13" t="s">
        <v>1</v>
      </c>
    </row>
    <row r="655365" spans="1:1" x14ac:dyDescent="0.25">
      <c r="A655365" s="13" t="s">
        <v>2</v>
      </c>
    </row>
    <row r="655366" spans="1:1" x14ac:dyDescent="0.25">
      <c r="A655366" s="14" t="s">
        <v>25</v>
      </c>
    </row>
    <row r="655367" spans="1:1" x14ac:dyDescent="0.25">
      <c r="A655367" s="13" t="s">
        <v>126</v>
      </c>
    </row>
    <row r="655368" spans="1:1" x14ac:dyDescent="0.25">
      <c r="A655368" s="13" t="s">
        <v>127</v>
      </c>
    </row>
    <row r="655369" spans="1:1" x14ac:dyDescent="0.25">
      <c r="A655369" s="13" t="s">
        <v>88</v>
      </c>
    </row>
    <row r="655370" spans="1:1" x14ac:dyDescent="0.25">
      <c r="A655370" s="13" t="s">
        <v>22</v>
      </c>
    </row>
    <row r="655371" spans="1:1" x14ac:dyDescent="0.25">
      <c r="A655371" s="13" t="s">
        <v>3</v>
      </c>
    </row>
    <row r="655372" spans="1:1" x14ac:dyDescent="0.25">
      <c r="A655372" s="15" t="s">
        <v>95</v>
      </c>
    </row>
    <row r="655373" spans="1:1" x14ac:dyDescent="0.25">
      <c r="A655373" s="15" t="s">
        <v>94</v>
      </c>
    </row>
    <row r="655374" spans="1:1" x14ac:dyDescent="0.25">
      <c r="A655374" s="15" t="s">
        <v>4</v>
      </c>
    </row>
    <row r="655375" spans="1:1" x14ac:dyDescent="0.25">
      <c r="A655375" s="15" t="s">
        <v>118</v>
      </c>
    </row>
    <row r="655376" spans="1:1" x14ac:dyDescent="0.25">
      <c r="A655376" s="15" t="s">
        <v>5</v>
      </c>
    </row>
    <row r="655377" spans="1:1" x14ac:dyDescent="0.25">
      <c r="A655377" s="15" t="s">
        <v>6</v>
      </c>
    </row>
    <row r="655378" spans="1:1" x14ac:dyDescent="0.25">
      <c r="A655378" s="15" t="s">
        <v>7</v>
      </c>
    </row>
    <row r="655379" spans="1:1" x14ac:dyDescent="0.25">
      <c r="A655379" s="15" t="s">
        <v>8</v>
      </c>
    </row>
    <row r="655380" spans="1:1" x14ac:dyDescent="0.25">
      <c r="A655380" s="15" t="s">
        <v>9</v>
      </c>
    </row>
    <row r="655381" spans="1:1" x14ac:dyDescent="0.25">
      <c r="A655381" s="15" t="s">
        <v>10</v>
      </c>
    </row>
    <row r="655382" spans="1:1" x14ac:dyDescent="0.25">
      <c r="A655382" s="15" t="s">
        <v>11</v>
      </c>
    </row>
    <row r="655383" spans="1:1" x14ac:dyDescent="0.25">
      <c r="A655383" s="15" t="s">
        <v>12</v>
      </c>
    </row>
    <row r="655384" spans="1:1" x14ac:dyDescent="0.25">
      <c r="A655384" s="15" t="s">
        <v>13</v>
      </c>
    </row>
    <row r="655385" spans="1:1" x14ac:dyDescent="0.25">
      <c r="A655385" s="15" t="s">
        <v>14</v>
      </c>
    </row>
    <row r="655386" spans="1:1" x14ac:dyDescent="0.25">
      <c r="A655386" s="13" t="s">
        <v>31</v>
      </c>
    </row>
    <row r="655387" spans="1:1" x14ac:dyDescent="0.25">
      <c r="A655387" s="13" t="s">
        <v>87</v>
      </c>
    </row>
    <row r="655388" spans="1:1" x14ac:dyDescent="0.25">
      <c r="A655388" s="15" t="s">
        <v>30</v>
      </c>
    </row>
    <row r="655389" spans="1:1" x14ac:dyDescent="0.25">
      <c r="A655389" s="15" t="s">
        <v>26</v>
      </c>
    </row>
    <row r="655390" spans="1:1" x14ac:dyDescent="0.25">
      <c r="A655390" s="15" t="s">
        <v>27</v>
      </c>
    </row>
    <row r="655391" spans="1:1" x14ac:dyDescent="0.25">
      <c r="A655391" s="15" t="s">
        <v>28</v>
      </c>
    </row>
    <row r="655392" spans="1:1" x14ac:dyDescent="0.25">
      <c r="A655392" s="15" t="s">
        <v>89</v>
      </c>
    </row>
    <row r="655393" spans="1:1" x14ac:dyDescent="0.25">
      <c r="A655393" s="15" t="s">
        <v>90</v>
      </c>
    </row>
    <row r="655394" spans="1:1" x14ac:dyDescent="0.25">
      <c r="A655394" s="15" t="s">
        <v>185</v>
      </c>
    </row>
    <row r="655395" spans="1:1" x14ac:dyDescent="0.25">
      <c r="A655395" s="15" t="s">
        <v>186</v>
      </c>
    </row>
    <row r="655396" spans="1:1" x14ac:dyDescent="0.25">
      <c r="A655396" s="15" t="s">
        <v>187</v>
      </c>
    </row>
    <row r="655397" spans="1:1" x14ac:dyDescent="0.25">
      <c r="A655397" s="15" t="s">
        <v>188</v>
      </c>
    </row>
    <row r="655398" spans="1:1" x14ac:dyDescent="0.25">
      <c r="A655398" s="15" t="s">
        <v>189</v>
      </c>
    </row>
    <row r="655399" spans="1:1" x14ac:dyDescent="0.25">
      <c r="A655399" s="15" t="s">
        <v>190</v>
      </c>
    </row>
    <row r="655400" spans="1:1" x14ac:dyDescent="0.25">
      <c r="A655400" s="15" t="s">
        <v>191</v>
      </c>
    </row>
    <row r="655401" spans="1:1" x14ac:dyDescent="0.25">
      <c r="A655401" s="14" t="s">
        <v>47</v>
      </c>
    </row>
    <row r="655402" spans="1:1" x14ac:dyDescent="0.25">
      <c r="A655402" s="14" t="s">
        <v>119</v>
      </c>
    </row>
    <row r="655403" spans="1:1" x14ac:dyDescent="0.25">
      <c r="A655403" s="14" t="s">
        <v>86</v>
      </c>
    </row>
    <row r="655404" spans="1:1" x14ac:dyDescent="0.25">
      <c r="A655404" s="13" t="s">
        <v>21</v>
      </c>
    </row>
    <row r="655405" spans="1:1" x14ac:dyDescent="0.25">
      <c r="A655405" s="14" t="s">
        <v>92</v>
      </c>
    </row>
    <row r="655406" spans="1:1" x14ac:dyDescent="0.25">
      <c r="A655406" s="14" t="s">
        <v>93</v>
      </c>
    </row>
    <row r="655407" spans="1:1" x14ac:dyDescent="0.25">
      <c r="A655407" s="14" t="s">
        <v>99</v>
      </c>
    </row>
    <row r="655408" spans="1:1" x14ac:dyDescent="0.25">
      <c r="A655408" s="14" t="s">
        <v>100</v>
      </c>
    </row>
    <row r="655409" spans="1:1" x14ac:dyDescent="0.25">
      <c r="A655409" s="13" t="s">
        <v>24</v>
      </c>
    </row>
    <row r="655410" spans="1:1" x14ac:dyDescent="0.25">
      <c r="A655410" s="13" t="s">
        <v>83</v>
      </c>
    </row>
    <row r="655411" spans="1:1" x14ac:dyDescent="0.25">
      <c r="A655411" s="13" t="s">
        <v>106</v>
      </c>
    </row>
    <row r="655412" spans="1:1" x14ac:dyDescent="0.25">
      <c r="A655412" s="13" t="s">
        <v>101</v>
      </c>
    </row>
    <row r="655413" spans="1:1" x14ac:dyDescent="0.25">
      <c r="A655413" s="13" t="s">
        <v>102</v>
      </c>
    </row>
    <row r="655414" spans="1:1" x14ac:dyDescent="0.25">
      <c r="A655414" s="13" t="s">
        <v>103</v>
      </c>
    </row>
    <row r="655415" spans="1:1" x14ac:dyDescent="0.25">
      <c r="A655415" s="13" t="s">
        <v>104</v>
      </c>
    </row>
    <row r="655416" spans="1:1" x14ac:dyDescent="0.25">
      <c r="A655416" s="13" t="s">
        <v>105</v>
      </c>
    </row>
    <row r="671746" spans="1:1" x14ac:dyDescent="0.25">
      <c r="A671746" s="13" t="s">
        <v>0</v>
      </c>
    </row>
    <row r="671747" spans="1:1" x14ac:dyDescent="0.25">
      <c r="A671747" s="13" t="s">
        <v>125</v>
      </c>
    </row>
    <row r="671748" spans="1:1" x14ac:dyDescent="0.25">
      <c r="A671748" s="13" t="s">
        <v>1</v>
      </c>
    </row>
    <row r="671749" spans="1:1" x14ac:dyDescent="0.25">
      <c r="A671749" s="13" t="s">
        <v>2</v>
      </c>
    </row>
    <row r="671750" spans="1:1" x14ac:dyDescent="0.25">
      <c r="A671750" s="14" t="s">
        <v>25</v>
      </c>
    </row>
    <row r="671751" spans="1:1" x14ac:dyDescent="0.25">
      <c r="A671751" s="13" t="s">
        <v>126</v>
      </c>
    </row>
    <row r="671752" spans="1:1" x14ac:dyDescent="0.25">
      <c r="A671752" s="13" t="s">
        <v>127</v>
      </c>
    </row>
    <row r="671753" spans="1:1" x14ac:dyDescent="0.25">
      <c r="A671753" s="13" t="s">
        <v>88</v>
      </c>
    </row>
    <row r="671754" spans="1:1" x14ac:dyDescent="0.25">
      <c r="A671754" s="13" t="s">
        <v>22</v>
      </c>
    </row>
    <row r="671755" spans="1:1" x14ac:dyDescent="0.25">
      <c r="A671755" s="13" t="s">
        <v>3</v>
      </c>
    </row>
    <row r="671756" spans="1:1" x14ac:dyDescent="0.25">
      <c r="A671756" s="15" t="s">
        <v>95</v>
      </c>
    </row>
    <row r="671757" spans="1:1" x14ac:dyDescent="0.25">
      <c r="A671757" s="15" t="s">
        <v>94</v>
      </c>
    </row>
    <row r="671758" spans="1:1" x14ac:dyDescent="0.25">
      <c r="A671758" s="15" t="s">
        <v>4</v>
      </c>
    </row>
    <row r="671759" spans="1:1" x14ac:dyDescent="0.25">
      <c r="A671759" s="15" t="s">
        <v>118</v>
      </c>
    </row>
    <row r="671760" spans="1:1" x14ac:dyDescent="0.25">
      <c r="A671760" s="15" t="s">
        <v>5</v>
      </c>
    </row>
    <row r="671761" spans="1:1" x14ac:dyDescent="0.25">
      <c r="A671761" s="15" t="s">
        <v>6</v>
      </c>
    </row>
    <row r="671762" spans="1:1" x14ac:dyDescent="0.25">
      <c r="A671762" s="15" t="s">
        <v>7</v>
      </c>
    </row>
    <row r="671763" spans="1:1" x14ac:dyDescent="0.25">
      <c r="A671763" s="15" t="s">
        <v>8</v>
      </c>
    </row>
    <row r="671764" spans="1:1" x14ac:dyDescent="0.25">
      <c r="A671764" s="15" t="s">
        <v>9</v>
      </c>
    </row>
    <row r="671765" spans="1:1" x14ac:dyDescent="0.25">
      <c r="A671765" s="15" t="s">
        <v>10</v>
      </c>
    </row>
    <row r="671766" spans="1:1" x14ac:dyDescent="0.25">
      <c r="A671766" s="15" t="s">
        <v>11</v>
      </c>
    </row>
    <row r="671767" spans="1:1" x14ac:dyDescent="0.25">
      <c r="A671767" s="15" t="s">
        <v>12</v>
      </c>
    </row>
    <row r="671768" spans="1:1" x14ac:dyDescent="0.25">
      <c r="A671768" s="15" t="s">
        <v>13</v>
      </c>
    </row>
    <row r="671769" spans="1:1" x14ac:dyDescent="0.25">
      <c r="A671769" s="15" t="s">
        <v>14</v>
      </c>
    </row>
    <row r="671770" spans="1:1" x14ac:dyDescent="0.25">
      <c r="A671770" s="13" t="s">
        <v>31</v>
      </c>
    </row>
    <row r="671771" spans="1:1" x14ac:dyDescent="0.25">
      <c r="A671771" s="13" t="s">
        <v>87</v>
      </c>
    </row>
    <row r="671772" spans="1:1" x14ac:dyDescent="0.25">
      <c r="A671772" s="15" t="s">
        <v>30</v>
      </c>
    </row>
    <row r="671773" spans="1:1" x14ac:dyDescent="0.25">
      <c r="A671773" s="15" t="s">
        <v>26</v>
      </c>
    </row>
    <row r="671774" spans="1:1" x14ac:dyDescent="0.25">
      <c r="A671774" s="15" t="s">
        <v>27</v>
      </c>
    </row>
    <row r="671775" spans="1:1" x14ac:dyDescent="0.25">
      <c r="A671775" s="15" t="s">
        <v>28</v>
      </c>
    </row>
    <row r="671776" spans="1:1" x14ac:dyDescent="0.25">
      <c r="A671776" s="15" t="s">
        <v>89</v>
      </c>
    </row>
    <row r="671777" spans="1:1" x14ac:dyDescent="0.25">
      <c r="A671777" s="15" t="s">
        <v>90</v>
      </c>
    </row>
    <row r="671778" spans="1:1" x14ac:dyDescent="0.25">
      <c r="A671778" s="15" t="s">
        <v>185</v>
      </c>
    </row>
    <row r="671779" spans="1:1" x14ac:dyDescent="0.25">
      <c r="A671779" s="15" t="s">
        <v>186</v>
      </c>
    </row>
    <row r="671780" spans="1:1" x14ac:dyDescent="0.25">
      <c r="A671780" s="15" t="s">
        <v>187</v>
      </c>
    </row>
    <row r="671781" spans="1:1" x14ac:dyDescent="0.25">
      <c r="A671781" s="15" t="s">
        <v>188</v>
      </c>
    </row>
    <row r="671782" spans="1:1" x14ac:dyDescent="0.25">
      <c r="A671782" s="15" t="s">
        <v>189</v>
      </c>
    </row>
    <row r="671783" spans="1:1" x14ac:dyDescent="0.25">
      <c r="A671783" s="15" t="s">
        <v>190</v>
      </c>
    </row>
    <row r="671784" spans="1:1" x14ac:dyDescent="0.25">
      <c r="A671784" s="15" t="s">
        <v>191</v>
      </c>
    </row>
    <row r="671785" spans="1:1" x14ac:dyDescent="0.25">
      <c r="A671785" s="14" t="s">
        <v>47</v>
      </c>
    </row>
    <row r="671786" spans="1:1" x14ac:dyDescent="0.25">
      <c r="A671786" s="14" t="s">
        <v>119</v>
      </c>
    </row>
    <row r="671787" spans="1:1" x14ac:dyDescent="0.25">
      <c r="A671787" s="14" t="s">
        <v>86</v>
      </c>
    </row>
    <row r="671788" spans="1:1" x14ac:dyDescent="0.25">
      <c r="A671788" s="13" t="s">
        <v>21</v>
      </c>
    </row>
    <row r="671789" spans="1:1" x14ac:dyDescent="0.25">
      <c r="A671789" s="14" t="s">
        <v>92</v>
      </c>
    </row>
    <row r="671790" spans="1:1" x14ac:dyDescent="0.25">
      <c r="A671790" s="14" t="s">
        <v>93</v>
      </c>
    </row>
    <row r="671791" spans="1:1" x14ac:dyDescent="0.25">
      <c r="A671791" s="14" t="s">
        <v>99</v>
      </c>
    </row>
    <row r="671792" spans="1:1" x14ac:dyDescent="0.25">
      <c r="A671792" s="14" t="s">
        <v>100</v>
      </c>
    </row>
    <row r="671793" spans="1:1" x14ac:dyDescent="0.25">
      <c r="A671793" s="13" t="s">
        <v>24</v>
      </c>
    </row>
    <row r="671794" spans="1:1" x14ac:dyDescent="0.25">
      <c r="A671794" s="13" t="s">
        <v>83</v>
      </c>
    </row>
    <row r="671795" spans="1:1" x14ac:dyDescent="0.25">
      <c r="A671795" s="13" t="s">
        <v>106</v>
      </c>
    </row>
    <row r="671796" spans="1:1" x14ac:dyDescent="0.25">
      <c r="A671796" s="13" t="s">
        <v>101</v>
      </c>
    </row>
    <row r="671797" spans="1:1" x14ac:dyDescent="0.25">
      <c r="A671797" s="13" t="s">
        <v>102</v>
      </c>
    </row>
    <row r="671798" spans="1:1" x14ac:dyDescent="0.25">
      <c r="A671798" s="13" t="s">
        <v>103</v>
      </c>
    </row>
    <row r="671799" spans="1:1" x14ac:dyDescent="0.25">
      <c r="A671799" s="13" t="s">
        <v>104</v>
      </c>
    </row>
    <row r="671800" spans="1:1" x14ac:dyDescent="0.25">
      <c r="A671800" s="13" t="s">
        <v>105</v>
      </c>
    </row>
    <row r="688130" spans="1:1" x14ac:dyDescent="0.25">
      <c r="A688130" s="13" t="s">
        <v>0</v>
      </c>
    </row>
    <row r="688131" spans="1:1" x14ac:dyDescent="0.25">
      <c r="A688131" s="13" t="s">
        <v>125</v>
      </c>
    </row>
    <row r="688132" spans="1:1" x14ac:dyDescent="0.25">
      <c r="A688132" s="13" t="s">
        <v>1</v>
      </c>
    </row>
    <row r="688133" spans="1:1" x14ac:dyDescent="0.25">
      <c r="A688133" s="13" t="s">
        <v>2</v>
      </c>
    </row>
    <row r="688134" spans="1:1" x14ac:dyDescent="0.25">
      <c r="A688134" s="14" t="s">
        <v>25</v>
      </c>
    </row>
    <row r="688135" spans="1:1" x14ac:dyDescent="0.25">
      <c r="A688135" s="13" t="s">
        <v>126</v>
      </c>
    </row>
    <row r="688136" spans="1:1" x14ac:dyDescent="0.25">
      <c r="A688136" s="13" t="s">
        <v>127</v>
      </c>
    </row>
    <row r="688137" spans="1:1" x14ac:dyDescent="0.25">
      <c r="A688137" s="13" t="s">
        <v>88</v>
      </c>
    </row>
    <row r="688138" spans="1:1" x14ac:dyDescent="0.25">
      <c r="A688138" s="13" t="s">
        <v>22</v>
      </c>
    </row>
    <row r="688139" spans="1:1" x14ac:dyDescent="0.25">
      <c r="A688139" s="13" t="s">
        <v>3</v>
      </c>
    </row>
    <row r="688140" spans="1:1" x14ac:dyDescent="0.25">
      <c r="A688140" s="15" t="s">
        <v>95</v>
      </c>
    </row>
    <row r="688141" spans="1:1" x14ac:dyDescent="0.25">
      <c r="A688141" s="15" t="s">
        <v>94</v>
      </c>
    </row>
    <row r="688142" spans="1:1" x14ac:dyDescent="0.25">
      <c r="A688142" s="15" t="s">
        <v>4</v>
      </c>
    </row>
    <row r="688143" spans="1:1" x14ac:dyDescent="0.25">
      <c r="A688143" s="15" t="s">
        <v>118</v>
      </c>
    </row>
    <row r="688144" spans="1:1" x14ac:dyDescent="0.25">
      <c r="A688144" s="15" t="s">
        <v>5</v>
      </c>
    </row>
    <row r="688145" spans="1:1" x14ac:dyDescent="0.25">
      <c r="A688145" s="15" t="s">
        <v>6</v>
      </c>
    </row>
    <row r="688146" spans="1:1" x14ac:dyDescent="0.25">
      <c r="A688146" s="15" t="s">
        <v>7</v>
      </c>
    </row>
    <row r="688147" spans="1:1" x14ac:dyDescent="0.25">
      <c r="A688147" s="15" t="s">
        <v>8</v>
      </c>
    </row>
    <row r="688148" spans="1:1" x14ac:dyDescent="0.25">
      <c r="A688148" s="15" t="s">
        <v>9</v>
      </c>
    </row>
    <row r="688149" spans="1:1" x14ac:dyDescent="0.25">
      <c r="A688149" s="15" t="s">
        <v>10</v>
      </c>
    </row>
    <row r="688150" spans="1:1" x14ac:dyDescent="0.25">
      <c r="A688150" s="15" t="s">
        <v>11</v>
      </c>
    </row>
    <row r="688151" spans="1:1" x14ac:dyDescent="0.25">
      <c r="A688151" s="15" t="s">
        <v>12</v>
      </c>
    </row>
    <row r="688152" spans="1:1" x14ac:dyDescent="0.25">
      <c r="A688152" s="15" t="s">
        <v>13</v>
      </c>
    </row>
    <row r="688153" spans="1:1" x14ac:dyDescent="0.25">
      <c r="A688153" s="15" t="s">
        <v>14</v>
      </c>
    </row>
    <row r="688154" spans="1:1" x14ac:dyDescent="0.25">
      <c r="A688154" s="13" t="s">
        <v>31</v>
      </c>
    </row>
    <row r="688155" spans="1:1" x14ac:dyDescent="0.25">
      <c r="A688155" s="13" t="s">
        <v>87</v>
      </c>
    </row>
    <row r="688156" spans="1:1" x14ac:dyDescent="0.25">
      <c r="A688156" s="15" t="s">
        <v>30</v>
      </c>
    </row>
    <row r="688157" spans="1:1" x14ac:dyDescent="0.25">
      <c r="A688157" s="15" t="s">
        <v>26</v>
      </c>
    </row>
    <row r="688158" spans="1:1" x14ac:dyDescent="0.25">
      <c r="A688158" s="15" t="s">
        <v>27</v>
      </c>
    </row>
    <row r="688159" spans="1:1" x14ac:dyDescent="0.25">
      <c r="A688159" s="15" t="s">
        <v>28</v>
      </c>
    </row>
    <row r="688160" spans="1:1" x14ac:dyDescent="0.25">
      <c r="A688160" s="15" t="s">
        <v>89</v>
      </c>
    </row>
    <row r="688161" spans="1:1" x14ac:dyDescent="0.25">
      <c r="A688161" s="15" t="s">
        <v>90</v>
      </c>
    </row>
    <row r="688162" spans="1:1" x14ac:dyDescent="0.25">
      <c r="A688162" s="15" t="s">
        <v>185</v>
      </c>
    </row>
    <row r="688163" spans="1:1" x14ac:dyDescent="0.25">
      <c r="A688163" s="15" t="s">
        <v>186</v>
      </c>
    </row>
    <row r="688164" spans="1:1" x14ac:dyDescent="0.25">
      <c r="A688164" s="15" t="s">
        <v>187</v>
      </c>
    </row>
    <row r="688165" spans="1:1" x14ac:dyDescent="0.25">
      <c r="A688165" s="15" t="s">
        <v>188</v>
      </c>
    </row>
    <row r="688166" spans="1:1" x14ac:dyDescent="0.25">
      <c r="A688166" s="15" t="s">
        <v>189</v>
      </c>
    </row>
    <row r="688167" spans="1:1" x14ac:dyDescent="0.25">
      <c r="A688167" s="15" t="s">
        <v>190</v>
      </c>
    </row>
    <row r="688168" spans="1:1" x14ac:dyDescent="0.25">
      <c r="A688168" s="15" t="s">
        <v>191</v>
      </c>
    </row>
    <row r="688169" spans="1:1" x14ac:dyDescent="0.25">
      <c r="A688169" s="14" t="s">
        <v>47</v>
      </c>
    </row>
    <row r="688170" spans="1:1" x14ac:dyDescent="0.25">
      <c r="A688170" s="14" t="s">
        <v>119</v>
      </c>
    </row>
    <row r="688171" spans="1:1" x14ac:dyDescent="0.25">
      <c r="A688171" s="14" t="s">
        <v>86</v>
      </c>
    </row>
    <row r="688172" spans="1:1" x14ac:dyDescent="0.25">
      <c r="A688172" s="13" t="s">
        <v>21</v>
      </c>
    </row>
    <row r="688173" spans="1:1" x14ac:dyDescent="0.25">
      <c r="A688173" s="14" t="s">
        <v>92</v>
      </c>
    </row>
    <row r="688174" spans="1:1" x14ac:dyDescent="0.25">
      <c r="A688174" s="14" t="s">
        <v>93</v>
      </c>
    </row>
    <row r="688175" spans="1:1" x14ac:dyDescent="0.25">
      <c r="A688175" s="14" t="s">
        <v>99</v>
      </c>
    </row>
    <row r="688176" spans="1:1" x14ac:dyDescent="0.25">
      <c r="A688176" s="14" t="s">
        <v>100</v>
      </c>
    </row>
    <row r="688177" spans="1:1" x14ac:dyDescent="0.25">
      <c r="A688177" s="13" t="s">
        <v>24</v>
      </c>
    </row>
    <row r="688178" spans="1:1" x14ac:dyDescent="0.25">
      <c r="A688178" s="13" t="s">
        <v>83</v>
      </c>
    </row>
    <row r="688179" spans="1:1" x14ac:dyDescent="0.25">
      <c r="A688179" s="13" t="s">
        <v>106</v>
      </c>
    </row>
    <row r="688180" spans="1:1" x14ac:dyDescent="0.25">
      <c r="A688180" s="13" t="s">
        <v>101</v>
      </c>
    </row>
    <row r="688181" spans="1:1" x14ac:dyDescent="0.25">
      <c r="A688181" s="13" t="s">
        <v>102</v>
      </c>
    </row>
    <row r="688182" spans="1:1" x14ac:dyDescent="0.25">
      <c r="A688182" s="13" t="s">
        <v>103</v>
      </c>
    </row>
    <row r="688183" spans="1:1" x14ac:dyDescent="0.25">
      <c r="A688183" s="13" t="s">
        <v>104</v>
      </c>
    </row>
    <row r="688184" spans="1:1" x14ac:dyDescent="0.25">
      <c r="A688184" s="13" t="s">
        <v>105</v>
      </c>
    </row>
    <row r="704514" spans="1:1" x14ac:dyDescent="0.25">
      <c r="A704514" s="13" t="s">
        <v>0</v>
      </c>
    </row>
    <row r="704515" spans="1:1" x14ac:dyDescent="0.25">
      <c r="A704515" s="13" t="s">
        <v>125</v>
      </c>
    </row>
    <row r="704516" spans="1:1" x14ac:dyDescent="0.25">
      <c r="A704516" s="13" t="s">
        <v>1</v>
      </c>
    </row>
    <row r="704517" spans="1:1" x14ac:dyDescent="0.25">
      <c r="A704517" s="13" t="s">
        <v>2</v>
      </c>
    </row>
    <row r="704518" spans="1:1" x14ac:dyDescent="0.25">
      <c r="A704518" s="14" t="s">
        <v>25</v>
      </c>
    </row>
    <row r="704519" spans="1:1" x14ac:dyDescent="0.25">
      <c r="A704519" s="13" t="s">
        <v>126</v>
      </c>
    </row>
    <row r="704520" spans="1:1" x14ac:dyDescent="0.25">
      <c r="A704520" s="13" t="s">
        <v>127</v>
      </c>
    </row>
    <row r="704521" spans="1:1" x14ac:dyDescent="0.25">
      <c r="A704521" s="13" t="s">
        <v>88</v>
      </c>
    </row>
    <row r="704522" spans="1:1" x14ac:dyDescent="0.25">
      <c r="A704522" s="13" t="s">
        <v>22</v>
      </c>
    </row>
    <row r="704523" spans="1:1" x14ac:dyDescent="0.25">
      <c r="A704523" s="13" t="s">
        <v>3</v>
      </c>
    </row>
    <row r="704524" spans="1:1" x14ac:dyDescent="0.25">
      <c r="A704524" s="15" t="s">
        <v>95</v>
      </c>
    </row>
    <row r="704525" spans="1:1" x14ac:dyDescent="0.25">
      <c r="A704525" s="15" t="s">
        <v>94</v>
      </c>
    </row>
    <row r="704526" spans="1:1" x14ac:dyDescent="0.25">
      <c r="A704526" s="15" t="s">
        <v>4</v>
      </c>
    </row>
    <row r="704527" spans="1:1" x14ac:dyDescent="0.25">
      <c r="A704527" s="15" t="s">
        <v>118</v>
      </c>
    </row>
    <row r="704528" spans="1:1" x14ac:dyDescent="0.25">
      <c r="A704528" s="15" t="s">
        <v>5</v>
      </c>
    </row>
    <row r="704529" spans="1:1" x14ac:dyDescent="0.25">
      <c r="A704529" s="15" t="s">
        <v>6</v>
      </c>
    </row>
    <row r="704530" spans="1:1" x14ac:dyDescent="0.25">
      <c r="A704530" s="15" t="s">
        <v>7</v>
      </c>
    </row>
    <row r="704531" spans="1:1" x14ac:dyDescent="0.25">
      <c r="A704531" s="15" t="s">
        <v>8</v>
      </c>
    </row>
    <row r="704532" spans="1:1" x14ac:dyDescent="0.25">
      <c r="A704532" s="15" t="s">
        <v>9</v>
      </c>
    </row>
    <row r="704533" spans="1:1" x14ac:dyDescent="0.25">
      <c r="A704533" s="15" t="s">
        <v>10</v>
      </c>
    </row>
    <row r="704534" spans="1:1" x14ac:dyDescent="0.25">
      <c r="A704534" s="15" t="s">
        <v>11</v>
      </c>
    </row>
    <row r="704535" spans="1:1" x14ac:dyDescent="0.25">
      <c r="A704535" s="15" t="s">
        <v>12</v>
      </c>
    </row>
    <row r="704536" spans="1:1" x14ac:dyDescent="0.25">
      <c r="A704536" s="15" t="s">
        <v>13</v>
      </c>
    </row>
    <row r="704537" spans="1:1" x14ac:dyDescent="0.25">
      <c r="A704537" s="15" t="s">
        <v>14</v>
      </c>
    </row>
    <row r="704538" spans="1:1" x14ac:dyDescent="0.25">
      <c r="A704538" s="13" t="s">
        <v>31</v>
      </c>
    </row>
    <row r="704539" spans="1:1" x14ac:dyDescent="0.25">
      <c r="A704539" s="13" t="s">
        <v>87</v>
      </c>
    </row>
    <row r="704540" spans="1:1" x14ac:dyDescent="0.25">
      <c r="A704540" s="15" t="s">
        <v>30</v>
      </c>
    </row>
    <row r="704541" spans="1:1" x14ac:dyDescent="0.25">
      <c r="A704541" s="15" t="s">
        <v>26</v>
      </c>
    </row>
    <row r="704542" spans="1:1" x14ac:dyDescent="0.25">
      <c r="A704542" s="15" t="s">
        <v>27</v>
      </c>
    </row>
    <row r="704543" spans="1:1" x14ac:dyDescent="0.25">
      <c r="A704543" s="15" t="s">
        <v>28</v>
      </c>
    </row>
    <row r="704544" spans="1:1" x14ac:dyDescent="0.25">
      <c r="A704544" s="15" t="s">
        <v>89</v>
      </c>
    </row>
    <row r="704545" spans="1:1" x14ac:dyDescent="0.25">
      <c r="A704545" s="15" t="s">
        <v>90</v>
      </c>
    </row>
    <row r="704546" spans="1:1" x14ac:dyDescent="0.25">
      <c r="A704546" s="15" t="s">
        <v>185</v>
      </c>
    </row>
    <row r="704547" spans="1:1" x14ac:dyDescent="0.25">
      <c r="A704547" s="15" t="s">
        <v>186</v>
      </c>
    </row>
    <row r="704548" spans="1:1" x14ac:dyDescent="0.25">
      <c r="A704548" s="15" t="s">
        <v>187</v>
      </c>
    </row>
    <row r="704549" spans="1:1" x14ac:dyDescent="0.25">
      <c r="A704549" s="15" t="s">
        <v>188</v>
      </c>
    </row>
    <row r="704550" spans="1:1" x14ac:dyDescent="0.25">
      <c r="A704550" s="15" t="s">
        <v>189</v>
      </c>
    </row>
    <row r="704551" spans="1:1" x14ac:dyDescent="0.25">
      <c r="A704551" s="15" t="s">
        <v>190</v>
      </c>
    </row>
    <row r="704552" spans="1:1" x14ac:dyDescent="0.25">
      <c r="A704552" s="15" t="s">
        <v>191</v>
      </c>
    </row>
    <row r="704553" spans="1:1" x14ac:dyDescent="0.25">
      <c r="A704553" s="14" t="s">
        <v>47</v>
      </c>
    </row>
    <row r="704554" spans="1:1" x14ac:dyDescent="0.25">
      <c r="A704554" s="14" t="s">
        <v>119</v>
      </c>
    </row>
    <row r="704555" spans="1:1" x14ac:dyDescent="0.25">
      <c r="A704555" s="14" t="s">
        <v>86</v>
      </c>
    </row>
    <row r="704556" spans="1:1" x14ac:dyDescent="0.25">
      <c r="A704556" s="13" t="s">
        <v>21</v>
      </c>
    </row>
    <row r="704557" spans="1:1" x14ac:dyDescent="0.25">
      <c r="A704557" s="14" t="s">
        <v>92</v>
      </c>
    </row>
    <row r="704558" spans="1:1" x14ac:dyDescent="0.25">
      <c r="A704558" s="14" t="s">
        <v>93</v>
      </c>
    </row>
    <row r="704559" spans="1:1" x14ac:dyDescent="0.25">
      <c r="A704559" s="14" t="s">
        <v>99</v>
      </c>
    </row>
    <row r="704560" spans="1:1" x14ac:dyDescent="0.25">
      <c r="A704560" s="14" t="s">
        <v>100</v>
      </c>
    </row>
    <row r="704561" spans="1:1" x14ac:dyDescent="0.25">
      <c r="A704561" s="13" t="s">
        <v>24</v>
      </c>
    </row>
    <row r="704562" spans="1:1" x14ac:dyDescent="0.25">
      <c r="A704562" s="13" t="s">
        <v>83</v>
      </c>
    </row>
    <row r="704563" spans="1:1" x14ac:dyDescent="0.25">
      <c r="A704563" s="13" t="s">
        <v>106</v>
      </c>
    </row>
    <row r="704564" spans="1:1" x14ac:dyDescent="0.25">
      <c r="A704564" s="13" t="s">
        <v>101</v>
      </c>
    </row>
    <row r="704565" spans="1:1" x14ac:dyDescent="0.25">
      <c r="A704565" s="13" t="s">
        <v>102</v>
      </c>
    </row>
    <row r="704566" spans="1:1" x14ac:dyDescent="0.25">
      <c r="A704566" s="13" t="s">
        <v>103</v>
      </c>
    </row>
    <row r="704567" spans="1:1" x14ac:dyDescent="0.25">
      <c r="A704567" s="13" t="s">
        <v>104</v>
      </c>
    </row>
    <row r="704568" spans="1:1" x14ac:dyDescent="0.25">
      <c r="A704568" s="13" t="s">
        <v>105</v>
      </c>
    </row>
    <row r="720898" spans="1:1" x14ac:dyDescent="0.25">
      <c r="A720898" s="13" t="s">
        <v>0</v>
      </c>
    </row>
    <row r="720899" spans="1:1" x14ac:dyDescent="0.25">
      <c r="A720899" s="13" t="s">
        <v>125</v>
      </c>
    </row>
    <row r="720900" spans="1:1" x14ac:dyDescent="0.25">
      <c r="A720900" s="13" t="s">
        <v>1</v>
      </c>
    </row>
    <row r="720901" spans="1:1" x14ac:dyDescent="0.25">
      <c r="A720901" s="13" t="s">
        <v>2</v>
      </c>
    </row>
    <row r="720902" spans="1:1" x14ac:dyDescent="0.25">
      <c r="A720902" s="14" t="s">
        <v>25</v>
      </c>
    </row>
    <row r="720903" spans="1:1" x14ac:dyDescent="0.25">
      <c r="A720903" s="13" t="s">
        <v>126</v>
      </c>
    </row>
    <row r="720904" spans="1:1" x14ac:dyDescent="0.25">
      <c r="A720904" s="13" t="s">
        <v>127</v>
      </c>
    </row>
    <row r="720905" spans="1:1" x14ac:dyDescent="0.25">
      <c r="A720905" s="13" t="s">
        <v>88</v>
      </c>
    </row>
    <row r="720906" spans="1:1" x14ac:dyDescent="0.25">
      <c r="A720906" s="13" t="s">
        <v>22</v>
      </c>
    </row>
    <row r="720907" spans="1:1" x14ac:dyDescent="0.25">
      <c r="A720907" s="13" t="s">
        <v>3</v>
      </c>
    </row>
    <row r="720908" spans="1:1" x14ac:dyDescent="0.25">
      <c r="A720908" s="15" t="s">
        <v>95</v>
      </c>
    </row>
    <row r="720909" spans="1:1" x14ac:dyDescent="0.25">
      <c r="A720909" s="15" t="s">
        <v>94</v>
      </c>
    </row>
    <row r="720910" spans="1:1" x14ac:dyDescent="0.25">
      <c r="A720910" s="15" t="s">
        <v>4</v>
      </c>
    </row>
    <row r="720911" spans="1:1" x14ac:dyDescent="0.25">
      <c r="A720911" s="15" t="s">
        <v>118</v>
      </c>
    </row>
    <row r="720912" spans="1:1" x14ac:dyDescent="0.25">
      <c r="A720912" s="15" t="s">
        <v>5</v>
      </c>
    </row>
    <row r="720913" spans="1:1" x14ac:dyDescent="0.25">
      <c r="A720913" s="15" t="s">
        <v>6</v>
      </c>
    </row>
    <row r="720914" spans="1:1" x14ac:dyDescent="0.25">
      <c r="A720914" s="15" t="s">
        <v>7</v>
      </c>
    </row>
    <row r="720915" spans="1:1" x14ac:dyDescent="0.25">
      <c r="A720915" s="15" t="s">
        <v>8</v>
      </c>
    </row>
    <row r="720916" spans="1:1" x14ac:dyDescent="0.25">
      <c r="A720916" s="15" t="s">
        <v>9</v>
      </c>
    </row>
    <row r="720917" spans="1:1" x14ac:dyDescent="0.25">
      <c r="A720917" s="15" t="s">
        <v>10</v>
      </c>
    </row>
    <row r="720918" spans="1:1" x14ac:dyDescent="0.25">
      <c r="A720918" s="15" t="s">
        <v>11</v>
      </c>
    </row>
    <row r="720919" spans="1:1" x14ac:dyDescent="0.25">
      <c r="A720919" s="15" t="s">
        <v>12</v>
      </c>
    </row>
    <row r="720920" spans="1:1" x14ac:dyDescent="0.25">
      <c r="A720920" s="15" t="s">
        <v>13</v>
      </c>
    </row>
    <row r="720921" spans="1:1" x14ac:dyDescent="0.25">
      <c r="A720921" s="15" t="s">
        <v>14</v>
      </c>
    </row>
    <row r="720922" spans="1:1" x14ac:dyDescent="0.25">
      <c r="A720922" s="13" t="s">
        <v>31</v>
      </c>
    </row>
    <row r="720923" spans="1:1" x14ac:dyDescent="0.25">
      <c r="A720923" s="13" t="s">
        <v>87</v>
      </c>
    </row>
    <row r="720924" spans="1:1" x14ac:dyDescent="0.25">
      <c r="A720924" s="15" t="s">
        <v>30</v>
      </c>
    </row>
    <row r="720925" spans="1:1" x14ac:dyDescent="0.25">
      <c r="A720925" s="15" t="s">
        <v>26</v>
      </c>
    </row>
    <row r="720926" spans="1:1" x14ac:dyDescent="0.25">
      <c r="A720926" s="15" t="s">
        <v>27</v>
      </c>
    </row>
    <row r="720927" spans="1:1" x14ac:dyDescent="0.25">
      <c r="A720927" s="15" t="s">
        <v>28</v>
      </c>
    </row>
    <row r="720928" spans="1:1" x14ac:dyDescent="0.25">
      <c r="A720928" s="15" t="s">
        <v>89</v>
      </c>
    </row>
    <row r="720929" spans="1:1" x14ac:dyDescent="0.25">
      <c r="A720929" s="15" t="s">
        <v>90</v>
      </c>
    </row>
    <row r="720930" spans="1:1" x14ac:dyDescent="0.25">
      <c r="A720930" s="15" t="s">
        <v>185</v>
      </c>
    </row>
    <row r="720931" spans="1:1" x14ac:dyDescent="0.25">
      <c r="A720931" s="15" t="s">
        <v>186</v>
      </c>
    </row>
    <row r="720932" spans="1:1" x14ac:dyDescent="0.25">
      <c r="A720932" s="15" t="s">
        <v>187</v>
      </c>
    </row>
    <row r="720933" spans="1:1" x14ac:dyDescent="0.25">
      <c r="A720933" s="15" t="s">
        <v>188</v>
      </c>
    </row>
    <row r="720934" spans="1:1" x14ac:dyDescent="0.25">
      <c r="A720934" s="15" t="s">
        <v>189</v>
      </c>
    </row>
    <row r="720935" spans="1:1" x14ac:dyDescent="0.25">
      <c r="A720935" s="15" t="s">
        <v>190</v>
      </c>
    </row>
    <row r="720936" spans="1:1" x14ac:dyDescent="0.25">
      <c r="A720936" s="15" t="s">
        <v>191</v>
      </c>
    </row>
    <row r="720937" spans="1:1" x14ac:dyDescent="0.25">
      <c r="A720937" s="14" t="s">
        <v>47</v>
      </c>
    </row>
    <row r="720938" spans="1:1" x14ac:dyDescent="0.25">
      <c r="A720938" s="14" t="s">
        <v>119</v>
      </c>
    </row>
    <row r="720939" spans="1:1" x14ac:dyDescent="0.25">
      <c r="A720939" s="14" t="s">
        <v>86</v>
      </c>
    </row>
    <row r="720940" spans="1:1" x14ac:dyDescent="0.25">
      <c r="A720940" s="13" t="s">
        <v>21</v>
      </c>
    </row>
    <row r="720941" spans="1:1" x14ac:dyDescent="0.25">
      <c r="A720941" s="14" t="s">
        <v>92</v>
      </c>
    </row>
    <row r="720942" spans="1:1" x14ac:dyDescent="0.25">
      <c r="A720942" s="14" t="s">
        <v>93</v>
      </c>
    </row>
    <row r="720943" spans="1:1" x14ac:dyDescent="0.25">
      <c r="A720943" s="14" t="s">
        <v>99</v>
      </c>
    </row>
    <row r="720944" spans="1:1" x14ac:dyDescent="0.25">
      <c r="A720944" s="14" t="s">
        <v>100</v>
      </c>
    </row>
    <row r="720945" spans="1:1" x14ac:dyDescent="0.25">
      <c r="A720945" s="13" t="s">
        <v>24</v>
      </c>
    </row>
    <row r="720946" spans="1:1" x14ac:dyDescent="0.25">
      <c r="A720946" s="13" t="s">
        <v>83</v>
      </c>
    </row>
    <row r="720947" spans="1:1" x14ac:dyDescent="0.25">
      <c r="A720947" s="13" t="s">
        <v>106</v>
      </c>
    </row>
    <row r="720948" spans="1:1" x14ac:dyDescent="0.25">
      <c r="A720948" s="13" t="s">
        <v>101</v>
      </c>
    </row>
    <row r="720949" spans="1:1" x14ac:dyDescent="0.25">
      <c r="A720949" s="13" t="s">
        <v>102</v>
      </c>
    </row>
    <row r="720950" spans="1:1" x14ac:dyDescent="0.25">
      <c r="A720950" s="13" t="s">
        <v>103</v>
      </c>
    </row>
    <row r="720951" spans="1:1" x14ac:dyDescent="0.25">
      <c r="A720951" s="13" t="s">
        <v>104</v>
      </c>
    </row>
    <row r="720952" spans="1:1" x14ac:dyDescent="0.25">
      <c r="A720952" s="13" t="s">
        <v>105</v>
      </c>
    </row>
    <row r="737282" spans="1:1" x14ac:dyDescent="0.25">
      <c r="A737282" s="13" t="s">
        <v>0</v>
      </c>
    </row>
    <row r="737283" spans="1:1" x14ac:dyDescent="0.25">
      <c r="A737283" s="13" t="s">
        <v>125</v>
      </c>
    </row>
    <row r="737284" spans="1:1" x14ac:dyDescent="0.25">
      <c r="A737284" s="13" t="s">
        <v>1</v>
      </c>
    </row>
    <row r="737285" spans="1:1" x14ac:dyDescent="0.25">
      <c r="A737285" s="13" t="s">
        <v>2</v>
      </c>
    </row>
    <row r="737286" spans="1:1" x14ac:dyDescent="0.25">
      <c r="A737286" s="14" t="s">
        <v>25</v>
      </c>
    </row>
    <row r="737287" spans="1:1" x14ac:dyDescent="0.25">
      <c r="A737287" s="13" t="s">
        <v>126</v>
      </c>
    </row>
    <row r="737288" spans="1:1" x14ac:dyDescent="0.25">
      <c r="A737288" s="13" t="s">
        <v>127</v>
      </c>
    </row>
    <row r="737289" spans="1:1" x14ac:dyDescent="0.25">
      <c r="A737289" s="13" t="s">
        <v>88</v>
      </c>
    </row>
    <row r="737290" spans="1:1" x14ac:dyDescent="0.25">
      <c r="A737290" s="13" t="s">
        <v>22</v>
      </c>
    </row>
    <row r="737291" spans="1:1" x14ac:dyDescent="0.25">
      <c r="A737291" s="13" t="s">
        <v>3</v>
      </c>
    </row>
    <row r="737292" spans="1:1" x14ac:dyDescent="0.25">
      <c r="A737292" s="15" t="s">
        <v>95</v>
      </c>
    </row>
    <row r="737293" spans="1:1" x14ac:dyDescent="0.25">
      <c r="A737293" s="15" t="s">
        <v>94</v>
      </c>
    </row>
    <row r="737294" spans="1:1" x14ac:dyDescent="0.25">
      <c r="A737294" s="15" t="s">
        <v>4</v>
      </c>
    </row>
    <row r="737295" spans="1:1" x14ac:dyDescent="0.25">
      <c r="A737295" s="15" t="s">
        <v>118</v>
      </c>
    </row>
    <row r="737296" spans="1:1" x14ac:dyDescent="0.25">
      <c r="A737296" s="15" t="s">
        <v>5</v>
      </c>
    </row>
    <row r="737297" spans="1:1" x14ac:dyDescent="0.25">
      <c r="A737297" s="15" t="s">
        <v>6</v>
      </c>
    </row>
    <row r="737298" spans="1:1" x14ac:dyDescent="0.25">
      <c r="A737298" s="15" t="s">
        <v>7</v>
      </c>
    </row>
    <row r="737299" spans="1:1" x14ac:dyDescent="0.25">
      <c r="A737299" s="15" t="s">
        <v>8</v>
      </c>
    </row>
    <row r="737300" spans="1:1" x14ac:dyDescent="0.25">
      <c r="A737300" s="15" t="s">
        <v>9</v>
      </c>
    </row>
    <row r="737301" spans="1:1" x14ac:dyDescent="0.25">
      <c r="A737301" s="15" t="s">
        <v>10</v>
      </c>
    </row>
    <row r="737302" spans="1:1" x14ac:dyDescent="0.25">
      <c r="A737302" s="15" t="s">
        <v>11</v>
      </c>
    </row>
    <row r="737303" spans="1:1" x14ac:dyDescent="0.25">
      <c r="A737303" s="15" t="s">
        <v>12</v>
      </c>
    </row>
    <row r="737304" spans="1:1" x14ac:dyDescent="0.25">
      <c r="A737304" s="15" t="s">
        <v>13</v>
      </c>
    </row>
    <row r="737305" spans="1:1" x14ac:dyDescent="0.25">
      <c r="A737305" s="15" t="s">
        <v>14</v>
      </c>
    </row>
    <row r="737306" spans="1:1" x14ac:dyDescent="0.25">
      <c r="A737306" s="13" t="s">
        <v>31</v>
      </c>
    </row>
    <row r="737307" spans="1:1" x14ac:dyDescent="0.25">
      <c r="A737307" s="13" t="s">
        <v>87</v>
      </c>
    </row>
    <row r="737308" spans="1:1" x14ac:dyDescent="0.25">
      <c r="A737308" s="15" t="s">
        <v>30</v>
      </c>
    </row>
    <row r="737309" spans="1:1" x14ac:dyDescent="0.25">
      <c r="A737309" s="15" t="s">
        <v>26</v>
      </c>
    </row>
    <row r="737310" spans="1:1" x14ac:dyDescent="0.25">
      <c r="A737310" s="15" t="s">
        <v>27</v>
      </c>
    </row>
    <row r="737311" spans="1:1" x14ac:dyDescent="0.25">
      <c r="A737311" s="15" t="s">
        <v>28</v>
      </c>
    </row>
    <row r="737312" spans="1:1" x14ac:dyDescent="0.25">
      <c r="A737312" s="15" t="s">
        <v>89</v>
      </c>
    </row>
    <row r="737313" spans="1:1" x14ac:dyDescent="0.25">
      <c r="A737313" s="15" t="s">
        <v>90</v>
      </c>
    </row>
    <row r="737314" spans="1:1" x14ac:dyDescent="0.25">
      <c r="A737314" s="15" t="s">
        <v>185</v>
      </c>
    </row>
    <row r="737315" spans="1:1" x14ac:dyDescent="0.25">
      <c r="A737315" s="15" t="s">
        <v>186</v>
      </c>
    </row>
    <row r="737316" spans="1:1" x14ac:dyDescent="0.25">
      <c r="A737316" s="15" t="s">
        <v>187</v>
      </c>
    </row>
    <row r="737317" spans="1:1" x14ac:dyDescent="0.25">
      <c r="A737317" s="15" t="s">
        <v>188</v>
      </c>
    </row>
    <row r="737318" spans="1:1" x14ac:dyDescent="0.25">
      <c r="A737318" s="15" t="s">
        <v>189</v>
      </c>
    </row>
    <row r="737319" spans="1:1" x14ac:dyDescent="0.25">
      <c r="A737319" s="15" t="s">
        <v>190</v>
      </c>
    </row>
    <row r="737320" spans="1:1" x14ac:dyDescent="0.25">
      <c r="A737320" s="15" t="s">
        <v>191</v>
      </c>
    </row>
    <row r="737321" spans="1:1" x14ac:dyDescent="0.25">
      <c r="A737321" s="14" t="s">
        <v>47</v>
      </c>
    </row>
    <row r="737322" spans="1:1" x14ac:dyDescent="0.25">
      <c r="A737322" s="14" t="s">
        <v>119</v>
      </c>
    </row>
    <row r="737323" spans="1:1" x14ac:dyDescent="0.25">
      <c r="A737323" s="14" t="s">
        <v>86</v>
      </c>
    </row>
    <row r="737324" spans="1:1" x14ac:dyDescent="0.25">
      <c r="A737324" s="13" t="s">
        <v>21</v>
      </c>
    </row>
    <row r="737325" spans="1:1" x14ac:dyDescent="0.25">
      <c r="A737325" s="14" t="s">
        <v>92</v>
      </c>
    </row>
    <row r="737326" spans="1:1" x14ac:dyDescent="0.25">
      <c r="A737326" s="14" t="s">
        <v>93</v>
      </c>
    </row>
    <row r="737327" spans="1:1" x14ac:dyDescent="0.25">
      <c r="A737327" s="14" t="s">
        <v>99</v>
      </c>
    </row>
    <row r="737328" spans="1:1" x14ac:dyDescent="0.25">
      <c r="A737328" s="14" t="s">
        <v>100</v>
      </c>
    </row>
    <row r="737329" spans="1:1" x14ac:dyDescent="0.25">
      <c r="A737329" s="13" t="s">
        <v>24</v>
      </c>
    </row>
    <row r="737330" spans="1:1" x14ac:dyDescent="0.25">
      <c r="A737330" s="13" t="s">
        <v>83</v>
      </c>
    </row>
    <row r="737331" spans="1:1" x14ac:dyDescent="0.25">
      <c r="A737331" s="13" t="s">
        <v>106</v>
      </c>
    </row>
    <row r="737332" spans="1:1" x14ac:dyDescent="0.25">
      <c r="A737332" s="13" t="s">
        <v>101</v>
      </c>
    </row>
    <row r="737333" spans="1:1" x14ac:dyDescent="0.25">
      <c r="A737333" s="13" t="s">
        <v>102</v>
      </c>
    </row>
    <row r="737334" spans="1:1" x14ac:dyDescent="0.25">
      <c r="A737334" s="13" t="s">
        <v>103</v>
      </c>
    </row>
    <row r="737335" spans="1:1" x14ac:dyDescent="0.25">
      <c r="A737335" s="13" t="s">
        <v>104</v>
      </c>
    </row>
    <row r="737336" spans="1:1" x14ac:dyDescent="0.25">
      <c r="A737336" s="13" t="s">
        <v>105</v>
      </c>
    </row>
    <row r="753666" spans="1:1" x14ac:dyDescent="0.25">
      <c r="A753666" s="13" t="s">
        <v>0</v>
      </c>
    </row>
    <row r="753667" spans="1:1" x14ac:dyDescent="0.25">
      <c r="A753667" s="13" t="s">
        <v>125</v>
      </c>
    </row>
    <row r="753668" spans="1:1" x14ac:dyDescent="0.25">
      <c r="A753668" s="13" t="s">
        <v>1</v>
      </c>
    </row>
    <row r="753669" spans="1:1" x14ac:dyDescent="0.25">
      <c r="A753669" s="13" t="s">
        <v>2</v>
      </c>
    </row>
    <row r="753670" spans="1:1" x14ac:dyDescent="0.25">
      <c r="A753670" s="14" t="s">
        <v>25</v>
      </c>
    </row>
    <row r="753671" spans="1:1" x14ac:dyDescent="0.25">
      <c r="A753671" s="13" t="s">
        <v>126</v>
      </c>
    </row>
    <row r="753672" spans="1:1" x14ac:dyDescent="0.25">
      <c r="A753672" s="13" t="s">
        <v>127</v>
      </c>
    </row>
    <row r="753673" spans="1:1" x14ac:dyDescent="0.25">
      <c r="A753673" s="13" t="s">
        <v>88</v>
      </c>
    </row>
    <row r="753674" spans="1:1" x14ac:dyDescent="0.25">
      <c r="A753674" s="13" t="s">
        <v>22</v>
      </c>
    </row>
    <row r="753675" spans="1:1" x14ac:dyDescent="0.25">
      <c r="A753675" s="13" t="s">
        <v>3</v>
      </c>
    </row>
    <row r="753676" spans="1:1" x14ac:dyDescent="0.25">
      <c r="A753676" s="15" t="s">
        <v>95</v>
      </c>
    </row>
    <row r="753677" spans="1:1" x14ac:dyDescent="0.25">
      <c r="A753677" s="15" t="s">
        <v>94</v>
      </c>
    </row>
    <row r="753678" spans="1:1" x14ac:dyDescent="0.25">
      <c r="A753678" s="15" t="s">
        <v>4</v>
      </c>
    </row>
    <row r="753679" spans="1:1" x14ac:dyDescent="0.25">
      <c r="A753679" s="15" t="s">
        <v>118</v>
      </c>
    </row>
    <row r="753680" spans="1:1" x14ac:dyDescent="0.25">
      <c r="A753680" s="15" t="s">
        <v>5</v>
      </c>
    </row>
    <row r="753681" spans="1:1" x14ac:dyDescent="0.25">
      <c r="A753681" s="15" t="s">
        <v>6</v>
      </c>
    </row>
    <row r="753682" spans="1:1" x14ac:dyDescent="0.25">
      <c r="A753682" s="15" t="s">
        <v>7</v>
      </c>
    </row>
    <row r="753683" spans="1:1" x14ac:dyDescent="0.25">
      <c r="A753683" s="15" t="s">
        <v>8</v>
      </c>
    </row>
    <row r="753684" spans="1:1" x14ac:dyDescent="0.25">
      <c r="A753684" s="15" t="s">
        <v>9</v>
      </c>
    </row>
    <row r="753685" spans="1:1" x14ac:dyDescent="0.25">
      <c r="A753685" s="15" t="s">
        <v>10</v>
      </c>
    </row>
    <row r="753686" spans="1:1" x14ac:dyDescent="0.25">
      <c r="A753686" s="15" t="s">
        <v>11</v>
      </c>
    </row>
    <row r="753687" spans="1:1" x14ac:dyDescent="0.25">
      <c r="A753687" s="15" t="s">
        <v>12</v>
      </c>
    </row>
    <row r="753688" spans="1:1" x14ac:dyDescent="0.25">
      <c r="A753688" s="15" t="s">
        <v>13</v>
      </c>
    </row>
    <row r="753689" spans="1:1" x14ac:dyDescent="0.25">
      <c r="A753689" s="15" t="s">
        <v>14</v>
      </c>
    </row>
    <row r="753690" spans="1:1" x14ac:dyDescent="0.25">
      <c r="A753690" s="13" t="s">
        <v>31</v>
      </c>
    </row>
    <row r="753691" spans="1:1" x14ac:dyDescent="0.25">
      <c r="A753691" s="13" t="s">
        <v>87</v>
      </c>
    </row>
    <row r="753692" spans="1:1" x14ac:dyDescent="0.25">
      <c r="A753692" s="15" t="s">
        <v>30</v>
      </c>
    </row>
    <row r="753693" spans="1:1" x14ac:dyDescent="0.25">
      <c r="A753693" s="15" t="s">
        <v>26</v>
      </c>
    </row>
    <row r="753694" spans="1:1" x14ac:dyDescent="0.25">
      <c r="A753694" s="15" t="s">
        <v>27</v>
      </c>
    </row>
    <row r="753695" spans="1:1" x14ac:dyDescent="0.25">
      <c r="A753695" s="15" t="s">
        <v>28</v>
      </c>
    </row>
    <row r="753696" spans="1:1" x14ac:dyDescent="0.25">
      <c r="A753696" s="15" t="s">
        <v>89</v>
      </c>
    </row>
    <row r="753697" spans="1:1" x14ac:dyDescent="0.25">
      <c r="A753697" s="15" t="s">
        <v>90</v>
      </c>
    </row>
    <row r="753698" spans="1:1" x14ac:dyDescent="0.25">
      <c r="A753698" s="15" t="s">
        <v>185</v>
      </c>
    </row>
    <row r="753699" spans="1:1" x14ac:dyDescent="0.25">
      <c r="A753699" s="15" t="s">
        <v>186</v>
      </c>
    </row>
    <row r="753700" spans="1:1" x14ac:dyDescent="0.25">
      <c r="A753700" s="15" t="s">
        <v>187</v>
      </c>
    </row>
    <row r="753701" spans="1:1" x14ac:dyDescent="0.25">
      <c r="A753701" s="15" t="s">
        <v>188</v>
      </c>
    </row>
    <row r="753702" spans="1:1" x14ac:dyDescent="0.25">
      <c r="A753702" s="15" t="s">
        <v>189</v>
      </c>
    </row>
    <row r="753703" spans="1:1" x14ac:dyDescent="0.25">
      <c r="A753703" s="15" t="s">
        <v>190</v>
      </c>
    </row>
    <row r="753704" spans="1:1" x14ac:dyDescent="0.25">
      <c r="A753704" s="15" t="s">
        <v>191</v>
      </c>
    </row>
    <row r="753705" spans="1:1" x14ac:dyDescent="0.25">
      <c r="A753705" s="14" t="s">
        <v>47</v>
      </c>
    </row>
    <row r="753706" spans="1:1" x14ac:dyDescent="0.25">
      <c r="A753706" s="14" t="s">
        <v>119</v>
      </c>
    </row>
    <row r="753707" spans="1:1" x14ac:dyDescent="0.25">
      <c r="A753707" s="14" t="s">
        <v>86</v>
      </c>
    </row>
    <row r="753708" spans="1:1" x14ac:dyDescent="0.25">
      <c r="A753708" s="13" t="s">
        <v>21</v>
      </c>
    </row>
    <row r="753709" spans="1:1" x14ac:dyDescent="0.25">
      <c r="A753709" s="14" t="s">
        <v>92</v>
      </c>
    </row>
    <row r="753710" spans="1:1" x14ac:dyDescent="0.25">
      <c r="A753710" s="14" t="s">
        <v>93</v>
      </c>
    </row>
    <row r="753711" spans="1:1" x14ac:dyDescent="0.25">
      <c r="A753711" s="14" t="s">
        <v>99</v>
      </c>
    </row>
    <row r="753712" spans="1:1" x14ac:dyDescent="0.25">
      <c r="A753712" s="14" t="s">
        <v>100</v>
      </c>
    </row>
    <row r="753713" spans="1:1" x14ac:dyDescent="0.25">
      <c r="A753713" s="13" t="s">
        <v>24</v>
      </c>
    </row>
    <row r="753714" spans="1:1" x14ac:dyDescent="0.25">
      <c r="A753714" s="13" t="s">
        <v>83</v>
      </c>
    </row>
    <row r="753715" spans="1:1" x14ac:dyDescent="0.25">
      <c r="A753715" s="13" t="s">
        <v>106</v>
      </c>
    </row>
    <row r="753716" spans="1:1" x14ac:dyDescent="0.25">
      <c r="A753716" s="13" t="s">
        <v>101</v>
      </c>
    </row>
    <row r="753717" spans="1:1" x14ac:dyDescent="0.25">
      <c r="A753717" s="13" t="s">
        <v>102</v>
      </c>
    </row>
    <row r="753718" spans="1:1" x14ac:dyDescent="0.25">
      <c r="A753718" s="13" t="s">
        <v>103</v>
      </c>
    </row>
    <row r="753719" spans="1:1" x14ac:dyDescent="0.25">
      <c r="A753719" s="13" t="s">
        <v>104</v>
      </c>
    </row>
    <row r="753720" spans="1:1" x14ac:dyDescent="0.25">
      <c r="A753720" s="13" t="s">
        <v>105</v>
      </c>
    </row>
    <row r="770050" spans="1:1" x14ac:dyDescent="0.25">
      <c r="A770050" s="13" t="s">
        <v>0</v>
      </c>
    </row>
    <row r="770051" spans="1:1" x14ac:dyDescent="0.25">
      <c r="A770051" s="13" t="s">
        <v>125</v>
      </c>
    </row>
    <row r="770052" spans="1:1" x14ac:dyDescent="0.25">
      <c r="A770052" s="13" t="s">
        <v>1</v>
      </c>
    </row>
    <row r="770053" spans="1:1" x14ac:dyDescent="0.25">
      <c r="A770053" s="13" t="s">
        <v>2</v>
      </c>
    </row>
    <row r="770054" spans="1:1" x14ac:dyDescent="0.25">
      <c r="A770054" s="14" t="s">
        <v>25</v>
      </c>
    </row>
    <row r="770055" spans="1:1" x14ac:dyDescent="0.25">
      <c r="A770055" s="13" t="s">
        <v>126</v>
      </c>
    </row>
    <row r="770056" spans="1:1" x14ac:dyDescent="0.25">
      <c r="A770056" s="13" t="s">
        <v>127</v>
      </c>
    </row>
    <row r="770057" spans="1:1" x14ac:dyDescent="0.25">
      <c r="A770057" s="13" t="s">
        <v>88</v>
      </c>
    </row>
    <row r="770058" spans="1:1" x14ac:dyDescent="0.25">
      <c r="A770058" s="13" t="s">
        <v>22</v>
      </c>
    </row>
    <row r="770059" spans="1:1" x14ac:dyDescent="0.25">
      <c r="A770059" s="13" t="s">
        <v>3</v>
      </c>
    </row>
    <row r="770060" spans="1:1" x14ac:dyDescent="0.25">
      <c r="A770060" s="15" t="s">
        <v>95</v>
      </c>
    </row>
    <row r="770061" spans="1:1" x14ac:dyDescent="0.25">
      <c r="A770061" s="15" t="s">
        <v>94</v>
      </c>
    </row>
    <row r="770062" spans="1:1" x14ac:dyDescent="0.25">
      <c r="A770062" s="15" t="s">
        <v>4</v>
      </c>
    </row>
    <row r="770063" spans="1:1" x14ac:dyDescent="0.25">
      <c r="A770063" s="15" t="s">
        <v>118</v>
      </c>
    </row>
    <row r="770064" spans="1:1" x14ac:dyDescent="0.25">
      <c r="A770064" s="15" t="s">
        <v>5</v>
      </c>
    </row>
    <row r="770065" spans="1:1" x14ac:dyDescent="0.25">
      <c r="A770065" s="15" t="s">
        <v>6</v>
      </c>
    </row>
    <row r="770066" spans="1:1" x14ac:dyDescent="0.25">
      <c r="A770066" s="15" t="s">
        <v>7</v>
      </c>
    </row>
    <row r="770067" spans="1:1" x14ac:dyDescent="0.25">
      <c r="A770067" s="15" t="s">
        <v>8</v>
      </c>
    </row>
    <row r="770068" spans="1:1" x14ac:dyDescent="0.25">
      <c r="A770068" s="15" t="s">
        <v>9</v>
      </c>
    </row>
    <row r="770069" spans="1:1" x14ac:dyDescent="0.25">
      <c r="A770069" s="15" t="s">
        <v>10</v>
      </c>
    </row>
    <row r="770070" spans="1:1" x14ac:dyDescent="0.25">
      <c r="A770070" s="15" t="s">
        <v>11</v>
      </c>
    </row>
    <row r="770071" spans="1:1" x14ac:dyDescent="0.25">
      <c r="A770071" s="15" t="s">
        <v>12</v>
      </c>
    </row>
    <row r="770072" spans="1:1" x14ac:dyDescent="0.25">
      <c r="A770072" s="15" t="s">
        <v>13</v>
      </c>
    </row>
    <row r="770073" spans="1:1" x14ac:dyDescent="0.25">
      <c r="A770073" s="15" t="s">
        <v>14</v>
      </c>
    </row>
    <row r="770074" spans="1:1" x14ac:dyDescent="0.25">
      <c r="A770074" s="13" t="s">
        <v>31</v>
      </c>
    </row>
    <row r="770075" spans="1:1" x14ac:dyDescent="0.25">
      <c r="A770075" s="13" t="s">
        <v>87</v>
      </c>
    </row>
    <row r="770076" spans="1:1" x14ac:dyDescent="0.25">
      <c r="A770076" s="15" t="s">
        <v>30</v>
      </c>
    </row>
    <row r="770077" spans="1:1" x14ac:dyDescent="0.25">
      <c r="A770077" s="15" t="s">
        <v>26</v>
      </c>
    </row>
    <row r="770078" spans="1:1" x14ac:dyDescent="0.25">
      <c r="A770078" s="15" t="s">
        <v>27</v>
      </c>
    </row>
    <row r="770079" spans="1:1" x14ac:dyDescent="0.25">
      <c r="A770079" s="15" t="s">
        <v>28</v>
      </c>
    </row>
    <row r="770080" spans="1:1" x14ac:dyDescent="0.25">
      <c r="A770080" s="15" t="s">
        <v>89</v>
      </c>
    </row>
    <row r="770081" spans="1:1" x14ac:dyDescent="0.25">
      <c r="A770081" s="15" t="s">
        <v>90</v>
      </c>
    </row>
    <row r="770082" spans="1:1" x14ac:dyDescent="0.25">
      <c r="A770082" s="15" t="s">
        <v>185</v>
      </c>
    </row>
    <row r="770083" spans="1:1" x14ac:dyDescent="0.25">
      <c r="A770083" s="15" t="s">
        <v>186</v>
      </c>
    </row>
    <row r="770084" spans="1:1" x14ac:dyDescent="0.25">
      <c r="A770084" s="15" t="s">
        <v>187</v>
      </c>
    </row>
    <row r="770085" spans="1:1" x14ac:dyDescent="0.25">
      <c r="A770085" s="15" t="s">
        <v>188</v>
      </c>
    </row>
    <row r="770086" spans="1:1" x14ac:dyDescent="0.25">
      <c r="A770086" s="15" t="s">
        <v>189</v>
      </c>
    </row>
    <row r="770087" spans="1:1" x14ac:dyDescent="0.25">
      <c r="A770087" s="15" t="s">
        <v>190</v>
      </c>
    </row>
    <row r="770088" spans="1:1" x14ac:dyDescent="0.25">
      <c r="A770088" s="15" t="s">
        <v>191</v>
      </c>
    </row>
    <row r="770089" spans="1:1" x14ac:dyDescent="0.25">
      <c r="A770089" s="14" t="s">
        <v>47</v>
      </c>
    </row>
    <row r="770090" spans="1:1" x14ac:dyDescent="0.25">
      <c r="A770090" s="14" t="s">
        <v>119</v>
      </c>
    </row>
    <row r="770091" spans="1:1" x14ac:dyDescent="0.25">
      <c r="A770091" s="14" t="s">
        <v>86</v>
      </c>
    </row>
    <row r="770092" spans="1:1" x14ac:dyDescent="0.25">
      <c r="A770092" s="13" t="s">
        <v>21</v>
      </c>
    </row>
    <row r="770093" spans="1:1" x14ac:dyDescent="0.25">
      <c r="A770093" s="14" t="s">
        <v>92</v>
      </c>
    </row>
    <row r="770094" spans="1:1" x14ac:dyDescent="0.25">
      <c r="A770094" s="14" t="s">
        <v>93</v>
      </c>
    </row>
    <row r="770095" spans="1:1" x14ac:dyDescent="0.25">
      <c r="A770095" s="14" t="s">
        <v>99</v>
      </c>
    </row>
    <row r="770096" spans="1:1" x14ac:dyDescent="0.25">
      <c r="A770096" s="14" t="s">
        <v>100</v>
      </c>
    </row>
    <row r="770097" spans="1:1" x14ac:dyDescent="0.25">
      <c r="A770097" s="13" t="s">
        <v>24</v>
      </c>
    </row>
    <row r="770098" spans="1:1" x14ac:dyDescent="0.25">
      <c r="A770098" s="13" t="s">
        <v>83</v>
      </c>
    </row>
    <row r="770099" spans="1:1" x14ac:dyDescent="0.25">
      <c r="A770099" s="13" t="s">
        <v>106</v>
      </c>
    </row>
    <row r="770100" spans="1:1" x14ac:dyDescent="0.25">
      <c r="A770100" s="13" t="s">
        <v>101</v>
      </c>
    </row>
    <row r="770101" spans="1:1" x14ac:dyDescent="0.25">
      <c r="A770101" s="13" t="s">
        <v>102</v>
      </c>
    </row>
    <row r="770102" spans="1:1" x14ac:dyDescent="0.25">
      <c r="A770102" s="13" t="s">
        <v>103</v>
      </c>
    </row>
    <row r="770103" spans="1:1" x14ac:dyDescent="0.25">
      <c r="A770103" s="13" t="s">
        <v>104</v>
      </c>
    </row>
    <row r="770104" spans="1:1" x14ac:dyDescent="0.25">
      <c r="A770104" s="13" t="s">
        <v>105</v>
      </c>
    </row>
    <row r="786434" spans="1:1" x14ac:dyDescent="0.25">
      <c r="A786434" s="13" t="s">
        <v>0</v>
      </c>
    </row>
    <row r="786435" spans="1:1" x14ac:dyDescent="0.25">
      <c r="A786435" s="13" t="s">
        <v>125</v>
      </c>
    </row>
    <row r="786436" spans="1:1" x14ac:dyDescent="0.25">
      <c r="A786436" s="13" t="s">
        <v>1</v>
      </c>
    </row>
    <row r="786437" spans="1:1" x14ac:dyDescent="0.25">
      <c r="A786437" s="13" t="s">
        <v>2</v>
      </c>
    </row>
    <row r="786438" spans="1:1" x14ac:dyDescent="0.25">
      <c r="A786438" s="14" t="s">
        <v>25</v>
      </c>
    </row>
    <row r="786439" spans="1:1" x14ac:dyDescent="0.25">
      <c r="A786439" s="13" t="s">
        <v>126</v>
      </c>
    </row>
    <row r="786440" spans="1:1" x14ac:dyDescent="0.25">
      <c r="A786440" s="13" t="s">
        <v>127</v>
      </c>
    </row>
    <row r="786441" spans="1:1" x14ac:dyDescent="0.25">
      <c r="A786441" s="13" t="s">
        <v>88</v>
      </c>
    </row>
    <row r="786442" spans="1:1" x14ac:dyDescent="0.25">
      <c r="A786442" s="13" t="s">
        <v>22</v>
      </c>
    </row>
    <row r="786443" spans="1:1" x14ac:dyDescent="0.25">
      <c r="A786443" s="13" t="s">
        <v>3</v>
      </c>
    </row>
    <row r="786444" spans="1:1" x14ac:dyDescent="0.25">
      <c r="A786444" s="15" t="s">
        <v>95</v>
      </c>
    </row>
    <row r="786445" spans="1:1" x14ac:dyDescent="0.25">
      <c r="A786445" s="15" t="s">
        <v>94</v>
      </c>
    </row>
    <row r="786446" spans="1:1" x14ac:dyDescent="0.25">
      <c r="A786446" s="15" t="s">
        <v>4</v>
      </c>
    </row>
    <row r="786447" spans="1:1" x14ac:dyDescent="0.25">
      <c r="A786447" s="15" t="s">
        <v>118</v>
      </c>
    </row>
    <row r="786448" spans="1:1" x14ac:dyDescent="0.25">
      <c r="A786448" s="15" t="s">
        <v>5</v>
      </c>
    </row>
    <row r="786449" spans="1:1" x14ac:dyDescent="0.25">
      <c r="A786449" s="15" t="s">
        <v>6</v>
      </c>
    </row>
    <row r="786450" spans="1:1" x14ac:dyDescent="0.25">
      <c r="A786450" s="15" t="s">
        <v>7</v>
      </c>
    </row>
    <row r="786451" spans="1:1" x14ac:dyDescent="0.25">
      <c r="A786451" s="15" t="s">
        <v>8</v>
      </c>
    </row>
    <row r="786452" spans="1:1" x14ac:dyDescent="0.25">
      <c r="A786452" s="15" t="s">
        <v>9</v>
      </c>
    </row>
    <row r="786453" spans="1:1" x14ac:dyDescent="0.25">
      <c r="A786453" s="15" t="s">
        <v>10</v>
      </c>
    </row>
    <row r="786454" spans="1:1" x14ac:dyDescent="0.25">
      <c r="A786454" s="15" t="s">
        <v>11</v>
      </c>
    </row>
    <row r="786455" spans="1:1" x14ac:dyDescent="0.25">
      <c r="A786455" s="15" t="s">
        <v>12</v>
      </c>
    </row>
    <row r="786456" spans="1:1" x14ac:dyDescent="0.25">
      <c r="A786456" s="15" t="s">
        <v>13</v>
      </c>
    </row>
    <row r="786457" spans="1:1" x14ac:dyDescent="0.25">
      <c r="A786457" s="15" t="s">
        <v>14</v>
      </c>
    </row>
    <row r="786458" spans="1:1" x14ac:dyDescent="0.25">
      <c r="A786458" s="13" t="s">
        <v>31</v>
      </c>
    </row>
    <row r="786459" spans="1:1" x14ac:dyDescent="0.25">
      <c r="A786459" s="13" t="s">
        <v>87</v>
      </c>
    </row>
    <row r="786460" spans="1:1" x14ac:dyDescent="0.25">
      <c r="A786460" s="15" t="s">
        <v>30</v>
      </c>
    </row>
    <row r="786461" spans="1:1" x14ac:dyDescent="0.25">
      <c r="A786461" s="15" t="s">
        <v>26</v>
      </c>
    </row>
    <row r="786462" spans="1:1" x14ac:dyDescent="0.25">
      <c r="A786462" s="15" t="s">
        <v>27</v>
      </c>
    </row>
    <row r="786463" spans="1:1" x14ac:dyDescent="0.25">
      <c r="A786463" s="15" t="s">
        <v>28</v>
      </c>
    </row>
    <row r="786464" spans="1:1" x14ac:dyDescent="0.25">
      <c r="A786464" s="15" t="s">
        <v>89</v>
      </c>
    </row>
    <row r="786465" spans="1:1" x14ac:dyDescent="0.25">
      <c r="A786465" s="15" t="s">
        <v>90</v>
      </c>
    </row>
    <row r="786466" spans="1:1" x14ac:dyDescent="0.25">
      <c r="A786466" s="15" t="s">
        <v>185</v>
      </c>
    </row>
    <row r="786467" spans="1:1" x14ac:dyDescent="0.25">
      <c r="A786467" s="15" t="s">
        <v>186</v>
      </c>
    </row>
    <row r="786468" spans="1:1" x14ac:dyDescent="0.25">
      <c r="A786468" s="15" t="s">
        <v>187</v>
      </c>
    </row>
    <row r="786469" spans="1:1" x14ac:dyDescent="0.25">
      <c r="A786469" s="15" t="s">
        <v>188</v>
      </c>
    </row>
    <row r="786470" spans="1:1" x14ac:dyDescent="0.25">
      <c r="A786470" s="15" t="s">
        <v>189</v>
      </c>
    </row>
    <row r="786471" spans="1:1" x14ac:dyDescent="0.25">
      <c r="A786471" s="15" t="s">
        <v>190</v>
      </c>
    </row>
    <row r="786472" spans="1:1" x14ac:dyDescent="0.25">
      <c r="A786472" s="15" t="s">
        <v>191</v>
      </c>
    </row>
    <row r="786473" spans="1:1" x14ac:dyDescent="0.25">
      <c r="A786473" s="14" t="s">
        <v>47</v>
      </c>
    </row>
    <row r="786474" spans="1:1" x14ac:dyDescent="0.25">
      <c r="A786474" s="14" t="s">
        <v>119</v>
      </c>
    </row>
    <row r="786475" spans="1:1" x14ac:dyDescent="0.25">
      <c r="A786475" s="14" t="s">
        <v>86</v>
      </c>
    </row>
    <row r="786476" spans="1:1" x14ac:dyDescent="0.25">
      <c r="A786476" s="13" t="s">
        <v>21</v>
      </c>
    </row>
    <row r="786477" spans="1:1" x14ac:dyDescent="0.25">
      <c r="A786477" s="14" t="s">
        <v>92</v>
      </c>
    </row>
    <row r="786478" spans="1:1" x14ac:dyDescent="0.25">
      <c r="A786478" s="14" t="s">
        <v>93</v>
      </c>
    </row>
    <row r="786479" spans="1:1" x14ac:dyDescent="0.25">
      <c r="A786479" s="14" t="s">
        <v>99</v>
      </c>
    </row>
    <row r="786480" spans="1:1" x14ac:dyDescent="0.25">
      <c r="A786480" s="14" t="s">
        <v>100</v>
      </c>
    </row>
    <row r="786481" spans="1:1" x14ac:dyDescent="0.25">
      <c r="A786481" s="13" t="s">
        <v>24</v>
      </c>
    </row>
    <row r="786482" spans="1:1" x14ac:dyDescent="0.25">
      <c r="A786482" s="13" t="s">
        <v>83</v>
      </c>
    </row>
    <row r="786483" spans="1:1" x14ac:dyDescent="0.25">
      <c r="A786483" s="13" t="s">
        <v>106</v>
      </c>
    </row>
    <row r="786484" spans="1:1" x14ac:dyDescent="0.25">
      <c r="A786484" s="13" t="s">
        <v>101</v>
      </c>
    </row>
    <row r="786485" spans="1:1" x14ac:dyDescent="0.25">
      <c r="A786485" s="13" t="s">
        <v>102</v>
      </c>
    </row>
    <row r="786486" spans="1:1" x14ac:dyDescent="0.25">
      <c r="A786486" s="13" t="s">
        <v>103</v>
      </c>
    </row>
    <row r="786487" spans="1:1" x14ac:dyDescent="0.25">
      <c r="A786487" s="13" t="s">
        <v>104</v>
      </c>
    </row>
    <row r="786488" spans="1:1" x14ac:dyDescent="0.25">
      <c r="A786488" s="13" t="s">
        <v>105</v>
      </c>
    </row>
    <row r="802818" spans="1:1" x14ac:dyDescent="0.25">
      <c r="A802818" s="13" t="s">
        <v>0</v>
      </c>
    </row>
    <row r="802819" spans="1:1" x14ac:dyDescent="0.25">
      <c r="A802819" s="13" t="s">
        <v>125</v>
      </c>
    </row>
    <row r="802820" spans="1:1" x14ac:dyDescent="0.25">
      <c r="A802820" s="13" t="s">
        <v>1</v>
      </c>
    </row>
    <row r="802821" spans="1:1" x14ac:dyDescent="0.25">
      <c r="A802821" s="13" t="s">
        <v>2</v>
      </c>
    </row>
    <row r="802822" spans="1:1" x14ac:dyDescent="0.25">
      <c r="A802822" s="14" t="s">
        <v>25</v>
      </c>
    </row>
    <row r="802823" spans="1:1" x14ac:dyDescent="0.25">
      <c r="A802823" s="13" t="s">
        <v>126</v>
      </c>
    </row>
    <row r="802824" spans="1:1" x14ac:dyDescent="0.25">
      <c r="A802824" s="13" t="s">
        <v>127</v>
      </c>
    </row>
    <row r="802825" spans="1:1" x14ac:dyDescent="0.25">
      <c r="A802825" s="13" t="s">
        <v>88</v>
      </c>
    </row>
    <row r="802826" spans="1:1" x14ac:dyDescent="0.25">
      <c r="A802826" s="13" t="s">
        <v>22</v>
      </c>
    </row>
    <row r="802827" spans="1:1" x14ac:dyDescent="0.25">
      <c r="A802827" s="13" t="s">
        <v>3</v>
      </c>
    </row>
    <row r="802828" spans="1:1" x14ac:dyDescent="0.25">
      <c r="A802828" s="15" t="s">
        <v>95</v>
      </c>
    </row>
    <row r="802829" spans="1:1" x14ac:dyDescent="0.25">
      <c r="A802829" s="15" t="s">
        <v>94</v>
      </c>
    </row>
    <row r="802830" spans="1:1" x14ac:dyDescent="0.25">
      <c r="A802830" s="15" t="s">
        <v>4</v>
      </c>
    </row>
    <row r="802831" spans="1:1" x14ac:dyDescent="0.25">
      <c r="A802831" s="15" t="s">
        <v>118</v>
      </c>
    </row>
    <row r="802832" spans="1:1" x14ac:dyDescent="0.25">
      <c r="A802832" s="15" t="s">
        <v>5</v>
      </c>
    </row>
    <row r="802833" spans="1:1" x14ac:dyDescent="0.25">
      <c r="A802833" s="15" t="s">
        <v>6</v>
      </c>
    </row>
    <row r="802834" spans="1:1" x14ac:dyDescent="0.25">
      <c r="A802834" s="15" t="s">
        <v>7</v>
      </c>
    </row>
    <row r="802835" spans="1:1" x14ac:dyDescent="0.25">
      <c r="A802835" s="15" t="s">
        <v>8</v>
      </c>
    </row>
    <row r="802836" spans="1:1" x14ac:dyDescent="0.25">
      <c r="A802836" s="15" t="s">
        <v>9</v>
      </c>
    </row>
    <row r="802837" spans="1:1" x14ac:dyDescent="0.25">
      <c r="A802837" s="15" t="s">
        <v>10</v>
      </c>
    </row>
    <row r="802838" spans="1:1" x14ac:dyDescent="0.25">
      <c r="A802838" s="15" t="s">
        <v>11</v>
      </c>
    </row>
    <row r="802839" spans="1:1" x14ac:dyDescent="0.25">
      <c r="A802839" s="15" t="s">
        <v>12</v>
      </c>
    </row>
    <row r="802840" spans="1:1" x14ac:dyDescent="0.25">
      <c r="A802840" s="15" t="s">
        <v>13</v>
      </c>
    </row>
    <row r="802841" spans="1:1" x14ac:dyDescent="0.25">
      <c r="A802841" s="15" t="s">
        <v>14</v>
      </c>
    </row>
    <row r="802842" spans="1:1" x14ac:dyDescent="0.25">
      <c r="A802842" s="13" t="s">
        <v>31</v>
      </c>
    </row>
    <row r="802843" spans="1:1" x14ac:dyDescent="0.25">
      <c r="A802843" s="13" t="s">
        <v>87</v>
      </c>
    </row>
    <row r="802844" spans="1:1" x14ac:dyDescent="0.25">
      <c r="A802844" s="15" t="s">
        <v>30</v>
      </c>
    </row>
    <row r="802845" spans="1:1" x14ac:dyDescent="0.25">
      <c r="A802845" s="15" t="s">
        <v>26</v>
      </c>
    </row>
    <row r="802846" spans="1:1" x14ac:dyDescent="0.25">
      <c r="A802846" s="15" t="s">
        <v>27</v>
      </c>
    </row>
    <row r="802847" spans="1:1" x14ac:dyDescent="0.25">
      <c r="A802847" s="15" t="s">
        <v>28</v>
      </c>
    </row>
    <row r="802848" spans="1:1" x14ac:dyDescent="0.25">
      <c r="A802848" s="15" t="s">
        <v>89</v>
      </c>
    </row>
    <row r="802849" spans="1:1" x14ac:dyDescent="0.25">
      <c r="A802849" s="15" t="s">
        <v>90</v>
      </c>
    </row>
    <row r="802850" spans="1:1" x14ac:dyDescent="0.25">
      <c r="A802850" s="15" t="s">
        <v>185</v>
      </c>
    </row>
    <row r="802851" spans="1:1" x14ac:dyDescent="0.25">
      <c r="A802851" s="15" t="s">
        <v>186</v>
      </c>
    </row>
    <row r="802852" spans="1:1" x14ac:dyDescent="0.25">
      <c r="A802852" s="15" t="s">
        <v>187</v>
      </c>
    </row>
    <row r="802853" spans="1:1" x14ac:dyDescent="0.25">
      <c r="A802853" s="15" t="s">
        <v>188</v>
      </c>
    </row>
    <row r="802854" spans="1:1" x14ac:dyDescent="0.25">
      <c r="A802854" s="15" t="s">
        <v>189</v>
      </c>
    </row>
    <row r="802855" spans="1:1" x14ac:dyDescent="0.25">
      <c r="A802855" s="15" t="s">
        <v>190</v>
      </c>
    </row>
    <row r="802856" spans="1:1" x14ac:dyDescent="0.25">
      <c r="A802856" s="15" t="s">
        <v>191</v>
      </c>
    </row>
    <row r="802857" spans="1:1" x14ac:dyDescent="0.25">
      <c r="A802857" s="14" t="s">
        <v>47</v>
      </c>
    </row>
    <row r="802858" spans="1:1" x14ac:dyDescent="0.25">
      <c r="A802858" s="14" t="s">
        <v>119</v>
      </c>
    </row>
    <row r="802859" spans="1:1" x14ac:dyDescent="0.25">
      <c r="A802859" s="14" t="s">
        <v>86</v>
      </c>
    </row>
    <row r="802860" spans="1:1" x14ac:dyDescent="0.25">
      <c r="A802860" s="13" t="s">
        <v>21</v>
      </c>
    </row>
    <row r="802861" spans="1:1" x14ac:dyDescent="0.25">
      <c r="A802861" s="14" t="s">
        <v>92</v>
      </c>
    </row>
    <row r="802862" spans="1:1" x14ac:dyDescent="0.25">
      <c r="A802862" s="14" t="s">
        <v>93</v>
      </c>
    </row>
    <row r="802863" spans="1:1" x14ac:dyDescent="0.25">
      <c r="A802863" s="14" t="s">
        <v>99</v>
      </c>
    </row>
    <row r="802864" spans="1:1" x14ac:dyDescent="0.25">
      <c r="A802864" s="14" t="s">
        <v>100</v>
      </c>
    </row>
    <row r="802865" spans="1:1" x14ac:dyDescent="0.25">
      <c r="A802865" s="13" t="s">
        <v>24</v>
      </c>
    </row>
    <row r="802866" spans="1:1" x14ac:dyDescent="0.25">
      <c r="A802866" s="13" t="s">
        <v>83</v>
      </c>
    </row>
    <row r="802867" spans="1:1" x14ac:dyDescent="0.25">
      <c r="A802867" s="13" t="s">
        <v>106</v>
      </c>
    </row>
    <row r="802868" spans="1:1" x14ac:dyDescent="0.25">
      <c r="A802868" s="13" t="s">
        <v>101</v>
      </c>
    </row>
    <row r="802869" spans="1:1" x14ac:dyDescent="0.25">
      <c r="A802869" s="13" t="s">
        <v>102</v>
      </c>
    </row>
    <row r="802870" spans="1:1" x14ac:dyDescent="0.25">
      <c r="A802870" s="13" t="s">
        <v>103</v>
      </c>
    </row>
    <row r="802871" spans="1:1" x14ac:dyDescent="0.25">
      <c r="A802871" s="13" t="s">
        <v>104</v>
      </c>
    </row>
    <row r="802872" spans="1:1" x14ac:dyDescent="0.25">
      <c r="A802872" s="13" t="s">
        <v>105</v>
      </c>
    </row>
    <row r="819202" spans="1:1" x14ac:dyDescent="0.25">
      <c r="A819202" s="13" t="s">
        <v>0</v>
      </c>
    </row>
    <row r="819203" spans="1:1" x14ac:dyDescent="0.25">
      <c r="A819203" s="13" t="s">
        <v>125</v>
      </c>
    </row>
    <row r="819204" spans="1:1" x14ac:dyDescent="0.25">
      <c r="A819204" s="13" t="s">
        <v>1</v>
      </c>
    </row>
    <row r="819205" spans="1:1" x14ac:dyDescent="0.25">
      <c r="A819205" s="13" t="s">
        <v>2</v>
      </c>
    </row>
    <row r="819206" spans="1:1" x14ac:dyDescent="0.25">
      <c r="A819206" s="14" t="s">
        <v>25</v>
      </c>
    </row>
    <row r="819207" spans="1:1" x14ac:dyDescent="0.25">
      <c r="A819207" s="13" t="s">
        <v>126</v>
      </c>
    </row>
    <row r="819208" spans="1:1" x14ac:dyDescent="0.25">
      <c r="A819208" s="13" t="s">
        <v>127</v>
      </c>
    </row>
    <row r="819209" spans="1:1" x14ac:dyDescent="0.25">
      <c r="A819209" s="13" t="s">
        <v>88</v>
      </c>
    </row>
    <row r="819210" spans="1:1" x14ac:dyDescent="0.25">
      <c r="A819210" s="13" t="s">
        <v>22</v>
      </c>
    </row>
    <row r="819211" spans="1:1" x14ac:dyDescent="0.25">
      <c r="A819211" s="13" t="s">
        <v>3</v>
      </c>
    </row>
    <row r="819212" spans="1:1" x14ac:dyDescent="0.25">
      <c r="A819212" s="15" t="s">
        <v>95</v>
      </c>
    </row>
    <row r="819213" spans="1:1" x14ac:dyDescent="0.25">
      <c r="A819213" s="15" t="s">
        <v>94</v>
      </c>
    </row>
    <row r="819214" spans="1:1" x14ac:dyDescent="0.25">
      <c r="A819214" s="15" t="s">
        <v>4</v>
      </c>
    </row>
    <row r="819215" spans="1:1" x14ac:dyDescent="0.25">
      <c r="A819215" s="15" t="s">
        <v>118</v>
      </c>
    </row>
    <row r="819216" spans="1:1" x14ac:dyDescent="0.25">
      <c r="A819216" s="15" t="s">
        <v>5</v>
      </c>
    </row>
    <row r="819217" spans="1:1" x14ac:dyDescent="0.25">
      <c r="A819217" s="15" t="s">
        <v>6</v>
      </c>
    </row>
    <row r="819218" spans="1:1" x14ac:dyDescent="0.25">
      <c r="A819218" s="15" t="s">
        <v>7</v>
      </c>
    </row>
    <row r="819219" spans="1:1" x14ac:dyDescent="0.25">
      <c r="A819219" s="15" t="s">
        <v>8</v>
      </c>
    </row>
    <row r="819220" spans="1:1" x14ac:dyDescent="0.25">
      <c r="A819220" s="15" t="s">
        <v>9</v>
      </c>
    </row>
    <row r="819221" spans="1:1" x14ac:dyDescent="0.25">
      <c r="A819221" s="15" t="s">
        <v>10</v>
      </c>
    </row>
    <row r="819222" spans="1:1" x14ac:dyDescent="0.25">
      <c r="A819222" s="15" t="s">
        <v>11</v>
      </c>
    </row>
    <row r="819223" spans="1:1" x14ac:dyDescent="0.25">
      <c r="A819223" s="15" t="s">
        <v>12</v>
      </c>
    </row>
    <row r="819224" spans="1:1" x14ac:dyDescent="0.25">
      <c r="A819224" s="15" t="s">
        <v>13</v>
      </c>
    </row>
    <row r="819225" spans="1:1" x14ac:dyDescent="0.25">
      <c r="A819225" s="15" t="s">
        <v>14</v>
      </c>
    </row>
    <row r="819226" spans="1:1" x14ac:dyDescent="0.25">
      <c r="A819226" s="13" t="s">
        <v>31</v>
      </c>
    </row>
    <row r="819227" spans="1:1" x14ac:dyDescent="0.25">
      <c r="A819227" s="13" t="s">
        <v>87</v>
      </c>
    </row>
    <row r="819228" spans="1:1" x14ac:dyDescent="0.25">
      <c r="A819228" s="15" t="s">
        <v>30</v>
      </c>
    </row>
    <row r="819229" spans="1:1" x14ac:dyDescent="0.25">
      <c r="A819229" s="15" t="s">
        <v>26</v>
      </c>
    </row>
    <row r="819230" spans="1:1" x14ac:dyDescent="0.25">
      <c r="A819230" s="15" t="s">
        <v>27</v>
      </c>
    </row>
    <row r="819231" spans="1:1" x14ac:dyDescent="0.25">
      <c r="A819231" s="15" t="s">
        <v>28</v>
      </c>
    </row>
    <row r="819232" spans="1:1" x14ac:dyDescent="0.25">
      <c r="A819232" s="15" t="s">
        <v>89</v>
      </c>
    </row>
    <row r="819233" spans="1:1" x14ac:dyDescent="0.25">
      <c r="A819233" s="15" t="s">
        <v>90</v>
      </c>
    </row>
    <row r="819234" spans="1:1" x14ac:dyDescent="0.25">
      <c r="A819234" s="15" t="s">
        <v>185</v>
      </c>
    </row>
    <row r="819235" spans="1:1" x14ac:dyDescent="0.25">
      <c r="A819235" s="15" t="s">
        <v>186</v>
      </c>
    </row>
    <row r="819236" spans="1:1" x14ac:dyDescent="0.25">
      <c r="A819236" s="15" t="s">
        <v>187</v>
      </c>
    </row>
    <row r="819237" spans="1:1" x14ac:dyDescent="0.25">
      <c r="A819237" s="15" t="s">
        <v>188</v>
      </c>
    </row>
    <row r="819238" spans="1:1" x14ac:dyDescent="0.25">
      <c r="A819238" s="15" t="s">
        <v>189</v>
      </c>
    </row>
    <row r="819239" spans="1:1" x14ac:dyDescent="0.25">
      <c r="A819239" s="15" t="s">
        <v>190</v>
      </c>
    </row>
    <row r="819240" spans="1:1" x14ac:dyDescent="0.25">
      <c r="A819240" s="15" t="s">
        <v>191</v>
      </c>
    </row>
    <row r="819241" spans="1:1" x14ac:dyDescent="0.25">
      <c r="A819241" s="14" t="s">
        <v>47</v>
      </c>
    </row>
    <row r="819242" spans="1:1" x14ac:dyDescent="0.25">
      <c r="A819242" s="14" t="s">
        <v>119</v>
      </c>
    </row>
    <row r="819243" spans="1:1" x14ac:dyDescent="0.25">
      <c r="A819243" s="14" t="s">
        <v>86</v>
      </c>
    </row>
    <row r="819244" spans="1:1" x14ac:dyDescent="0.25">
      <c r="A819244" s="13" t="s">
        <v>21</v>
      </c>
    </row>
    <row r="819245" spans="1:1" x14ac:dyDescent="0.25">
      <c r="A819245" s="14" t="s">
        <v>92</v>
      </c>
    </row>
    <row r="819246" spans="1:1" x14ac:dyDescent="0.25">
      <c r="A819246" s="14" t="s">
        <v>93</v>
      </c>
    </row>
    <row r="819247" spans="1:1" x14ac:dyDescent="0.25">
      <c r="A819247" s="14" t="s">
        <v>99</v>
      </c>
    </row>
    <row r="819248" spans="1:1" x14ac:dyDescent="0.25">
      <c r="A819248" s="14" t="s">
        <v>100</v>
      </c>
    </row>
    <row r="819249" spans="1:1" x14ac:dyDescent="0.25">
      <c r="A819249" s="13" t="s">
        <v>24</v>
      </c>
    </row>
    <row r="819250" spans="1:1" x14ac:dyDescent="0.25">
      <c r="A819250" s="13" t="s">
        <v>83</v>
      </c>
    </row>
    <row r="819251" spans="1:1" x14ac:dyDescent="0.25">
      <c r="A819251" s="13" t="s">
        <v>106</v>
      </c>
    </row>
    <row r="819252" spans="1:1" x14ac:dyDescent="0.25">
      <c r="A819252" s="13" t="s">
        <v>101</v>
      </c>
    </row>
    <row r="819253" spans="1:1" x14ac:dyDescent="0.25">
      <c r="A819253" s="13" t="s">
        <v>102</v>
      </c>
    </row>
    <row r="819254" spans="1:1" x14ac:dyDescent="0.25">
      <c r="A819254" s="13" t="s">
        <v>103</v>
      </c>
    </row>
    <row r="819255" spans="1:1" x14ac:dyDescent="0.25">
      <c r="A819255" s="13" t="s">
        <v>104</v>
      </c>
    </row>
    <row r="819256" spans="1:1" x14ac:dyDescent="0.25">
      <c r="A819256" s="13" t="s">
        <v>105</v>
      </c>
    </row>
    <row r="835586" spans="1:1" x14ac:dyDescent="0.25">
      <c r="A835586" s="13" t="s">
        <v>0</v>
      </c>
    </row>
    <row r="835587" spans="1:1" x14ac:dyDescent="0.25">
      <c r="A835587" s="13" t="s">
        <v>125</v>
      </c>
    </row>
    <row r="835588" spans="1:1" x14ac:dyDescent="0.25">
      <c r="A835588" s="13" t="s">
        <v>1</v>
      </c>
    </row>
    <row r="835589" spans="1:1" x14ac:dyDescent="0.25">
      <c r="A835589" s="13" t="s">
        <v>2</v>
      </c>
    </row>
    <row r="835590" spans="1:1" x14ac:dyDescent="0.25">
      <c r="A835590" s="14" t="s">
        <v>25</v>
      </c>
    </row>
    <row r="835591" spans="1:1" x14ac:dyDescent="0.25">
      <c r="A835591" s="13" t="s">
        <v>126</v>
      </c>
    </row>
    <row r="835592" spans="1:1" x14ac:dyDescent="0.25">
      <c r="A835592" s="13" t="s">
        <v>127</v>
      </c>
    </row>
    <row r="835593" spans="1:1" x14ac:dyDescent="0.25">
      <c r="A835593" s="13" t="s">
        <v>88</v>
      </c>
    </row>
    <row r="835594" spans="1:1" x14ac:dyDescent="0.25">
      <c r="A835594" s="13" t="s">
        <v>22</v>
      </c>
    </row>
    <row r="835595" spans="1:1" x14ac:dyDescent="0.25">
      <c r="A835595" s="13" t="s">
        <v>3</v>
      </c>
    </row>
    <row r="835596" spans="1:1" x14ac:dyDescent="0.25">
      <c r="A835596" s="15" t="s">
        <v>95</v>
      </c>
    </row>
    <row r="835597" spans="1:1" x14ac:dyDescent="0.25">
      <c r="A835597" s="15" t="s">
        <v>94</v>
      </c>
    </row>
    <row r="835598" spans="1:1" x14ac:dyDescent="0.25">
      <c r="A835598" s="15" t="s">
        <v>4</v>
      </c>
    </row>
    <row r="835599" spans="1:1" x14ac:dyDescent="0.25">
      <c r="A835599" s="15" t="s">
        <v>118</v>
      </c>
    </row>
    <row r="835600" spans="1:1" x14ac:dyDescent="0.25">
      <c r="A835600" s="15" t="s">
        <v>5</v>
      </c>
    </row>
    <row r="835601" spans="1:1" x14ac:dyDescent="0.25">
      <c r="A835601" s="15" t="s">
        <v>6</v>
      </c>
    </row>
    <row r="835602" spans="1:1" x14ac:dyDescent="0.25">
      <c r="A835602" s="15" t="s">
        <v>7</v>
      </c>
    </row>
    <row r="835603" spans="1:1" x14ac:dyDescent="0.25">
      <c r="A835603" s="15" t="s">
        <v>8</v>
      </c>
    </row>
    <row r="835604" spans="1:1" x14ac:dyDescent="0.25">
      <c r="A835604" s="15" t="s">
        <v>9</v>
      </c>
    </row>
    <row r="835605" spans="1:1" x14ac:dyDescent="0.25">
      <c r="A835605" s="15" t="s">
        <v>10</v>
      </c>
    </row>
    <row r="835606" spans="1:1" x14ac:dyDescent="0.25">
      <c r="A835606" s="15" t="s">
        <v>11</v>
      </c>
    </row>
    <row r="835607" spans="1:1" x14ac:dyDescent="0.25">
      <c r="A835607" s="15" t="s">
        <v>12</v>
      </c>
    </row>
    <row r="835608" spans="1:1" x14ac:dyDescent="0.25">
      <c r="A835608" s="15" t="s">
        <v>13</v>
      </c>
    </row>
    <row r="835609" spans="1:1" x14ac:dyDescent="0.25">
      <c r="A835609" s="15" t="s">
        <v>14</v>
      </c>
    </row>
    <row r="835610" spans="1:1" x14ac:dyDescent="0.25">
      <c r="A835610" s="13" t="s">
        <v>31</v>
      </c>
    </row>
    <row r="835611" spans="1:1" x14ac:dyDescent="0.25">
      <c r="A835611" s="13" t="s">
        <v>87</v>
      </c>
    </row>
    <row r="835612" spans="1:1" x14ac:dyDescent="0.25">
      <c r="A835612" s="15" t="s">
        <v>30</v>
      </c>
    </row>
    <row r="835613" spans="1:1" x14ac:dyDescent="0.25">
      <c r="A835613" s="15" t="s">
        <v>26</v>
      </c>
    </row>
    <row r="835614" spans="1:1" x14ac:dyDescent="0.25">
      <c r="A835614" s="15" t="s">
        <v>27</v>
      </c>
    </row>
    <row r="835615" spans="1:1" x14ac:dyDescent="0.25">
      <c r="A835615" s="15" t="s">
        <v>28</v>
      </c>
    </row>
    <row r="835616" spans="1:1" x14ac:dyDescent="0.25">
      <c r="A835616" s="15" t="s">
        <v>89</v>
      </c>
    </row>
    <row r="835617" spans="1:1" x14ac:dyDescent="0.25">
      <c r="A835617" s="15" t="s">
        <v>90</v>
      </c>
    </row>
    <row r="835618" spans="1:1" x14ac:dyDescent="0.25">
      <c r="A835618" s="15" t="s">
        <v>185</v>
      </c>
    </row>
    <row r="835619" spans="1:1" x14ac:dyDescent="0.25">
      <c r="A835619" s="15" t="s">
        <v>186</v>
      </c>
    </row>
    <row r="835620" spans="1:1" x14ac:dyDescent="0.25">
      <c r="A835620" s="15" t="s">
        <v>187</v>
      </c>
    </row>
    <row r="835621" spans="1:1" x14ac:dyDescent="0.25">
      <c r="A835621" s="15" t="s">
        <v>188</v>
      </c>
    </row>
    <row r="835622" spans="1:1" x14ac:dyDescent="0.25">
      <c r="A835622" s="15" t="s">
        <v>189</v>
      </c>
    </row>
    <row r="835623" spans="1:1" x14ac:dyDescent="0.25">
      <c r="A835623" s="15" t="s">
        <v>190</v>
      </c>
    </row>
    <row r="835624" spans="1:1" x14ac:dyDescent="0.25">
      <c r="A835624" s="15" t="s">
        <v>191</v>
      </c>
    </row>
    <row r="835625" spans="1:1" x14ac:dyDescent="0.25">
      <c r="A835625" s="14" t="s">
        <v>47</v>
      </c>
    </row>
    <row r="835626" spans="1:1" x14ac:dyDescent="0.25">
      <c r="A835626" s="14" t="s">
        <v>119</v>
      </c>
    </row>
    <row r="835627" spans="1:1" x14ac:dyDescent="0.25">
      <c r="A835627" s="14" t="s">
        <v>86</v>
      </c>
    </row>
    <row r="835628" spans="1:1" x14ac:dyDescent="0.25">
      <c r="A835628" s="13" t="s">
        <v>21</v>
      </c>
    </row>
    <row r="835629" spans="1:1" x14ac:dyDescent="0.25">
      <c r="A835629" s="14" t="s">
        <v>92</v>
      </c>
    </row>
    <row r="835630" spans="1:1" x14ac:dyDescent="0.25">
      <c r="A835630" s="14" t="s">
        <v>93</v>
      </c>
    </row>
    <row r="835631" spans="1:1" x14ac:dyDescent="0.25">
      <c r="A835631" s="14" t="s">
        <v>99</v>
      </c>
    </row>
    <row r="835632" spans="1:1" x14ac:dyDescent="0.25">
      <c r="A835632" s="14" t="s">
        <v>100</v>
      </c>
    </row>
    <row r="835633" spans="1:1" x14ac:dyDescent="0.25">
      <c r="A835633" s="13" t="s">
        <v>24</v>
      </c>
    </row>
    <row r="835634" spans="1:1" x14ac:dyDescent="0.25">
      <c r="A835634" s="13" t="s">
        <v>83</v>
      </c>
    </row>
    <row r="835635" spans="1:1" x14ac:dyDescent="0.25">
      <c r="A835635" s="13" t="s">
        <v>106</v>
      </c>
    </row>
    <row r="835636" spans="1:1" x14ac:dyDescent="0.25">
      <c r="A835636" s="13" t="s">
        <v>101</v>
      </c>
    </row>
    <row r="835637" spans="1:1" x14ac:dyDescent="0.25">
      <c r="A835637" s="13" t="s">
        <v>102</v>
      </c>
    </row>
    <row r="835638" spans="1:1" x14ac:dyDescent="0.25">
      <c r="A835638" s="13" t="s">
        <v>103</v>
      </c>
    </row>
    <row r="835639" spans="1:1" x14ac:dyDescent="0.25">
      <c r="A835639" s="13" t="s">
        <v>104</v>
      </c>
    </row>
    <row r="835640" spans="1:1" x14ac:dyDescent="0.25">
      <c r="A835640" s="13" t="s">
        <v>105</v>
      </c>
    </row>
    <row r="851970" spans="1:1" x14ac:dyDescent="0.25">
      <c r="A851970" s="13" t="s">
        <v>0</v>
      </c>
    </row>
    <row r="851971" spans="1:1" x14ac:dyDescent="0.25">
      <c r="A851971" s="13" t="s">
        <v>125</v>
      </c>
    </row>
    <row r="851972" spans="1:1" x14ac:dyDescent="0.25">
      <c r="A851972" s="13" t="s">
        <v>1</v>
      </c>
    </row>
    <row r="851973" spans="1:1" x14ac:dyDescent="0.25">
      <c r="A851973" s="13" t="s">
        <v>2</v>
      </c>
    </row>
    <row r="851974" spans="1:1" x14ac:dyDescent="0.25">
      <c r="A851974" s="14" t="s">
        <v>25</v>
      </c>
    </row>
    <row r="851975" spans="1:1" x14ac:dyDescent="0.25">
      <c r="A851975" s="13" t="s">
        <v>126</v>
      </c>
    </row>
    <row r="851976" spans="1:1" x14ac:dyDescent="0.25">
      <c r="A851976" s="13" t="s">
        <v>127</v>
      </c>
    </row>
    <row r="851977" spans="1:1" x14ac:dyDescent="0.25">
      <c r="A851977" s="13" t="s">
        <v>88</v>
      </c>
    </row>
    <row r="851978" spans="1:1" x14ac:dyDescent="0.25">
      <c r="A851978" s="13" t="s">
        <v>22</v>
      </c>
    </row>
    <row r="851979" spans="1:1" x14ac:dyDescent="0.25">
      <c r="A851979" s="13" t="s">
        <v>3</v>
      </c>
    </row>
    <row r="851980" spans="1:1" x14ac:dyDescent="0.25">
      <c r="A851980" s="15" t="s">
        <v>95</v>
      </c>
    </row>
    <row r="851981" spans="1:1" x14ac:dyDescent="0.25">
      <c r="A851981" s="15" t="s">
        <v>94</v>
      </c>
    </row>
    <row r="851982" spans="1:1" x14ac:dyDescent="0.25">
      <c r="A851982" s="15" t="s">
        <v>4</v>
      </c>
    </row>
    <row r="851983" spans="1:1" x14ac:dyDescent="0.25">
      <c r="A851983" s="15" t="s">
        <v>118</v>
      </c>
    </row>
    <row r="851984" spans="1:1" x14ac:dyDescent="0.25">
      <c r="A851984" s="15" t="s">
        <v>5</v>
      </c>
    </row>
    <row r="851985" spans="1:1" x14ac:dyDescent="0.25">
      <c r="A851985" s="15" t="s">
        <v>6</v>
      </c>
    </row>
    <row r="851986" spans="1:1" x14ac:dyDescent="0.25">
      <c r="A851986" s="15" t="s">
        <v>7</v>
      </c>
    </row>
    <row r="851987" spans="1:1" x14ac:dyDescent="0.25">
      <c r="A851987" s="15" t="s">
        <v>8</v>
      </c>
    </row>
    <row r="851988" spans="1:1" x14ac:dyDescent="0.25">
      <c r="A851988" s="15" t="s">
        <v>9</v>
      </c>
    </row>
    <row r="851989" spans="1:1" x14ac:dyDescent="0.25">
      <c r="A851989" s="15" t="s">
        <v>10</v>
      </c>
    </row>
    <row r="851990" spans="1:1" x14ac:dyDescent="0.25">
      <c r="A851990" s="15" t="s">
        <v>11</v>
      </c>
    </row>
    <row r="851991" spans="1:1" x14ac:dyDescent="0.25">
      <c r="A851991" s="15" t="s">
        <v>12</v>
      </c>
    </row>
    <row r="851992" spans="1:1" x14ac:dyDescent="0.25">
      <c r="A851992" s="15" t="s">
        <v>13</v>
      </c>
    </row>
    <row r="851993" spans="1:1" x14ac:dyDescent="0.25">
      <c r="A851993" s="15" t="s">
        <v>14</v>
      </c>
    </row>
    <row r="851994" spans="1:1" x14ac:dyDescent="0.25">
      <c r="A851994" s="13" t="s">
        <v>31</v>
      </c>
    </row>
    <row r="851995" spans="1:1" x14ac:dyDescent="0.25">
      <c r="A851995" s="13" t="s">
        <v>87</v>
      </c>
    </row>
    <row r="851996" spans="1:1" x14ac:dyDescent="0.25">
      <c r="A851996" s="15" t="s">
        <v>30</v>
      </c>
    </row>
    <row r="851997" spans="1:1" x14ac:dyDescent="0.25">
      <c r="A851997" s="15" t="s">
        <v>26</v>
      </c>
    </row>
    <row r="851998" spans="1:1" x14ac:dyDescent="0.25">
      <c r="A851998" s="15" t="s">
        <v>27</v>
      </c>
    </row>
    <row r="851999" spans="1:1" x14ac:dyDescent="0.25">
      <c r="A851999" s="15" t="s">
        <v>28</v>
      </c>
    </row>
    <row r="852000" spans="1:1" x14ac:dyDescent="0.25">
      <c r="A852000" s="15" t="s">
        <v>89</v>
      </c>
    </row>
    <row r="852001" spans="1:1" x14ac:dyDescent="0.25">
      <c r="A852001" s="15" t="s">
        <v>90</v>
      </c>
    </row>
    <row r="852002" spans="1:1" x14ac:dyDescent="0.25">
      <c r="A852002" s="15" t="s">
        <v>185</v>
      </c>
    </row>
    <row r="852003" spans="1:1" x14ac:dyDescent="0.25">
      <c r="A852003" s="15" t="s">
        <v>186</v>
      </c>
    </row>
    <row r="852004" spans="1:1" x14ac:dyDescent="0.25">
      <c r="A852004" s="15" t="s">
        <v>187</v>
      </c>
    </row>
    <row r="852005" spans="1:1" x14ac:dyDescent="0.25">
      <c r="A852005" s="15" t="s">
        <v>188</v>
      </c>
    </row>
    <row r="852006" spans="1:1" x14ac:dyDescent="0.25">
      <c r="A852006" s="15" t="s">
        <v>189</v>
      </c>
    </row>
    <row r="852007" spans="1:1" x14ac:dyDescent="0.25">
      <c r="A852007" s="15" t="s">
        <v>190</v>
      </c>
    </row>
    <row r="852008" spans="1:1" x14ac:dyDescent="0.25">
      <c r="A852008" s="15" t="s">
        <v>191</v>
      </c>
    </row>
    <row r="852009" spans="1:1" x14ac:dyDescent="0.25">
      <c r="A852009" s="14" t="s">
        <v>47</v>
      </c>
    </row>
    <row r="852010" spans="1:1" x14ac:dyDescent="0.25">
      <c r="A852010" s="14" t="s">
        <v>119</v>
      </c>
    </row>
    <row r="852011" spans="1:1" x14ac:dyDescent="0.25">
      <c r="A852011" s="14" t="s">
        <v>86</v>
      </c>
    </row>
    <row r="852012" spans="1:1" x14ac:dyDescent="0.25">
      <c r="A852012" s="13" t="s">
        <v>21</v>
      </c>
    </row>
    <row r="852013" spans="1:1" x14ac:dyDescent="0.25">
      <c r="A852013" s="14" t="s">
        <v>92</v>
      </c>
    </row>
    <row r="852014" spans="1:1" x14ac:dyDescent="0.25">
      <c r="A852014" s="14" t="s">
        <v>93</v>
      </c>
    </row>
    <row r="852015" spans="1:1" x14ac:dyDescent="0.25">
      <c r="A852015" s="14" t="s">
        <v>99</v>
      </c>
    </row>
    <row r="852016" spans="1:1" x14ac:dyDescent="0.25">
      <c r="A852016" s="14" t="s">
        <v>100</v>
      </c>
    </row>
    <row r="852017" spans="1:1" x14ac:dyDescent="0.25">
      <c r="A852017" s="13" t="s">
        <v>24</v>
      </c>
    </row>
    <row r="852018" spans="1:1" x14ac:dyDescent="0.25">
      <c r="A852018" s="13" t="s">
        <v>83</v>
      </c>
    </row>
    <row r="852019" spans="1:1" x14ac:dyDescent="0.25">
      <c r="A852019" s="13" t="s">
        <v>106</v>
      </c>
    </row>
    <row r="852020" spans="1:1" x14ac:dyDescent="0.25">
      <c r="A852020" s="13" t="s">
        <v>101</v>
      </c>
    </row>
    <row r="852021" spans="1:1" x14ac:dyDescent="0.25">
      <c r="A852021" s="13" t="s">
        <v>102</v>
      </c>
    </row>
    <row r="852022" spans="1:1" x14ac:dyDescent="0.25">
      <c r="A852022" s="13" t="s">
        <v>103</v>
      </c>
    </row>
    <row r="852023" spans="1:1" x14ac:dyDescent="0.25">
      <c r="A852023" s="13" t="s">
        <v>104</v>
      </c>
    </row>
    <row r="852024" spans="1:1" x14ac:dyDescent="0.25">
      <c r="A852024" s="13" t="s">
        <v>105</v>
      </c>
    </row>
    <row r="868354" spans="1:1" x14ac:dyDescent="0.25">
      <c r="A868354" s="13" t="s">
        <v>0</v>
      </c>
    </row>
    <row r="868355" spans="1:1" x14ac:dyDescent="0.25">
      <c r="A868355" s="13" t="s">
        <v>125</v>
      </c>
    </row>
    <row r="868356" spans="1:1" x14ac:dyDescent="0.25">
      <c r="A868356" s="13" t="s">
        <v>1</v>
      </c>
    </row>
    <row r="868357" spans="1:1" x14ac:dyDescent="0.25">
      <c r="A868357" s="13" t="s">
        <v>2</v>
      </c>
    </row>
    <row r="868358" spans="1:1" x14ac:dyDescent="0.25">
      <c r="A868358" s="14" t="s">
        <v>25</v>
      </c>
    </row>
    <row r="868359" spans="1:1" x14ac:dyDescent="0.25">
      <c r="A868359" s="13" t="s">
        <v>126</v>
      </c>
    </row>
    <row r="868360" spans="1:1" x14ac:dyDescent="0.25">
      <c r="A868360" s="13" t="s">
        <v>127</v>
      </c>
    </row>
    <row r="868361" spans="1:1" x14ac:dyDescent="0.25">
      <c r="A868361" s="13" t="s">
        <v>88</v>
      </c>
    </row>
    <row r="868362" spans="1:1" x14ac:dyDescent="0.25">
      <c r="A868362" s="13" t="s">
        <v>22</v>
      </c>
    </row>
    <row r="868363" spans="1:1" x14ac:dyDescent="0.25">
      <c r="A868363" s="13" t="s">
        <v>3</v>
      </c>
    </row>
    <row r="868364" spans="1:1" x14ac:dyDescent="0.25">
      <c r="A868364" s="15" t="s">
        <v>95</v>
      </c>
    </row>
    <row r="868365" spans="1:1" x14ac:dyDescent="0.25">
      <c r="A868365" s="15" t="s">
        <v>94</v>
      </c>
    </row>
    <row r="868366" spans="1:1" x14ac:dyDescent="0.25">
      <c r="A868366" s="15" t="s">
        <v>4</v>
      </c>
    </row>
    <row r="868367" spans="1:1" x14ac:dyDescent="0.25">
      <c r="A868367" s="15" t="s">
        <v>118</v>
      </c>
    </row>
    <row r="868368" spans="1:1" x14ac:dyDescent="0.25">
      <c r="A868368" s="15" t="s">
        <v>5</v>
      </c>
    </row>
    <row r="868369" spans="1:1" x14ac:dyDescent="0.25">
      <c r="A868369" s="15" t="s">
        <v>6</v>
      </c>
    </row>
    <row r="868370" spans="1:1" x14ac:dyDescent="0.25">
      <c r="A868370" s="15" t="s">
        <v>7</v>
      </c>
    </row>
    <row r="868371" spans="1:1" x14ac:dyDescent="0.25">
      <c r="A868371" s="15" t="s">
        <v>8</v>
      </c>
    </row>
    <row r="868372" spans="1:1" x14ac:dyDescent="0.25">
      <c r="A868372" s="15" t="s">
        <v>9</v>
      </c>
    </row>
    <row r="868373" spans="1:1" x14ac:dyDescent="0.25">
      <c r="A868373" s="15" t="s">
        <v>10</v>
      </c>
    </row>
    <row r="868374" spans="1:1" x14ac:dyDescent="0.25">
      <c r="A868374" s="15" t="s">
        <v>11</v>
      </c>
    </row>
    <row r="868375" spans="1:1" x14ac:dyDescent="0.25">
      <c r="A868375" s="15" t="s">
        <v>12</v>
      </c>
    </row>
    <row r="868376" spans="1:1" x14ac:dyDescent="0.25">
      <c r="A868376" s="15" t="s">
        <v>13</v>
      </c>
    </row>
    <row r="868377" spans="1:1" x14ac:dyDescent="0.25">
      <c r="A868377" s="15" t="s">
        <v>14</v>
      </c>
    </row>
    <row r="868378" spans="1:1" x14ac:dyDescent="0.25">
      <c r="A868378" s="13" t="s">
        <v>31</v>
      </c>
    </row>
    <row r="868379" spans="1:1" x14ac:dyDescent="0.25">
      <c r="A868379" s="13" t="s">
        <v>87</v>
      </c>
    </row>
    <row r="868380" spans="1:1" x14ac:dyDescent="0.25">
      <c r="A868380" s="15" t="s">
        <v>30</v>
      </c>
    </row>
    <row r="868381" spans="1:1" x14ac:dyDescent="0.25">
      <c r="A868381" s="15" t="s">
        <v>26</v>
      </c>
    </row>
    <row r="868382" spans="1:1" x14ac:dyDescent="0.25">
      <c r="A868382" s="15" t="s">
        <v>27</v>
      </c>
    </row>
    <row r="868383" spans="1:1" x14ac:dyDescent="0.25">
      <c r="A868383" s="15" t="s">
        <v>28</v>
      </c>
    </row>
    <row r="868384" spans="1:1" x14ac:dyDescent="0.25">
      <c r="A868384" s="15" t="s">
        <v>89</v>
      </c>
    </row>
    <row r="868385" spans="1:1" x14ac:dyDescent="0.25">
      <c r="A868385" s="15" t="s">
        <v>90</v>
      </c>
    </row>
    <row r="868386" spans="1:1" x14ac:dyDescent="0.25">
      <c r="A868386" s="15" t="s">
        <v>185</v>
      </c>
    </row>
    <row r="868387" spans="1:1" x14ac:dyDescent="0.25">
      <c r="A868387" s="15" t="s">
        <v>186</v>
      </c>
    </row>
    <row r="868388" spans="1:1" x14ac:dyDescent="0.25">
      <c r="A868388" s="15" t="s">
        <v>187</v>
      </c>
    </row>
    <row r="868389" spans="1:1" x14ac:dyDescent="0.25">
      <c r="A868389" s="15" t="s">
        <v>188</v>
      </c>
    </row>
    <row r="868390" spans="1:1" x14ac:dyDescent="0.25">
      <c r="A868390" s="15" t="s">
        <v>189</v>
      </c>
    </row>
    <row r="868391" spans="1:1" x14ac:dyDescent="0.25">
      <c r="A868391" s="15" t="s">
        <v>190</v>
      </c>
    </row>
    <row r="868392" spans="1:1" x14ac:dyDescent="0.25">
      <c r="A868392" s="15" t="s">
        <v>191</v>
      </c>
    </row>
    <row r="868393" spans="1:1" x14ac:dyDescent="0.25">
      <c r="A868393" s="14" t="s">
        <v>47</v>
      </c>
    </row>
    <row r="868394" spans="1:1" x14ac:dyDescent="0.25">
      <c r="A868394" s="14" t="s">
        <v>119</v>
      </c>
    </row>
    <row r="868395" spans="1:1" x14ac:dyDescent="0.25">
      <c r="A868395" s="14" t="s">
        <v>86</v>
      </c>
    </row>
    <row r="868396" spans="1:1" x14ac:dyDescent="0.25">
      <c r="A868396" s="13" t="s">
        <v>21</v>
      </c>
    </row>
    <row r="868397" spans="1:1" x14ac:dyDescent="0.25">
      <c r="A868397" s="14" t="s">
        <v>92</v>
      </c>
    </row>
    <row r="868398" spans="1:1" x14ac:dyDescent="0.25">
      <c r="A868398" s="14" t="s">
        <v>93</v>
      </c>
    </row>
    <row r="868399" spans="1:1" x14ac:dyDescent="0.25">
      <c r="A868399" s="14" t="s">
        <v>99</v>
      </c>
    </row>
    <row r="868400" spans="1:1" x14ac:dyDescent="0.25">
      <c r="A868400" s="14" t="s">
        <v>100</v>
      </c>
    </row>
    <row r="868401" spans="1:1" x14ac:dyDescent="0.25">
      <c r="A868401" s="13" t="s">
        <v>24</v>
      </c>
    </row>
    <row r="868402" spans="1:1" x14ac:dyDescent="0.25">
      <c r="A868402" s="13" t="s">
        <v>83</v>
      </c>
    </row>
    <row r="868403" spans="1:1" x14ac:dyDescent="0.25">
      <c r="A868403" s="13" t="s">
        <v>106</v>
      </c>
    </row>
    <row r="868404" spans="1:1" x14ac:dyDescent="0.25">
      <c r="A868404" s="13" t="s">
        <v>101</v>
      </c>
    </row>
    <row r="868405" spans="1:1" x14ac:dyDescent="0.25">
      <c r="A868405" s="13" t="s">
        <v>102</v>
      </c>
    </row>
    <row r="868406" spans="1:1" x14ac:dyDescent="0.25">
      <c r="A868406" s="13" t="s">
        <v>103</v>
      </c>
    </row>
    <row r="868407" spans="1:1" x14ac:dyDescent="0.25">
      <c r="A868407" s="13" t="s">
        <v>104</v>
      </c>
    </row>
    <row r="868408" spans="1:1" x14ac:dyDescent="0.25">
      <c r="A868408" s="13" t="s">
        <v>105</v>
      </c>
    </row>
    <row r="884738" spans="1:1" x14ac:dyDescent="0.25">
      <c r="A884738" s="13" t="s">
        <v>0</v>
      </c>
    </row>
    <row r="884739" spans="1:1" x14ac:dyDescent="0.25">
      <c r="A884739" s="13" t="s">
        <v>125</v>
      </c>
    </row>
    <row r="884740" spans="1:1" x14ac:dyDescent="0.25">
      <c r="A884740" s="13" t="s">
        <v>1</v>
      </c>
    </row>
    <row r="884741" spans="1:1" x14ac:dyDescent="0.25">
      <c r="A884741" s="13" t="s">
        <v>2</v>
      </c>
    </row>
    <row r="884742" spans="1:1" x14ac:dyDescent="0.25">
      <c r="A884742" s="14" t="s">
        <v>25</v>
      </c>
    </row>
    <row r="884743" spans="1:1" x14ac:dyDescent="0.25">
      <c r="A884743" s="13" t="s">
        <v>126</v>
      </c>
    </row>
    <row r="884744" spans="1:1" x14ac:dyDescent="0.25">
      <c r="A884744" s="13" t="s">
        <v>127</v>
      </c>
    </row>
    <row r="884745" spans="1:1" x14ac:dyDescent="0.25">
      <c r="A884745" s="13" t="s">
        <v>88</v>
      </c>
    </row>
    <row r="884746" spans="1:1" x14ac:dyDescent="0.25">
      <c r="A884746" s="13" t="s">
        <v>22</v>
      </c>
    </row>
    <row r="884747" spans="1:1" x14ac:dyDescent="0.25">
      <c r="A884747" s="13" t="s">
        <v>3</v>
      </c>
    </row>
    <row r="884748" spans="1:1" x14ac:dyDescent="0.25">
      <c r="A884748" s="15" t="s">
        <v>95</v>
      </c>
    </row>
    <row r="884749" spans="1:1" x14ac:dyDescent="0.25">
      <c r="A884749" s="15" t="s">
        <v>94</v>
      </c>
    </row>
    <row r="884750" spans="1:1" x14ac:dyDescent="0.25">
      <c r="A884750" s="15" t="s">
        <v>4</v>
      </c>
    </row>
    <row r="884751" spans="1:1" x14ac:dyDescent="0.25">
      <c r="A884751" s="15" t="s">
        <v>118</v>
      </c>
    </row>
    <row r="884752" spans="1:1" x14ac:dyDescent="0.25">
      <c r="A884752" s="15" t="s">
        <v>5</v>
      </c>
    </row>
    <row r="884753" spans="1:1" x14ac:dyDescent="0.25">
      <c r="A884753" s="15" t="s">
        <v>6</v>
      </c>
    </row>
    <row r="884754" spans="1:1" x14ac:dyDescent="0.25">
      <c r="A884754" s="15" t="s">
        <v>7</v>
      </c>
    </row>
    <row r="884755" spans="1:1" x14ac:dyDescent="0.25">
      <c r="A884755" s="15" t="s">
        <v>8</v>
      </c>
    </row>
    <row r="884756" spans="1:1" x14ac:dyDescent="0.25">
      <c r="A884756" s="15" t="s">
        <v>9</v>
      </c>
    </row>
    <row r="884757" spans="1:1" x14ac:dyDescent="0.25">
      <c r="A884757" s="15" t="s">
        <v>10</v>
      </c>
    </row>
    <row r="884758" spans="1:1" x14ac:dyDescent="0.25">
      <c r="A884758" s="15" t="s">
        <v>11</v>
      </c>
    </row>
    <row r="884759" spans="1:1" x14ac:dyDescent="0.25">
      <c r="A884759" s="15" t="s">
        <v>12</v>
      </c>
    </row>
    <row r="884760" spans="1:1" x14ac:dyDescent="0.25">
      <c r="A884760" s="15" t="s">
        <v>13</v>
      </c>
    </row>
    <row r="884761" spans="1:1" x14ac:dyDescent="0.25">
      <c r="A884761" s="15" t="s">
        <v>14</v>
      </c>
    </row>
    <row r="884762" spans="1:1" x14ac:dyDescent="0.25">
      <c r="A884762" s="13" t="s">
        <v>31</v>
      </c>
    </row>
    <row r="884763" spans="1:1" x14ac:dyDescent="0.25">
      <c r="A884763" s="13" t="s">
        <v>87</v>
      </c>
    </row>
    <row r="884764" spans="1:1" x14ac:dyDescent="0.25">
      <c r="A884764" s="15" t="s">
        <v>30</v>
      </c>
    </row>
    <row r="884765" spans="1:1" x14ac:dyDescent="0.25">
      <c r="A884765" s="15" t="s">
        <v>26</v>
      </c>
    </row>
    <row r="884766" spans="1:1" x14ac:dyDescent="0.25">
      <c r="A884766" s="15" t="s">
        <v>27</v>
      </c>
    </row>
    <row r="884767" spans="1:1" x14ac:dyDescent="0.25">
      <c r="A884767" s="15" t="s">
        <v>28</v>
      </c>
    </row>
    <row r="884768" spans="1:1" x14ac:dyDescent="0.25">
      <c r="A884768" s="15" t="s">
        <v>89</v>
      </c>
    </row>
    <row r="884769" spans="1:1" x14ac:dyDescent="0.25">
      <c r="A884769" s="15" t="s">
        <v>90</v>
      </c>
    </row>
    <row r="884770" spans="1:1" x14ac:dyDescent="0.25">
      <c r="A884770" s="15" t="s">
        <v>185</v>
      </c>
    </row>
    <row r="884771" spans="1:1" x14ac:dyDescent="0.25">
      <c r="A884771" s="15" t="s">
        <v>186</v>
      </c>
    </row>
    <row r="884772" spans="1:1" x14ac:dyDescent="0.25">
      <c r="A884772" s="15" t="s">
        <v>187</v>
      </c>
    </row>
    <row r="884773" spans="1:1" x14ac:dyDescent="0.25">
      <c r="A884773" s="15" t="s">
        <v>188</v>
      </c>
    </row>
    <row r="884774" spans="1:1" x14ac:dyDescent="0.25">
      <c r="A884774" s="15" t="s">
        <v>189</v>
      </c>
    </row>
    <row r="884775" spans="1:1" x14ac:dyDescent="0.25">
      <c r="A884775" s="15" t="s">
        <v>190</v>
      </c>
    </row>
    <row r="884776" spans="1:1" x14ac:dyDescent="0.25">
      <c r="A884776" s="15" t="s">
        <v>191</v>
      </c>
    </row>
    <row r="884777" spans="1:1" x14ac:dyDescent="0.25">
      <c r="A884777" s="14" t="s">
        <v>47</v>
      </c>
    </row>
    <row r="884778" spans="1:1" x14ac:dyDescent="0.25">
      <c r="A884778" s="14" t="s">
        <v>119</v>
      </c>
    </row>
    <row r="884779" spans="1:1" x14ac:dyDescent="0.25">
      <c r="A884779" s="14" t="s">
        <v>86</v>
      </c>
    </row>
    <row r="884780" spans="1:1" x14ac:dyDescent="0.25">
      <c r="A884780" s="13" t="s">
        <v>21</v>
      </c>
    </row>
    <row r="884781" spans="1:1" x14ac:dyDescent="0.25">
      <c r="A884781" s="14" t="s">
        <v>92</v>
      </c>
    </row>
    <row r="884782" spans="1:1" x14ac:dyDescent="0.25">
      <c r="A884782" s="14" t="s">
        <v>93</v>
      </c>
    </row>
    <row r="884783" spans="1:1" x14ac:dyDescent="0.25">
      <c r="A884783" s="14" t="s">
        <v>99</v>
      </c>
    </row>
    <row r="884784" spans="1:1" x14ac:dyDescent="0.25">
      <c r="A884784" s="14" t="s">
        <v>100</v>
      </c>
    </row>
    <row r="884785" spans="1:1" x14ac:dyDescent="0.25">
      <c r="A884785" s="13" t="s">
        <v>24</v>
      </c>
    </row>
    <row r="884786" spans="1:1" x14ac:dyDescent="0.25">
      <c r="A884786" s="13" t="s">
        <v>83</v>
      </c>
    </row>
    <row r="884787" spans="1:1" x14ac:dyDescent="0.25">
      <c r="A884787" s="13" t="s">
        <v>106</v>
      </c>
    </row>
    <row r="884788" spans="1:1" x14ac:dyDescent="0.25">
      <c r="A884788" s="13" t="s">
        <v>101</v>
      </c>
    </row>
    <row r="884789" spans="1:1" x14ac:dyDescent="0.25">
      <c r="A884789" s="13" t="s">
        <v>102</v>
      </c>
    </row>
    <row r="884790" spans="1:1" x14ac:dyDescent="0.25">
      <c r="A884790" s="13" t="s">
        <v>103</v>
      </c>
    </row>
    <row r="884791" spans="1:1" x14ac:dyDescent="0.25">
      <c r="A884791" s="13" t="s">
        <v>104</v>
      </c>
    </row>
    <row r="884792" spans="1:1" x14ac:dyDescent="0.25">
      <c r="A884792" s="13" t="s">
        <v>105</v>
      </c>
    </row>
    <row r="901122" spans="1:1" x14ac:dyDescent="0.25">
      <c r="A901122" s="13" t="s">
        <v>0</v>
      </c>
    </row>
    <row r="901123" spans="1:1" x14ac:dyDescent="0.25">
      <c r="A901123" s="13" t="s">
        <v>125</v>
      </c>
    </row>
    <row r="901124" spans="1:1" x14ac:dyDescent="0.25">
      <c r="A901124" s="13" t="s">
        <v>1</v>
      </c>
    </row>
    <row r="901125" spans="1:1" x14ac:dyDescent="0.25">
      <c r="A901125" s="13" t="s">
        <v>2</v>
      </c>
    </row>
    <row r="901126" spans="1:1" x14ac:dyDescent="0.25">
      <c r="A901126" s="14" t="s">
        <v>25</v>
      </c>
    </row>
    <row r="901127" spans="1:1" x14ac:dyDescent="0.25">
      <c r="A901127" s="13" t="s">
        <v>126</v>
      </c>
    </row>
    <row r="901128" spans="1:1" x14ac:dyDescent="0.25">
      <c r="A901128" s="13" t="s">
        <v>127</v>
      </c>
    </row>
    <row r="901129" spans="1:1" x14ac:dyDescent="0.25">
      <c r="A901129" s="13" t="s">
        <v>88</v>
      </c>
    </row>
    <row r="901130" spans="1:1" x14ac:dyDescent="0.25">
      <c r="A901130" s="13" t="s">
        <v>22</v>
      </c>
    </row>
    <row r="901131" spans="1:1" x14ac:dyDescent="0.25">
      <c r="A901131" s="13" t="s">
        <v>3</v>
      </c>
    </row>
    <row r="901132" spans="1:1" x14ac:dyDescent="0.25">
      <c r="A901132" s="15" t="s">
        <v>95</v>
      </c>
    </row>
    <row r="901133" spans="1:1" x14ac:dyDescent="0.25">
      <c r="A901133" s="15" t="s">
        <v>94</v>
      </c>
    </row>
    <row r="901134" spans="1:1" x14ac:dyDescent="0.25">
      <c r="A901134" s="15" t="s">
        <v>4</v>
      </c>
    </row>
    <row r="901135" spans="1:1" x14ac:dyDescent="0.25">
      <c r="A901135" s="15" t="s">
        <v>118</v>
      </c>
    </row>
    <row r="901136" spans="1:1" x14ac:dyDescent="0.25">
      <c r="A901136" s="15" t="s">
        <v>5</v>
      </c>
    </row>
    <row r="901137" spans="1:1" x14ac:dyDescent="0.25">
      <c r="A901137" s="15" t="s">
        <v>6</v>
      </c>
    </row>
    <row r="901138" spans="1:1" x14ac:dyDescent="0.25">
      <c r="A901138" s="15" t="s">
        <v>7</v>
      </c>
    </row>
    <row r="901139" spans="1:1" x14ac:dyDescent="0.25">
      <c r="A901139" s="15" t="s">
        <v>8</v>
      </c>
    </row>
    <row r="901140" spans="1:1" x14ac:dyDescent="0.25">
      <c r="A901140" s="15" t="s">
        <v>9</v>
      </c>
    </row>
    <row r="901141" spans="1:1" x14ac:dyDescent="0.25">
      <c r="A901141" s="15" t="s">
        <v>10</v>
      </c>
    </row>
    <row r="901142" spans="1:1" x14ac:dyDescent="0.25">
      <c r="A901142" s="15" t="s">
        <v>11</v>
      </c>
    </row>
    <row r="901143" spans="1:1" x14ac:dyDescent="0.25">
      <c r="A901143" s="15" t="s">
        <v>12</v>
      </c>
    </row>
    <row r="901144" spans="1:1" x14ac:dyDescent="0.25">
      <c r="A901144" s="15" t="s">
        <v>13</v>
      </c>
    </row>
    <row r="901145" spans="1:1" x14ac:dyDescent="0.25">
      <c r="A901145" s="15" t="s">
        <v>14</v>
      </c>
    </row>
    <row r="901146" spans="1:1" x14ac:dyDescent="0.25">
      <c r="A901146" s="13" t="s">
        <v>31</v>
      </c>
    </row>
    <row r="901147" spans="1:1" x14ac:dyDescent="0.25">
      <c r="A901147" s="13" t="s">
        <v>87</v>
      </c>
    </row>
    <row r="901148" spans="1:1" x14ac:dyDescent="0.25">
      <c r="A901148" s="15" t="s">
        <v>30</v>
      </c>
    </row>
    <row r="901149" spans="1:1" x14ac:dyDescent="0.25">
      <c r="A901149" s="15" t="s">
        <v>26</v>
      </c>
    </row>
    <row r="901150" spans="1:1" x14ac:dyDescent="0.25">
      <c r="A901150" s="15" t="s">
        <v>27</v>
      </c>
    </row>
    <row r="901151" spans="1:1" x14ac:dyDescent="0.25">
      <c r="A901151" s="15" t="s">
        <v>28</v>
      </c>
    </row>
    <row r="901152" spans="1:1" x14ac:dyDescent="0.25">
      <c r="A901152" s="15" t="s">
        <v>89</v>
      </c>
    </row>
    <row r="901153" spans="1:1" x14ac:dyDescent="0.25">
      <c r="A901153" s="15" t="s">
        <v>90</v>
      </c>
    </row>
    <row r="901154" spans="1:1" x14ac:dyDescent="0.25">
      <c r="A901154" s="15" t="s">
        <v>185</v>
      </c>
    </row>
    <row r="901155" spans="1:1" x14ac:dyDescent="0.25">
      <c r="A901155" s="15" t="s">
        <v>186</v>
      </c>
    </row>
    <row r="901156" spans="1:1" x14ac:dyDescent="0.25">
      <c r="A901156" s="15" t="s">
        <v>187</v>
      </c>
    </row>
    <row r="901157" spans="1:1" x14ac:dyDescent="0.25">
      <c r="A901157" s="15" t="s">
        <v>188</v>
      </c>
    </row>
    <row r="901158" spans="1:1" x14ac:dyDescent="0.25">
      <c r="A901158" s="15" t="s">
        <v>189</v>
      </c>
    </row>
    <row r="901159" spans="1:1" x14ac:dyDescent="0.25">
      <c r="A901159" s="15" t="s">
        <v>190</v>
      </c>
    </row>
    <row r="901160" spans="1:1" x14ac:dyDescent="0.25">
      <c r="A901160" s="15" t="s">
        <v>191</v>
      </c>
    </row>
    <row r="901161" spans="1:1" x14ac:dyDescent="0.25">
      <c r="A901161" s="14" t="s">
        <v>47</v>
      </c>
    </row>
    <row r="901162" spans="1:1" x14ac:dyDescent="0.25">
      <c r="A901162" s="14" t="s">
        <v>119</v>
      </c>
    </row>
    <row r="901163" spans="1:1" x14ac:dyDescent="0.25">
      <c r="A901163" s="14" t="s">
        <v>86</v>
      </c>
    </row>
    <row r="901164" spans="1:1" x14ac:dyDescent="0.25">
      <c r="A901164" s="13" t="s">
        <v>21</v>
      </c>
    </row>
    <row r="901165" spans="1:1" x14ac:dyDescent="0.25">
      <c r="A901165" s="14" t="s">
        <v>92</v>
      </c>
    </row>
    <row r="901166" spans="1:1" x14ac:dyDescent="0.25">
      <c r="A901166" s="14" t="s">
        <v>93</v>
      </c>
    </row>
    <row r="901167" spans="1:1" x14ac:dyDescent="0.25">
      <c r="A901167" s="14" t="s">
        <v>99</v>
      </c>
    </row>
    <row r="901168" spans="1:1" x14ac:dyDescent="0.25">
      <c r="A901168" s="14" t="s">
        <v>100</v>
      </c>
    </row>
    <row r="901169" spans="1:1" x14ac:dyDescent="0.25">
      <c r="A901169" s="13" t="s">
        <v>24</v>
      </c>
    </row>
    <row r="901170" spans="1:1" x14ac:dyDescent="0.25">
      <c r="A901170" s="13" t="s">
        <v>83</v>
      </c>
    </row>
    <row r="901171" spans="1:1" x14ac:dyDescent="0.25">
      <c r="A901171" s="13" t="s">
        <v>106</v>
      </c>
    </row>
    <row r="901172" spans="1:1" x14ac:dyDescent="0.25">
      <c r="A901172" s="13" t="s">
        <v>101</v>
      </c>
    </row>
    <row r="901173" spans="1:1" x14ac:dyDescent="0.25">
      <c r="A901173" s="13" t="s">
        <v>102</v>
      </c>
    </row>
    <row r="901174" spans="1:1" x14ac:dyDescent="0.25">
      <c r="A901174" s="13" t="s">
        <v>103</v>
      </c>
    </row>
    <row r="901175" spans="1:1" x14ac:dyDescent="0.25">
      <c r="A901175" s="13" t="s">
        <v>104</v>
      </c>
    </row>
    <row r="901176" spans="1:1" x14ac:dyDescent="0.25">
      <c r="A901176" s="13" t="s">
        <v>105</v>
      </c>
    </row>
    <row r="917506" spans="1:1" x14ac:dyDescent="0.25">
      <c r="A917506" s="13" t="s">
        <v>0</v>
      </c>
    </row>
    <row r="917507" spans="1:1" x14ac:dyDescent="0.25">
      <c r="A917507" s="13" t="s">
        <v>125</v>
      </c>
    </row>
    <row r="917508" spans="1:1" x14ac:dyDescent="0.25">
      <c r="A917508" s="13" t="s">
        <v>1</v>
      </c>
    </row>
    <row r="917509" spans="1:1" x14ac:dyDescent="0.25">
      <c r="A917509" s="13" t="s">
        <v>2</v>
      </c>
    </row>
    <row r="917510" spans="1:1" x14ac:dyDescent="0.25">
      <c r="A917510" s="14" t="s">
        <v>25</v>
      </c>
    </row>
    <row r="917511" spans="1:1" x14ac:dyDescent="0.25">
      <c r="A917511" s="13" t="s">
        <v>126</v>
      </c>
    </row>
    <row r="917512" spans="1:1" x14ac:dyDescent="0.25">
      <c r="A917512" s="13" t="s">
        <v>127</v>
      </c>
    </row>
    <row r="917513" spans="1:1" x14ac:dyDescent="0.25">
      <c r="A917513" s="13" t="s">
        <v>88</v>
      </c>
    </row>
    <row r="917514" spans="1:1" x14ac:dyDescent="0.25">
      <c r="A917514" s="13" t="s">
        <v>22</v>
      </c>
    </row>
    <row r="917515" spans="1:1" x14ac:dyDescent="0.25">
      <c r="A917515" s="13" t="s">
        <v>3</v>
      </c>
    </row>
    <row r="917516" spans="1:1" x14ac:dyDescent="0.25">
      <c r="A917516" s="15" t="s">
        <v>95</v>
      </c>
    </row>
    <row r="917517" spans="1:1" x14ac:dyDescent="0.25">
      <c r="A917517" s="15" t="s">
        <v>94</v>
      </c>
    </row>
    <row r="917518" spans="1:1" x14ac:dyDescent="0.25">
      <c r="A917518" s="15" t="s">
        <v>4</v>
      </c>
    </row>
    <row r="917519" spans="1:1" x14ac:dyDescent="0.25">
      <c r="A917519" s="15" t="s">
        <v>118</v>
      </c>
    </row>
    <row r="917520" spans="1:1" x14ac:dyDescent="0.25">
      <c r="A917520" s="15" t="s">
        <v>5</v>
      </c>
    </row>
    <row r="917521" spans="1:1" x14ac:dyDescent="0.25">
      <c r="A917521" s="15" t="s">
        <v>6</v>
      </c>
    </row>
    <row r="917522" spans="1:1" x14ac:dyDescent="0.25">
      <c r="A917522" s="15" t="s">
        <v>7</v>
      </c>
    </row>
    <row r="917523" spans="1:1" x14ac:dyDescent="0.25">
      <c r="A917523" s="15" t="s">
        <v>8</v>
      </c>
    </row>
    <row r="917524" spans="1:1" x14ac:dyDescent="0.25">
      <c r="A917524" s="15" t="s">
        <v>9</v>
      </c>
    </row>
    <row r="917525" spans="1:1" x14ac:dyDescent="0.25">
      <c r="A917525" s="15" t="s">
        <v>10</v>
      </c>
    </row>
    <row r="917526" spans="1:1" x14ac:dyDescent="0.25">
      <c r="A917526" s="15" t="s">
        <v>11</v>
      </c>
    </row>
    <row r="917527" spans="1:1" x14ac:dyDescent="0.25">
      <c r="A917527" s="15" t="s">
        <v>12</v>
      </c>
    </row>
    <row r="917528" spans="1:1" x14ac:dyDescent="0.25">
      <c r="A917528" s="15" t="s">
        <v>13</v>
      </c>
    </row>
    <row r="917529" spans="1:1" x14ac:dyDescent="0.25">
      <c r="A917529" s="15" t="s">
        <v>14</v>
      </c>
    </row>
    <row r="917530" spans="1:1" x14ac:dyDescent="0.25">
      <c r="A917530" s="13" t="s">
        <v>31</v>
      </c>
    </row>
    <row r="917531" spans="1:1" x14ac:dyDescent="0.25">
      <c r="A917531" s="13" t="s">
        <v>87</v>
      </c>
    </row>
    <row r="917532" spans="1:1" x14ac:dyDescent="0.25">
      <c r="A917532" s="15" t="s">
        <v>30</v>
      </c>
    </row>
    <row r="917533" spans="1:1" x14ac:dyDescent="0.25">
      <c r="A917533" s="15" t="s">
        <v>26</v>
      </c>
    </row>
    <row r="917534" spans="1:1" x14ac:dyDescent="0.25">
      <c r="A917534" s="15" t="s">
        <v>27</v>
      </c>
    </row>
    <row r="917535" spans="1:1" x14ac:dyDescent="0.25">
      <c r="A917535" s="15" t="s">
        <v>28</v>
      </c>
    </row>
    <row r="917536" spans="1:1" x14ac:dyDescent="0.25">
      <c r="A917536" s="15" t="s">
        <v>89</v>
      </c>
    </row>
    <row r="917537" spans="1:1" x14ac:dyDescent="0.25">
      <c r="A917537" s="15" t="s">
        <v>90</v>
      </c>
    </row>
    <row r="917538" spans="1:1" x14ac:dyDescent="0.25">
      <c r="A917538" s="15" t="s">
        <v>185</v>
      </c>
    </row>
    <row r="917539" spans="1:1" x14ac:dyDescent="0.25">
      <c r="A917539" s="15" t="s">
        <v>186</v>
      </c>
    </row>
    <row r="917540" spans="1:1" x14ac:dyDescent="0.25">
      <c r="A917540" s="15" t="s">
        <v>187</v>
      </c>
    </row>
    <row r="917541" spans="1:1" x14ac:dyDescent="0.25">
      <c r="A917541" s="15" t="s">
        <v>188</v>
      </c>
    </row>
    <row r="917542" spans="1:1" x14ac:dyDescent="0.25">
      <c r="A917542" s="15" t="s">
        <v>189</v>
      </c>
    </row>
    <row r="917543" spans="1:1" x14ac:dyDescent="0.25">
      <c r="A917543" s="15" t="s">
        <v>190</v>
      </c>
    </row>
    <row r="917544" spans="1:1" x14ac:dyDescent="0.25">
      <c r="A917544" s="15" t="s">
        <v>191</v>
      </c>
    </row>
    <row r="917545" spans="1:1" x14ac:dyDescent="0.25">
      <c r="A917545" s="14" t="s">
        <v>47</v>
      </c>
    </row>
    <row r="917546" spans="1:1" x14ac:dyDescent="0.25">
      <c r="A917546" s="14" t="s">
        <v>119</v>
      </c>
    </row>
    <row r="917547" spans="1:1" x14ac:dyDescent="0.25">
      <c r="A917547" s="14" t="s">
        <v>86</v>
      </c>
    </row>
    <row r="917548" spans="1:1" x14ac:dyDescent="0.25">
      <c r="A917548" s="13" t="s">
        <v>21</v>
      </c>
    </row>
    <row r="917549" spans="1:1" x14ac:dyDescent="0.25">
      <c r="A917549" s="14" t="s">
        <v>92</v>
      </c>
    </row>
    <row r="917550" spans="1:1" x14ac:dyDescent="0.25">
      <c r="A917550" s="14" t="s">
        <v>93</v>
      </c>
    </row>
    <row r="917551" spans="1:1" x14ac:dyDescent="0.25">
      <c r="A917551" s="14" t="s">
        <v>99</v>
      </c>
    </row>
    <row r="917552" spans="1:1" x14ac:dyDescent="0.25">
      <c r="A917552" s="14" t="s">
        <v>100</v>
      </c>
    </row>
    <row r="917553" spans="1:1" x14ac:dyDescent="0.25">
      <c r="A917553" s="13" t="s">
        <v>24</v>
      </c>
    </row>
    <row r="917554" spans="1:1" x14ac:dyDescent="0.25">
      <c r="A917554" s="13" t="s">
        <v>83</v>
      </c>
    </row>
    <row r="917555" spans="1:1" x14ac:dyDescent="0.25">
      <c r="A917555" s="13" t="s">
        <v>106</v>
      </c>
    </row>
    <row r="917556" spans="1:1" x14ac:dyDescent="0.25">
      <c r="A917556" s="13" t="s">
        <v>101</v>
      </c>
    </row>
    <row r="917557" spans="1:1" x14ac:dyDescent="0.25">
      <c r="A917557" s="13" t="s">
        <v>102</v>
      </c>
    </row>
    <row r="917558" spans="1:1" x14ac:dyDescent="0.25">
      <c r="A917558" s="13" t="s">
        <v>103</v>
      </c>
    </row>
    <row r="917559" spans="1:1" x14ac:dyDescent="0.25">
      <c r="A917559" s="13" t="s">
        <v>104</v>
      </c>
    </row>
    <row r="917560" spans="1:1" x14ac:dyDescent="0.25">
      <c r="A917560" s="13" t="s">
        <v>105</v>
      </c>
    </row>
    <row r="933890" spans="1:1" x14ac:dyDescent="0.25">
      <c r="A933890" s="13" t="s">
        <v>0</v>
      </c>
    </row>
    <row r="933891" spans="1:1" x14ac:dyDescent="0.25">
      <c r="A933891" s="13" t="s">
        <v>125</v>
      </c>
    </row>
    <row r="933892" spans="1:1" x14ac:dyDescent="0.25">
      <c r="A933892" s="13" t="s">
        <v>1</v>
      </c>
    </row>
    <row r="933893" spans="1:1" x14ac:dyDescent="0.25">
      <c r="A933893" s="13" t="s">
        <v>2</v>
      </c>
    </row>
    <row r="933894" spans="1:1" x14ac:dyDescent="0.25">
      <c r="A933894" s="14" t="s">
        <v>25</v>
      </c>
    </row>
    <row r="933895" spans="1:1" x14ac:dyDescent="0.25">
      <c r="A933895" s="13" t="s">
        <v>126</v>
      </c>
    </row>
    <row r="933896" spans="1:1" x14ac:dyDescent="0.25">
      <c r="A933896" s="13" t="s">
        <v>127</v>
      </c>
    </row>
    <row r="933897" spans="1:1" x14ac:dyDescent="0.25">
      <c r="A933897" s="13" t="s">
        <v>88</v>
      </c>
    </row>
    <row r="933898" spans="1:1" x14ac:dyDescent="0.25">
      <c r="A933898" s="13" t="s">
        <v>22</v>
      </c>
    </row>
    <row r="933899" spans="1:1" x14ac:dyDescent="0.25">
      <c r="A933899" s="13" t="s">
        <v>3</v>
      </c>
    </row>
    <row r="933900" spans="1:1" x14ac:dyDescent="0.25">
      <c r="A933900" s="15" t="s">
        <v>95</v>
      </c>
    </row>
    <row r="933901" spans="1:1" x14ac:dyDescent="0.25">
      <c r="A933901" s="15" t="s">
        <v>94</v>
      </c>
    </row>
    <row r="933902" spans="1:1" x14ac:dyDescent="0.25">
      <c r="A933902" s="15" t="s">
        <v>4</v>
      </c>
    </row>
    <row r="933903" spans="1:1" x14ac:dyDescent="0.25">
      <c r="A933903" s="15" t="s">
        <v>118</v>
      </c>
    </row>
    <row r="933904" spans="1:1" x14ac:dyDescent="0.25">
      <c r="A933904" s="15" t="s">
        <v>5</v>
      </c>
    </row>
    <row r="933905" spans="1:1" x14ac:dyDescent="0.25">
      <c r="A933905" s="15" t="s">
        <v>6</v>
      </c>
    </row>
    <row r="933906" spans="1:1" x14ac:dyDescent="0.25">
      <c r="A933906" s="15" t="s">
        <v>7</v>
      </c>
    </row>
    <row r="933907" spans="1:1" x14ac:dyDescent="0.25">
      <c r="A933907" s="15" t="s">
        <v>8</v>
      </c>
    </row>
    <row r="933908" spans="1:1" x14ac:dyDescent="0.25">
      <c r="A933908" s="15" t="s">
        <v>9</v>
      </c>
    </row>
    <row r="933909" spans="1:1" x14ac:dyDescent="0.25">
      <c r="A933909" s="15" t="s">
        <v>10</v>
      </c>
    </row>
    <row r="933910" spans="1:1" x14ac:dyDescent="0.25">
      <c r="A933910" s="15" t="s">
        <v>11</v>
      </c>
    </row>
    <row r="933911" spans="1:1" x14ac:dyDescent="0.25">
      <c r="A933911" s="15" t="s">
        <v>12</v>
      </c>
    </row>
    <row r="933912" spans="1:1" x14ac:dyDescent="0.25">
      <c r="A933912" s="15" t="s">
        <v>13</v>
      </c>
    </row>
    <row r="933913" spans="1:1" x14ac:dyDescent="0.25">
      <c r="A933913" s="15" t="s">
        <v>14</v>
      </c>
    </row>
    <row r="933914" spans="1:1" x14ac:dyDescent="0.25">
      <c r="A933914" s="13" t="s">
        <v>31</v>
      </c>
    </row>
    <row r="933915" spans="1:1" x14ac:dyDescent="0.25">
      <c r="A933915" s="13" t="s">
        <v>87</v>
      </c>
    </row>
    <row r="933916" spans="1:1" x14ac:dyDescent="0.25">
      <c r="A933916" s="15" t="s">
        <v>30</v>
      </c>
    </row>
    <row r="933917" spans="1:1" x14ac:dyDescent="0.25">
      <c r="A933917" s="15" t="s">
        <v>26</v>
      </c>
    </row>
    <row r="933918" spans="1:1" x14ac:dyDescent="0.25">
      <c r="A933918" s="15" t="s">
        <v>27</v>
      </c>
    </row>
    <row r="933919" spans="1:1" x14ac:dyDescent="0.25">
      <c r="A933919" s="15" t="s">
        <v>28</v>
      </c>
    </row>
    <row r="933920" spans="1:1" x14ac:dyDescent="0.25">
      <c r="A933920" s="15" t="s">
        <v>89</v>
      </c>
    </row>
    <row r="933921" spans="1:1" x14ac:dyDescent="0.25">
      <c r="A933921" s="15" t="s">
        <v>90</v>
      </c>
    </row>
    <row r="933922" spans="1:1" x14ac:dyDescent="0.25">
      <c r="A933922" s="15" t="s">
        <v>185</v>
      </c>
    </row>
    <row r="933923" spans="1:1" x14ac:dyDescent="0.25">
      <c r="A933923" s="15" t="s">
        <v>186</v>
      </c>
    </row>
    <row r="933924" spans="1:1" x14ac:dyDescent="0.25">
      <c r="A933924" s="15" t="s">
        <v>187</v>
      </c>
    </row>
    <row r="933925" spans="1:1" x14ac:dyDescent="0.25">
      <c r="A933925" s="15" t="s">
        <v>188</v>
      </c>
    </row>
    <row r="933926" spans="1:1" x14ac:dyDescent="0.25">
      <c r="A933926" s="15" t="s">
        <v>189</v>
      </c>
    </row>
    <row r="933927" spans="1:1" x14ac:dyDescent="0.25">
      <c r="A933927" s="15" t="s">
        <v>190</v>
      </c>
    </row>
    <row r="933928" spans="1:1" x14ac:dyDescent="0.25">
      <c r="A933928" s="15" t="s">
        <v>191</v>
      </c>
    </row>
    <row r="933929" spans="1:1" x14ac:dyDescent="0.25">
      <c r="A933929" s="14" t="s">
        <v>47</v>
      </c>
    </row>
    <row r="933930" spans="1:1" x14ac:dyDescent="0.25">
      <c r="A933930" s="14" t="s">
        <v>119</v>
      </c>
    </row>
    <row r="933931" spans="1:1" x14ac:dyDescent="0.25">
      <c r="A933931" s="14" t="s">
        <v>86</v>
      </c>
    </row>
    <row r="933932" spans="1:1" x14ac:dyDescent="0.25">
      <c r="A933932" s="13" t="s">
        <v>21</v>
      </c>
    </row>
    <row r="933933" spans="1:1" x14ac:dyDescent="0.25">
      <c r="A933933" s="14" t="s">
        <v>92</v>
      </c>
    </row>
    <row r="933934" spans="1:1" x14ac:dyDescent="0.25">
      <c r="A933934" s="14" t="s">
        <v>93</v>
      </c>
    </row>
    <row r="933935" spans="1:1" x14ac:dyDescent="0.25">
      <c r="A933935" s="14" t="s">
        <v>99</v>
      </c>
    </row>
    <row r="933936" spans="1:1" x14ac:dyDescent="0.25">
      <c r="A933936" s="14" t="s">
        <v>100</v>
      </c>
    </row>
    <row r="933937" spans="1:1" x14ac:dyDescent="0.25">
      <c r="A933937" s="13" t="s">
        <v>24</v>
      </c>
    </row>
    <row r="933938" spans="1:1" x14ac:dyDescent="0.25">
      <c r="A933938" s="13" t="s">
        <v>83</v>
      </c>
    </row>
    <row r="933939" spans="1:1" x14ac:dyDescent="0.25">
      <c r="A933939" s="13" t="s">
        <v>106</v>
      </c>
    </row>
    <row r="933940" spans="1:1" x14ac:dyDescent="0.25">
      <c r="A933940" s="13" t="s">
        <v>101</v>
      </c>
    </row>
    <row r="933941" spans="1:1" x14ac:dyDescent="0.25">
      <c r="A933941" s="13" t="s">
        <v>102</v>
      </c>
    </row>
    <row r="933942" spans="1:1" x14ac:dyDescent="0.25">
      <c r="A933942" s="13" t="s">
        <v>103</v>
      </c>
    </row>
    <row r="933943" spans="1:1" x14ac:dyDescent="0.25">
      <c r="A933943" s="13" t="s">
        <v>104</v>
      </c>
    </row>
    <row r="933944" spans="1:1" x14ac:dyDescent="0.25">
      <c r="A933944" s="13" t="s">
        <v>105</v>
      </c>
    </row>
    <row r="950274" spans="1:1" x14ac:dyDescent="0.25">
      <c r="A950274" s="13" t="s">
        <v>0</v>
      </c>
    </row>
    <row r="950275" spans="1:1" x14ac:dyDescent="0.25">
      <c r="A950275" s="13" t="s">
        <v>125</v>
      </c>
    </row>
    <row r="950276" spans="1:1" x14ac:dyDescent="0.25">
      <c r="A950276" s="13" t="s">
        <v>1</v>
      </c>
    </row>
    <row r="950277" spans="1:1" x14ac:dyDescent="0.25">
      <c r="A950277" s="13" t="s">
        <v>2</v>
      </c>
    </row>
    <row r="950278" spans="1:1" x14ac:dyDescent="0.25">
      <c r="A950278" s="14" t="s">
        <v>25</v>
      </c>
    </row>
    <row r="950279" spans="1:1" x14ac:dyDescent="0.25">
      <c r="A950279" s="13" t="s">
        <v>126</v>
      </c>
    </row>
    <row r="950280" spans="1:1" x14ac:dyDescent="0.25">
      <c r="A950280" s="13" t="s">
        <v>127</v>
      </c>
    </row>
    <row r="950281" spans="1:1" x14ac:dyDescent="0.25">
      <c r="A950281" s="13" t="s">
        <v>88</v>
      </c>
    </row>
    <row r="950282" spans="1:1" x14ac:dyDescent="0.25">
      <c r="A950282" s="13" t="s">
        <v>22</v>
      </c>
    </row>
    <row r="950283" spans="1:1" x14ac:dyDescent="0.25">
      <c r="A950283" s="13" t="s">
        <v>3</v>
      </c>
    </row>
    <row r="950284" spans="1:1" x14ac:dyDescent="0.25">
      <c r="A950284" s="15" t="s">
        <v>95</v>
      </c>
    </row>
    <row r="950285" spans="1:1" x14ac:dyDescent="0.25">
      <c r="A950285" s="15" t="s">
        <v>94</v>
      </c>
    </row>
    <row r="950286" spans="1:1" x14ac:dyDescent="0.25">
      <c r="A950286" s="15" t="s">
        <v>4</v>
      </c>
    </row>
    <row r="950287" spans="1:1" x14ac:dyDescent="0.25">
      <c r="A950287" s="15" t="s">
        <v>118</v>
      </c>
    </row>
    <row r="950288" spans="1:1" x14ac:dyDescent="0.25">
      <c r="A950288" s="15" t="s">
        <v>5</v>
      </c>
    </row>
    <row r="950289" spans="1:1" x14ac:dyDescent="0.25">
      <c r="A950289" s="15" t="s">
        <v>6</v>
      </c>
    </row>
    <row r="950290" spans="1:1" x14ac:dyDescent="0.25">
      <c r="A950290" s="15" t="s">
        <v>7</v>
      </c>
    </row>
    <row r="950291" spans="1:1" x14ac:dyDescent="0.25">
      <c r="A950291" s="15" t="s">
        <v>8</v>
      </c>
    </row>
    <row r="950292" spans="1:1" x14ac:dyDescent="0.25">
      <c r="A950292" s="15" t="s">
        <v>9</v>
      </c>
    </row>
    <row r="950293" spans="1:1" x14ac:dyDescent="0.25">
      <c r="A950293" s="15" t="s">
        <v>10</v>
      </c>
    </row>
    <row r="950294" spans="1:1" x14ac:dyDescent="0.25">
      <c r="A950294" s="15" t="s">
        <v>11</v>
      </c>
    </row>
    <row r="950295" spans="1:1" x14ac:dyDescent="0.25">
      <c r="A950295" s="15" t="s">
        <v>12</v>
      </c>
    </row>
    <row r="950296" spans="1:1" x14ac:dyDescent="0.25">
      <c r="A950296" s="15" t="s">
        <v>13</v>
      </c>
    </row>
    <row r="950297" spans="1:1" x14ac:dyDescent="0.25">
      <c r="A950297" s="15" t="s">
        <v>14</v>
      </c>
    </row>
    <row r="950298" spans="1:1" x14ac:dyDescent="0.25">
      <c r="A950298" s="13" t="s">
        <v>31</v>
      </c>
    </row>
    <row r="950299" spans="1:1" x14ac:dyDescent="0.25">
      <c r="A950299" s="13" t="s">
        <v>87</v>
      </c>
    </row>
    <row r="950300" spans="1:1" x14ac:dyDescent="0.25">
      <c r="A950300" s="15" t="s">
        <v>30</v>
      </c>
    </row>
    <row r="950301" spans="1:1" x14ac:dyDescent="0.25">
      <c r="A950301" s="15" t="s">
        <v>26</v>
      </c>
    </row>
    <row r="950302" spans="1:1" x14ac:dyDescent="0.25">
      <c r="A950302" s="15" t="s">
        <v>27</v>
      </c>
    </row>
    <row r="950303" spans="1:1" x14ac:dyDescent="0.25">
      <c r="A950303" s="15" t="s">
        <v>28</v>
      </c>
    </row>
    <row r="950304" spans="1:1" x14ac:dyDescent="0.25">
      <c r="A950304" s="15" t="s">
        <v>89</v>
      </c>
    </row>
    <row r="950305" spans="1:1" x14ac:dyDescent="0.25">
      <c r="A950305" s="15" t="s">
        <v>90</v>
      </c>
    </row>
    <row r="950306" spans="1:1" x14ac:dyDescent="0.25">
      <c r="A950306" s="15" t="s">
        <v>185</v>
      </c>
    </row>
    <row r="950307" spans="1:1" x14ac:dyDescent="0.25">
      <c r="A950307" s="15" t="s">
        <v>186</v>
      </c>
    </row>
    <row r="950308" spans="1:1" x14ac:dyDescent="0.25">
      <c r="A950308" s="15" t="s">
        <v>187</v>
      </c>
    </row>
    <row r="950309" spans="1:1" x14ac:dyDescent="0.25">
      <c r="A950309" s="15" t="s">
        <v>188</v>
      </c>
    </row>
    <row r="950310" spans="1:1" x14ac:dyDescent="0.25">
      <c r="A950310" s="15" t="s">
        <v>189</v>
      </c>
    </row>
    <row r="950311" spans="1:1" x14ac:dyDescent="0.25">
      <c r="A950311" s="15" t="s">
        <v>190</v>
      </c>
    </row>
    <row r="950312" spans="1:1" x14ac:dyDescent="0.25">
      <c r="A950312" s="15" t="s">
        <v>191</v>
      </c>
    </row>
    <row r="950313" spans="1:1" x14ac:dyDescent="0.25">
      <c r="A950313" s="14" t="s">
        <v>47</v>
      </c>
    </row>
    <row r="950314" spans="1:1" x14ac:dyDescent="0.25">
      <c r="A950314" s="14" t="s">
        <v>119</v>
      </c>
    </row>
    <row r="950315" spans="1:1" x14ac:dyDescent="0.25">
      <c r="A950315" s="14" t="s">
        <v>86</v>
      </c>
    </row>
    <row r="950316" spans="1:1" x14ac:dyDescent="0.25">
      <c r="A950316" s="13" t="s">
        <v>21</v>
      </c>
    </row>
    <row r="950317" spans="1:1" x14ac:dyDescent="0.25">
      <c r="A950317" s="14" t="s">
        <v>92</v>
      </c>
    </row>
    <row r="950318" spans="1:1" x14ac:dyDescent="0.25">
      <c r="A950318" s="14" t="s">
        <v>93</v>
      </c>
    </row>
    <row r="950319" spans="1:1" x14ac:dyDescent="0.25">
      <c r="A950319" s="14" t="s">
        <v>99</v>
      </c>
    </row>
    <row r="950320" spans="1:1" x14ac:dyDescent="0.25">
      <c r="A950320" s="14" t="s">
        <v>100</v>
      </c>
    </row>
    <row r="950321" spans="1:1" x14ac:dyDescent="0.25">
      <c r="A950321" s="13" t="s">
        <v>24</v>
      </c>
    </row>
    <row r="950322" spans="1:1" x14ac:dyDescent="0.25">
      <c r="A950322" s="13" t="s">
        <v>83</v>
      </c>
    </row>
    <row r="950323" spans="1:1" x14ac:dyDescent="0.25">
      <c r="A950323" s="13" t="s">
        <v>106</v>
      </c>
    </row>
    <row r="950324" spans="1:1" x14ac:dyDescent="0.25">
      <c r="A950324" s="13" t="s">
        <v>101</v>
      </c>
    </row>
    <row r="950325" spans="1:1" x14ac:dyDescent="0.25">
      <c r="A950325" s="13" t="s">
        <v>102</v>
      </c>
    </row>
    <row r="950326" spans="1:1" x14ac:dyDescent="0.25">
      <c r="A950326" s="13" t="s">
        <v>103</v>
      </c>
    </row>
    <row r="950327" spans="1:1" x14ac:dyDescent="0.25">
      <c r="A950327" s="13" t="s">
        <v>104</v>
      </c>
    </row>
    <row r="950328" spans="1:1" x14ac:dyDescent="0.25">
      <c r="A950328" s="13" t="s">
        <v>105</v>
      </c>
    </row>
    <row r="966658" spans="1:1" x14ac:dyDescent="0.25">
      <c r="A966658" s="13" t="s">
        <v>0</v>
      </c>
    </row>
    <row r="966659" spans="1:1" x14ac:dyDescent="0.25">
      <c r="A966659" s="13" t="s">
        <v>125</v>
      </c>
    </row>
    <row r="966660" spans="1:1" x14ac:dyDescent="0.25">
      <c r="A966660" s="13" t="s">
        <v>1</v>
      </c>
    </row>
    <row r="966661" spans="1:1" x14ac:dyDescent="0.25">
      <c r="A966661" s="13" t="s">
        <v>2</v>
      </c>
    </row>
    <row r="966662" spans="1:1" x14ac:dyDescent="0.25">
      <c r="A966662" s="14" t="s">
        <v>25</v>
      </c>
    </row>
    <row r="966663" spans="1:1" x14ac:dyDescent="0.25">
      <c r="A966663" s="13" t="s">
        <v>126</v>
      </c>
    </row>
    <row r="966664" spans="1:1" x14ac:dyDescent="0.25">
      <c r="A966664" s="13" t="s">
        <v>127</v>
      </c>
    </row>
    <row r="966665" spans="1:1" x14ac:dyDescent="0.25">
      <c r="A966665" s="13" t="s">
        <v>88</v>
      </c>
    </row>
    <row r="966666" spans="1:1" x14ac:dyDescent="0.25">
      <c r="A966666" s="13" t="s">
        <v>22</v>
      </c>
    </row>
    <row r="966667" spans="1:1" x14ac:dyDescent="0.25">
      <c r="A966667" s="13" t="s">
        <v>3</v>
      </c>
    </row>
    <row r="966668" spans="1:1" x14ac:dyDescent="0.25">
      <c r="A966668" s="15" t="s">
        <v>95</v>
      </c>
    </row>
    <row r="966669" spans="1:1" x14ac:dyDescent="0.25">
      <c r="A966669" s="15" t="s">
        <v>94</v>
      </c>
    </row>
    <row r="966670" spans="1:1" x14ac:dyDescent="0.25">
      <c r="A966670" s="15" t="s">
        <v>4</v>
      </c>
    </row>
    <row r="966671" spans="1:1" x14ac:dyDescent="0.25">
      <c r="A966671" s="15" t="s">
        <v>118</v>
      </c>
    </row>
    <row r="966672" spans="1:1" x14ac:dyDescent="0.25">
      <c r="A966672" s="15" t="s">
        <v>5</v>
      </c>
    </row>
    <row r="966673" spans="1:1" x14ac:dyDescent="0.25">
      <c r="A966673" s="15" t="s">
        <v>6</v>
      </c>
    </row>
    <row r="966674" spans="1:1" x14ac:dyDescent="0.25">
      <c r="A966674" s="15" t="s">
        <v>7</v>
      </c>
    </row>
    <row r="966675" spans="1:1" x14ac:dyDescent="0.25">
      <c r="A966675" s="15" t="s">
        <v>8</v>
      </c>
    </row>
    <row r="966676" spans="1:1" x14ac:dyDescent="0.25">
      <c r="A966676" s="15" t="s">
        <v>9</v>
      </c>
    </row>
    <row r="966677" spans="1:1" x14ac:dyDescent="0.25">
      <c r="A966677" s="15" t="s">
        <v>10</v>
      </c>
    </row>
    <row r="966678" spans="1:1" x14ac:dyDescent="0.25">
      <c r="A966678" s="15" t="s">
        <v>11</v>
      </c>
    </row>
    <row r="966679" spans="1:1" x14ac:dyDescent="0.25">
      <c r="A966679" s="15" t="s">
        <v>12</v>
      </c>
    </row>
    <row r="966680" spans="1:1" x14ac:dyDescent="0.25">
      <c r="A966680" s="15" t="s">
        <v>13</v>
      </c>
    </row>
    <row r="966681" spans="1:1" x14ac:dyDescent="0.25">
      <c r="A966681" s="15" t="s">
        <v>14</v>
      </c>
    </row>
    <row r="966682" spans="1:1" x14ac:dyDescent="0.25">
      <c r="A966682" s="13" t="s">
        <v>31</v>
      </c>
    </row>
    <row r="966683" spans="1:1" x14ac:dyDescent="0.25">
      <c r="A966683" s="13" t="s">
        <v>87</v>
      </c>
    </row>
    <row r="966684" spans="1:1" x14ac:dyDescent="0.25">
      <c r="A966684" s="15" t="s">
        <v>30</v>
      </c>
    </row>
    <row r="966685" spans="1:1" x14ac:dyDescent="0.25">
      <c r="A966685" s="15" t="s">
        <v>26</v>
      </c>
    </row>
    <row r="966686" spans="1:1" x14ac:dyDescent="0.25">
      <c r="A966686" s="15" t="s">
        <v>27</v>
      </c>
    </row>
    <row r="966687" spans="1:1" x14ac:dyDescent="0.25">
      <c r="A966687" s="15" t="s">
        <v>28</v>
      </c>
    </row>
    <row r="966688" spans="1:1" x14ac:dyDescent="0.25">
      <c r="A966688" s="15" t="s">
        <v>89</v>
      </c>
    </row>
    <row r="966689" spans="1:1" x14ac:dyDescent="0.25">
      <c r="A966689" s="15" t="s">
        <v>90</v>
      </c>
    </row>
    <row r="966690" spans="1:1" x14ac:dyDescent="0.25">
      <c r="A966690" s="15" t="s">
        <v>185</v>
      </c>
    </row>
    <row r="966691" spans="1:1" x14ac:dyDescent="0.25">
      <c r="A966691" s="15" t="s">
        <v>186</v>
      </c>
    </row>
    <row r="966692" spans="1:1" x14ac:dyDescent="0.25">
      <c r="A966692" s="15" t="s">
        <v>187</v>
      </c>
    </row>
    <row r="966693" spans="1:1" x14ac:dyDescent="0.25">
      <c r="A966693" s="15" t="s">
        <v>188</v>
      </c>
    </row>
    <row r="966694" spans="1:1" x14ac:dyDescent="0.25">
      <c r="A966694" s="15" t="s">
        <v>189</v>
      </c>
    </row>
    <row r="966695" spans="1:1" x14ac:dyDescent="0.25">
      <c r="A966695" s="15" t="s">
        <v>190</v>
      </c>
    </row>
    <row r="966696" spans="1:1" x14ac:dyDescent="0.25">
      <c r="A966696" s="15" t="s">
        <v>191</v>
      </c>
    </row>
    <row r="966697" spans="1:1" x14ac:dyDescent="0.25">
      <c r="A966697" s="14" t="s">
        <v>47</v>
      </c>
    </row>
    <row r="966698" spans="1:1" x14ac:dyDescent="0.25">
      <c r="A966698" s="14" t="s">
        <v>119</v>
      </c>
    </row>
    <row r="966699" spans="1:1" x14ac:dyDescent="0.25">
      <c r="A966699" s="14" t="s">
        <v>86</v>
      </c>
    </row>
    <row r="966700" spans="1:1" x14ac:dyDescent="0.25">
      <c r="A966700" s="13" t="s">
        <v>21</v>
      </c>
    </row>
    <row r="966701" spans="1:1" x14ac:dyDescent="0.25">
      <c r="A966701" s="14" t="s">
        <v>92</v>
      </c>
    </row>
    <row r="966702" spans="1:1" x14ac:dyDescent="0.25">
      <c r="A966702" s="14" t="s">
        <v>93</v>
      </c>
    </row>
    <row r="966703" spans="1:1" x14ac:dyDescent="0.25">
      <c r="A966703" s="14" t="s">
        <v>99</v>
      </c>
    </row>
    <row r="966704" spans="1:1" x14ac:dyDescent="0.25">
      <c r="A966704" s="14" t="s">
        <v>100</v>
      </c>
    </row>
    <row r="966705" spans="1:1" x14ac:dyDescent="0.25">
      <c r="A966705" s="13" t="s">
        <v>24</v>
      </c>
    </row>
    <row r="966706" spans="1:1" x14ac:dyDescent="0.25">
      <c r="A966706" s="13" t="s">
        <v>83</v>
      </c>
    </row>
    <row r="966707" spans="1:1" x14ac:dyDescent="0.25">
      <c r="A966707" s="13" t="s">
        <v>106</v>
      </c>
    </row>
    <row r="966708" spans="1:1" x14ac:dyDescent="0.25">
      <c r="A966708" s="13" t="s">
        <v>101</v>
      </c>
    </row>
    <row r="966709" spans="1:1" x14ac:dyDescent="0.25">
      <c r="A966709" s="13" t="s">
        <v>102</v>
      </c>
    </row>
    <row r="966710" spans="1:1" x14ac:dyDescent="0.25">
      <c r="A966710" s="13" t="s">
        <v>103</v>
      </c>
    </row>
    <row r="966711" spans="1:1" x14ac:dyDescent="0.25">
      <c r="A966711" s="13" t="s">
        <v>104</v>
      </c>
    </row>
    <row r="966712" spans="1:1" x14ac:dyDescent="0.25">
      <c r="A966712" s="13" t="s">
        <v>105</v>
      </c>
    </row>
    <row r="983042" spans="1:1" x14ac:dyDescent="0.25">
      <c r="A983042" s="13" t="s">
        <v>0</v>
      </c>
    </row>
    <row r="983043" spans="1:1" x14ac:dyDescent="0.25">
      <c r="A983043" s="13" t="s">
        <v>125</v>
      </c>
    </row>
    <row r="983044" spans="1:1" x14ac:dyDescent="0.25">
      <c r="A983044" s="13" t="s">
        <v>1</v>
      </c>
    </row>
    <row r="983045" spans="1:1" x14ac:dyDescent="0.25">
      <c r="A983045" s="13" t="s">
        <v>2</v>
      </c>
    </row>
    <row r="983046" spans="1:1" x14ac:dyDescent="0.25">
      <c r="A983046" s="14" t="s">
        <v>25</v>
      </c>
    </row>
    <row r="983047" spans="1:1" x14ac:dyDescent="0.25">
      <c r="A983047" s="13" t="s">
        <v>126</v>
      </c>
    </row>
    <row r="983048" spans="1:1" x14ac:dyDescent="0.25">
      <c r="A983048" s="13" t="s">
        <v>127</v>
      </c>
    </row>
    <row r="983049" spans="1:1" x14ac:dyDescent="0.25">
      <c r="A983049" s="13" t="s">
        <v>88</v>
      </c>
    </row>
    <row r="983050" spans="1:1" x14ac:dyDescent="0.25">
      <c r="A983050" s="13" t="s">
        <v>22</v>
      </c>
    </row>
    <row r="983051" spans="1:1" x14ac:dyDescent="0.25">
      <c r="A983051" s="13" t="s">
        <v>3</v>
      </c>
    </row>
    <row r="983052" spans="1:1" x14ac:dyDescent="0.25">
      <c r="A983052" s="15" t="s">
        <v>95</v>
      </c>
    </row>
    <row r="983053" spans="1:1" x14ac:dyDescent="0.25">
      <c r="A983053" s="15" t="s">
        <v>94</v>
      </c>
    </row>
    <row r="983054" spans="1:1" x14ac:dyDescent="0.25">
      <c r="A983054" s="15" t="s">
        <v>4</v>
      </c>
    </row>
    <row r="983055" spans="1:1" x14ac:dyDescent="0.25">
      <c r="A983055" s="15" t="s">
        <v>118</v>
      </c>
    </row>
    <row r="983056" spans="1:1" x14ac:dyDescent="0.25">
      <c r="A983056" s="15" t="s">
        <v>5</v>
      </c>
    </row>
    <row r="983057" spans="1:1" x14ac:dyDescent="0.25">
      <c r="A983057" s="15" t="s">
        <v>6</v>
      </c>
    </row>
    <row r="983058" spans="1:1" x14ac:dyDescent="0.25">
      <c r="A983058" s="15" t="s">
        <v>7</v>
      </c>
    </row>
    <row r="983059" spans="1:1" x14ac:dyDescent="0.25">
      <c r="A983059" s="15" t="s">
        <v>8</v>
      </c>
    </row>
    <row r="983060" spans="1:1" x14ac:dyDescent="0.25">
      <c r="A983060" s="15" t="s">
        <v>9</v>
      </c>
    </row>
    <row r="983061" spans="1:1" x14ac:dyDescent="0.25">
      <c r="A983061" s="15" t="s">
        <v>10</v>
      </c>
    </row>
    <row r="983062" spans="1:1" x14ac:dyDescent="0.25">
      <c r="A983062" s="15" t="s">
        <v>11</v>
      </c>
    </row>
    <row r="983063" spans="1:1" x14ac:dyDescent="0.25">
      <c r="A983063" s="15" t="s">
        <v>12</v>
      </c>
    </row>
    <row r="983064" spans="1:1" x14ac:dyDescent="0.25">
      <c r="A983064" s="15" t="s">
        <v>13</v>
      </c>
    </row>
    <row r="983065" spans="1:1" x14ac:dyDescent="0.25">
      <c r="A983065" s="15" t="s">
        <v>14</v>
      </c>
    </row>
    <row r="983066" spans="1:1" x14ac:dyDescent="0.25">
      <c r="A983066" s="13" t="s">
        <v>31</v>
      </c>
    </row>
    <row r="983067" spans="1:1" x14ac:dyDescent="0.25">
      <c r="A983067" s="13" t="s">
        <v>87</v>
      </c>
    </row>
    <row r="983068" spans="1:1" x14ac:dyDescent="0.25">
      <c r="A983068" s="15" t="s">
        <v>30</v>
      </c>
    </row>
    <row r="983069" spans="1:1" x14ac:dyDescent="0.25">
      <c r="A983069" s="15" t="s">
        <v>26</v>
      </c>
    </row>
    <row r="983070" spans="1:1" x14ac:dyDescent="0.25">
      <c r="A983070" s="15" t="s">
        <v>27</v>
      </c>
    </row>
    <row r="983071" spans="1:1" x14ac:dyDescent="0.25">
      <c r="A983071" s="15" t="s">
        <v>28</v>
      </c>
    </row>
    <row r="983072" spans="1:1" x14ac:dyDescent="0.25">
      <c r="A983072" s="15" t="s">
        <v>89</v>
      </c>
    </row>
    <row r="983073" spans="1:1" x14ac:dyDescent="0.25">
      <c r="A983073" s="15" t="s">
        <v>90</v>
      </c>
    </row>
    <row r="983074" spans="1:1" x14ac:dyDescent="0.25">
      <c r="A983074" s="15" t="s">
        <v>185</v>
      </c>
    </row>
    <row r="983075" spans="1:1" x14ac:dyDescent="0.25">
      <c r="A983075" s="15" t="s">
        <v>186</v>
      </c>
    </row>
    <row r="983076" spans="1:1" x14ac:dyDescent="0.25">
      <c r="A983076" s="15" t="s">
        <v>187</v>
      </c>
    </row>
    <row r="983077" spans="1:1" x14ac:dyDescent="0.25">
      <c r="A983077" s="15" t="s">
        <v>188</v>
      </c>
    </row>
    <row r="983078" spans="1:1" x14ac:dyDescent="0.25">
      <c r="A983078" s="15" t="s">
        <v>189</v>
      </c>
    </row>
    <row r="983079" spans="1:1" x14ac:dyDescent="0.25">
      <c r="A983079" s="15" t="s">
        <v>190</v>
      </c>
    </row>
    <row r="983080" spans="1:1" x14ac:dyDescent="0.25">
      <c r="A983080" s="15" t="s">
        <v>191</v>
      </c>
    </row>
    <row r="983081" spans="1:1" x14ac:dyDescent="0.25">
      <c r="A983081" s="14" t="s">
        <v>47</v>
      </c>
    </row>
    <row r="983082" spans="1:1" x14ac:dyDescent="0.25">
      <c r="A983082" s="14" t="s">
        <v>119</v>
      </c>
    </row>
    <row r="983083" spans="1:1" x14ac:dyDescent="0.25">
      <c r="A983083" s="14" t="s">
        <v>86</v>
      </c>
    </row>
    <row r="983084" spans="1:1" x14ac:dyDescent="0.25">
      <c r="A983084" s="13" t="s">
        <v>21</v>
      </c>
    </row>
    <row r="983085" spans="1:1" x14ac:dyDescent="0.25">
      <c r="A983085" s="14" t="s">
        <v>92</v>
      </c>
    </row>
    <row r="983086" spans="1:1" x14ac:dyDescent="0.25">
      <c r="A983086" s="14" t="s">
        <v>93</v>
      </c>
    </row>
    <row r="983087" spans="1:1" x14ac:dyDescent="0.25">
      <c r="A983087" s="14" t="s">
        <v>99</v>
      </c>
    </row>
    <row r="983088" spans="1:1" x14ac:dyDescent="0.25">
      <c r="A983088" s="14" t="s">
        <v>100</v>
      </c>
    </row>
    <row r="983089" spans="1:1" x14ac:dyDescent="0.25">
      <c r="A983089" s="13" t="s">
        <v>24</v>
      </c>
    </row>
    <row r="983090" spans="1:1" x14ac:dyDescent="0.25">
      <c r="A983090" s="13" t="s">
        <v>83</v>
      </c>
    </row>
    <row r="983091" spans="1:1" x14ac:dyDescent="0.25">
      <c r="A983091" s="13" t="s">
        <v>106</v>
      </c>
    </row>
    <row r="983092" spans="1:1" x14ac:dyDescent="0.25">
      <c r="A983092" s="13" t="s">
        <v>101</v>
      </c>
    </row>
    <row r="983093" spans="1:1" x14ac:dyDescent="0.25">
      <c r="A983093" s="13" t="s">
        <v>102</v>
      </c>
    </row>
    <row r="983094" spans="1:1" x14ac:dyDescent="0.25">
      <c r="A983094" s="13" t="s">
        <v>103</v>
      </c>
    </row>
    <row r="983095" spans="1:1" x14ac:dyDescent="0.25">
      <c r="A983095" s="13" t="s">
        <v>104</v>
      </c>
    </row>
    <row r="983096" spans="1:1" x14ac:dyDescent="0.25">
      <c r="A983096" s="13" t="s">
        <v>105</v>
      </c>
    </row>
    <row r="999426" spans="1:1" x14ac:dyDescent="0.25">
      <c r="A999426" s="13" t="s">
        <v>0</v>
      </c>
    </row>
    <row r="999427" spans="1:1" x14ac:dyDescent="0.25">
      <c r="A999427" s="13" t="s">
        <v>125</v>
      </c>
    </row>
    <row r="999428" spans="1:1" x14ac:dyDescent="0.25">
      <c r="A999428" s="13" t="s">
        <v>1</v>
      </c>
    </row>
    <row r="999429" spans="1:1" x14ac:dyDescent="0.25">
      <c r="A999429" s="13" t="s">
        <v>2</v>
      </c>
    </row>
    <row r="999430" spans="1:1" x14ac:dyDescent="0.25">
      <c r="A999430" s="14" t="s">
        <v>25</v>
      </c>
    </row>
    <row r="999431" spans="1:1" x14ac:dyDescent="0.25">
      <c r="A999431" s="13" t="s">
        <v>126</v>
      </c>
    </row>
    <row r="999432" spans="1:1" x14ac:dyDescent="0.25">
      <c r="A999432" s="13" t="s">
        <v>127</v>
      </c>
    </row>
    <row r="999433" spans="1:1" x14ac:dyDescent="0.25">
      <c r="A999433" s="13" t="s">
        <v>88</v>
      </c>
    </row>
    <row r="999434" spans="1:1" x14ac:dyDescent="0.25">
      <c r="A999434" s="13" t="s">
        <v>22</v>
      </c>
    </row>
    <row r="999435" spans="1:1" x14ac:dyDescent="0.25">
      <c r="A999435" s="13" t="s">
        <v>3</v>
      </c>
    </row>
    <row r="999436" spans="1:1" x14ac:dyDescent="0.25">
      <c r="A999436" s="15" t="s">
        <v>95</v>
      </c>
    </row>
    <row r="999437" spans="1:1" x14ac:dyDescent="0.25">
      <c r="A999437" s="15" t="s">
        <v>94</v>
      </c>
    </row>
    <row r="999438" spans="1:1" x14ac:dyDescent="0.25">
      <c r="A999438" s="15" t="s">
        <v>4</v>
      </c>
    </row>
    <row r="999439" spans="1:1" x14ac:dyDescent="0.25">
      <c r="A999439" s="15" t="s">
        <v>118</v>
      </c>
    </row>
    <row r="999440" spans="1:1" x14ac:dyDescent="0.25">
      <c r="A999440" s="15" t="s">
        <v>5</v>
      </c>
    </row>
    <row r="999441" spans="1:1" x14ac:dyDescent="0.25">
      <c r="A999441" s="15" t="s">
        <v>6</v>
      </c>
    </row>
    <row r="999442" spans="1:1" x14ac:dyDescent="0.25">
      <c r="A999442" s="15" t="s">
        <v>7</v>
      </c>
    </row>
    <row r="999443" spans="1:1" x14ac:dyDescent="0.25">
      <c r="A999443" s="15" t="s">
        <v>8</v>
      </c>
    </row>
    <row r="999444" spans="1:1" x14ac:dyDescent="0.25">
      <c r="A999444" s="15" t="s">
        <v>9</v>
      </c>
    </row>
    <row r="999445" spans="1:1" x14ac:dyDescent="0.25">
      <c r="A999445" s="15" t="s">
        <v>10</v>
      </c>
    </row>
    <row r="999446" spans="1:1" x14ac:dyDescent="0.25">
      <c r="A999446" s="15" t="s">
        <v>11</v>
      </c>
    </row>
    <row r="999447" spans="1:1" x14ac:dyDescent="0.25">
      <c r="A999447" s="15" t="s">
        <v>12</v>
      </c>
    </row>
    <row r="999448" spans="1:1" x14ac:dyDescent="0.25">
      <c r="A999448" s="15" t="s">
        <v>13</v>
      </c>
    </row>
    <row r="999449" spans="1:1" x14ac:dyDescent="0.25">
      <c r="A999449" s="15" t="s">
        <v>14</v>
      </c>
    </row>
    <row r="999450" spans="1:1" x14ac:dyDescent="0.25">
      <c r="A999450" s="13" t="s">
        <v>31</v>
      </c>
    </row>
    <row r="999451" spans="1:1" x14ac:dyDescent="0.25">
      <c r="A999451" s="13" t="s">
        <v>87</v>
      </c>
    </row>
    <row r="999452" spans="1:1" x14ac:dyDescent="0.25">
      <c r="A999452" s="15" t="s">
        <v>30</v>
      </c>
    </row>
    <row r="999453" spans="1:1" x14ac:dyDescent="0.25">
      <c r="A999453" s="15" t="s">
        <v>26</v>
      </c>
    </row>
    <row r="999454" spans="1:1" x14ac:dyDescent="0.25">
      <c r="A999454" s="15" t="s">
        <v>27</v>
      </c>
    </row>
    <row r="999455" spans="1:1" x14ac:dyDescent="0.25">
      <c r="A999455" s="15" t="s">
        <v>28</v>
      </c>
    </row>
    <row r="999456" spans="1:1" x14ac:dyDescent="0.25">
      <c r="A999456" s="15" t="s">
        <v>89</v>
      </c>
    </row>
    <row r="999457" spans="1:1" x14ac:dyDescent="0.25">
      <c r="A999457" s="15" t="s">
        <v>90</v>
      </c>
    </row>
    <row r="999458" spans="1:1" x14ac:dyDescent="0.25">
      <c r="A999458" s="15" t="s">
        <v>185</v>
      </c>
    </row>
    <row r="999459" spans="1:1" x14ac:dyDescent="0.25">
      <c r="A999459" s="15" t="s">
        <v>186</v>
      </c>
    </row>
    <row r="999460" spans="1:1" x14ac:dyDescent="0.25">
      <c r="A999460" s="15" t="s">
        <v>187</v>
      </c>
    </row>
    <row r="999461" spans="1:1" x14ac:dyDescent="0.25">
      <c r="A999461" s="15" t="s">
        <v>188</v>
      </c>
    </row>
    <row r="999462" spans="1:1" x14ac:dyDescent="0.25">
      <c r="A999462" s="15" t="s">
        <v>189</v>
      </c>
    </row>
    <row r="999463" spans="1:1" x14ac:dyDescent="0.25">
      <c r="A999463" s="15" t="s">
        <v>190</v>
      </c>
    </row>
    <row r="999464" spans="1:1" x14ac:dyDescent="0.25">
      <c r="A999464" s="15" t="s">
        <v>191</v>
      </c>
    </row>
    <row r="999465" spans="1:1" x14ac:dyDescent="0.25">
      <c r="A999465" s="14" t="s">
        <v>47</v>
      </c>
    </row>
    <row r="999466" spans="1:1" x14ac:dyDescent="0.25">
      <c r="A999466" s="14" t="s">
        <v>119</v>
      </c>
    </row>
    <row r="999467" spans="1:1" x14ac:dyDescent="0.25">
      <c r="A999467" s="14" t="s">
        <v>86</v>
      </c>
    </row>
    <row r="999468" spans="1:1" x14ac:dyDescent="0.25">
      <c r="A999468" s="13" t="s">
        <v>21</v>
      </c>
    </row>
    <row r="999469" spans="1:1" x14ac:dyDescent="0.25">
      <c r="A999469" s="14" t="s">
        <v>92</v>
      </c>
    </row>
    <row r="999470" spans="1:1" x14ac:dyDescent="0.25">
      <c r="A999470" s="14" t="s">
        <v>93</v>
      </c>
    </row>
    <row r="999471" spans="1:1" x14ac:dyDescent="0.25">
      <c r="A999471" s="14" t="s">
        <v>99</v>
      </c>
    </row>
    <row r="999472" spans="1:1" x14ac:dyDescent="0.25">
      <c r="A999472" s="14" t="s">
        <v>100</v>
      </c>
    </row>
    <row r="999473" spans="1:1" x14ac:dyDescent="0.25">
      <c r="A999473" s="13" t="s">
        <v>24</v>
      </c>
    </row>
    <row r="999474" spans="1:1" x14ac:dyDescent="0.25">
      <c r="A999474" s="13" t="s">
        <v>83</v>
      </c>
    </row>
    <row r="999475" spans="1:1" x14ac:dyDescent="0.25">
      <c r="A999475" s="13" t="s">
        <v>106</v>
      </c>
    </row>
    <row r="999476" spans="1:1" x14ac:dyDescent="0.25">
      <c r="A999476" s="13" t="s">
        <v>101</v>
      </c>
    </row>
    <row r="999477" spans="1:1" x14ac:dyDescent="0.25">
      <c r="A999477" s="13" t="s">
        <v>102</v>
      </c>
    </row>
    <row r="999478" spans="1:1" x14ac:dyDescent="0.25">
      <c r="A999478" s="13" t="s">
        <v>103</v>
      </c>
    </row>
    <row r="999479" spans="1:1" x14ac:dyDescent="0.25">
      <c r="A999479" s="13" t="s">
        <v>104</v>
      </c>
    </row>
    <row r="999480" spans="1:1" x14ac:dyDescent="0.25">
      <c r="A999480" s="13" t="s">
        <v>105</v>
      </c>
    </row>
    <row r="1015810" spans="1:1" x14ac:dyDescent="0.25">
      <c r="A1015810" s="13" t="s">
        <v>0</v>
      </c>
    </row>
    <row r="1015811" spans="1:1" x14ac:dyDescent="0.25">
      <c r="A1015811" s="13" t="s">
        <v>125</v>
      </c>
    </row>
    <row r="1015812" spans="1:1" x14ac:dyDescent="0.25">
      <c r="A1015812" s="13" t="s">
        <v>1</v>
      </c>
    </row>
    <row r="1015813" spans="1:1" x14ac:dyDescent="0.25">
      <c r="A1015813" s="13" t="s">
        <v>2</v>
      </c>
    </row>
    <row r="1015814" spans="1:1" x14ac:dyDescent="0.25">
      <c r="A1015814" s="14" t="s">
        <v>25</v>
      </c>
    </row>
    <row r="1015815" spans="1:1" x14ac:dyDescent="0.25">
      <c r="A1015815" s="13" t="s">
        <v>126</v>
      </c>
    </row>
    <row r="1015816" spans="1:1" x14ac:dyDescent="0.25">
      <c r="A1015816" s="13" t="s">
        <v>127</v>
      </c>
    </row>
    <row r="1015817" spans="1:1" x14ac:dyDescent="0.25">
      <c r="A1015817" s="13" t="s">
        <v>88</v>
      </c>
    </row>
    <row r="1015818" spans="1:1" x14ac:dyDescent="0.25">
      <c r="A1015818" s="13" t="s">
        <v>22</v>
      </c>
    </row>
    <row r="1015819" spans="1:1" x14ac:dyDescent="0.25">
      <c r="A1015819" s="13" t="s">
        <v>3</v>
      </c>
    </row>
    <row r="1015820" spans="1:1" x14ac:dyDescent="0.25">
      <c r="A1015820" s="15" t="s">
        <v>95</v>
      </c>
    </row>
    <row r="1015821" spans="1:1" x14ac:dyDescent="0.25">
      <c r="A1015821" s="15" t="s">
        <v>94</v>
      </c>
    </row>
    <row r="1015822" spans="1:1" x14ac:dyDescent="0.25">
      <c r="A1015822" s="15" t="s">
        <v>4</v>
      </c>
    </row>
    <row r="1015823" spans="1:1" x14ac:dyDescent="0.25">
      <c r="A1015823" s="15" t="s">
        <v>118</v>
      </c>
    </row>
    <row r="1015824" spans="1:1" x14ac:dyDescent="0.25">
      <c r="A1015824" s="15" t="s">
        <v>5</v>
      </c>
    </row>
    <row r="1015825" spans="1:1" x14ac:dyDescent="0.25">
      <c r="A1015825" s="15" t="s">
        <v>6</v>
      </c>
    </row>
    <row r="1015826" spans="1:1" x14ac:dyDescent="0.25">
      <c r="A1015826" s="15" t="s">
        <v>7</v>
      </c>
    </row>
    <row r="1015827" spans="1:1" x14ac:dyDescent="0.25">
      <c r="A1015827" s="15" t="s">
        <v>8</v>
      </c>
    </row>
    <row r="1015828" spans="1:1" x14ac:dyDescent="0.25">
      <c r="A1015828" s="15" t="s">
        <v>9</v>
      </c>
    </row>
    <row r="1015829" spans="1:1" x14ac:dyDescent="0.25">
      <c r="A1015829" s="15" t="s">
        <v>10</v>
      </c>
    </row>
    <row r="1015830" spans="1:1" x14ac:dyDescent="0.25">
      <c r="A1015830" s="15" t="s">
        <v>11</v>
      </c>
    </row>
    <row r="1015831" spans="1:1" x14ac:dyDescent="0.25">
      <c r="A1015831" s="15" t="s">
        <v>12</v>
      </c>
    </row>
    <row r="1015832" spans="1:1" x14ac:dyDescent="0.25">
      <c r="A1015832" s="15" t="s">
        <v>13</v>
      </c>
    </row>
    <row r="1015833" spans="1:1" x14ac:dyDescent="0.25">
      <c r="A1015833" s="15" t="s">
        <v>14</v>
      </c>
    </row>
    <row r="1015834" spans="1:1" x14ac:dyDescent="0.25">
      <c r="A1015834" s="13" t="s">
        <v>31</v>
      </c>
    </row>
    <row r="1015835" spans="1:1" x14ac:dyDescent="0.25">
      <c r="A1015835" s="13" t="s">
        <v>87</v>
      </c>
    </row>
    <row r="1015836" spans="1:1" x14ac:dyDescent="0.25">
      <c r="A1015836" s="15" t="s">
        <v>30</v>
      </c>
    </row>
    <row r="1015837" spans="1:1" x14ac:dyDescent="0.25">
      <c r="A1015837" s="15" t="s">
        <v>26</v>
      </c>
    </row>
    <row r="1015838" spans="1:1" x14ac:dyDescent="0.25">
      <c r="A1015838" s="15" t="s">
        <v>27</v>
      </c>
    </row>
    <row r="1015839" spans="1:1" x14ac:dyDescent="0.25">
      <c r="A1015839" s="15" t="s">
        <v>28</v>
      </c>
    </row>
    <row r="1015840" spans="1:1" x14ac:dyDescent="0.25">
      <c r="A1015840" s="15" t="s">
        <v>89</v>
      </c>
    </row>
    <row r="1015841" spans="1:1" x14ac:dyDescent="0.25">
      <c r="A1015841" s="15" t="s">
        <v>90</v>
      </c>
    </row>
    <row r="1015842" spans="1:1" x14ac:dyDescent="0.25">
      <c r="A1015842" s="15" t="s">
        <v>185</v>
      </c>
    </row>
    <row r="1015843" spans="1:1" x14ac:dyDescent="0.25">
      <c r="A1015843" s="15" t="s">
        <v>186</v>
      </c>
    </row>
    <row r="1015844" spans="1:1" x14ac:dyDescent="0.25">
      <c r="A1015844" s="15" t="s">
        <v>187</v>
      </c>
    </row>
    <row r="1015845" spans="1:1" x14ac:dyDescent="0.25">
      <c r="A1015845" s="15" t="s">
        <v>188</v>
      </c>
    </row>
    <row r="1015846" spans="1:1" x14ac:dyDescent="0.25">
      <c r="A1015846" s="15" t="s">
        <v>189</v>
      </c>
    </row>
    <row r="1015847" spans="1:1" x14ac:dyDescent="0.25">
      <c r="A1015847" s="15" t="s">
        <v>190</v>
      </c>
    </row>
    <row r="1015848" spans="1:1" x14ac:dyDescent="0.25">
      <c r="A1015848" s="15" t="s">
        <v>191</v>
      </c>
    </row>
    <row r="1015849" spans="1:1" x14ac:dyDescent="0.25">
      <c r="A1015849" s="14" t="s">
        <v>47</v>
      </c>
    </row>
    <row r="1015850" spans="1:1" x14ac:dyDescent="0.25">
      <c r="A1015850" s="14" t="s">
        <v>119</v>
      </c>
    </row>
    <row r="1015851" spans="1:1" x14ac:dyDescent="0.25">
      <c r="A1015851" s="14" t="s">
        <v>86</v>
      </c>
    </row>
    <row r="1015852" spans="1:1" x14ac:dyDescent="0.25">
      <c r="A1015852" s="13" t="s">
        <v>21</v>
      </c>
    </row>
    <row r="1015853" spans="1:1" x14ac:dyDescent="0.25">
      <c r="A1015853" s="14" t="s">
        <v>92</v>
      </c>
    </row>
    <row r="1015854" spans="1:1" x14ac:dyDescent="0.25">
      <c r="A1015854" s="14" t="s">
        <v>93</v>
      </c>
    </row>
    <row r="1015855" spans="1:1" x14ac:dyDescent="0.25">
      <c r="A1015855" s="14" t="s">
        <v>99</v>
      </c>
    </row>
    <row r="1015856" spans="1:1" x14ac:dyDescent="0.25">
      <c r="A1015856" s="14" t="s">
        <v>100</v>
      </c>
    </row>
    <row r="1015857" spans="1:1" x14ac:dyDescent="0.25">
      <c r="A1015857" s="13" t="s">
        <v>24</v>
      </c>
    </row>
    <row r="1015858" spans="1:1" x14ac:dyDescent="0.25">
      <c r="A1015858" s="13" t="s">
        <v>83</v>
      </c>
    </row>
    <row r="1015859" spans="1:1" x14ac:dyDescent="0.25">
      <c r="A1015859" s="13" t="s">
        <v>106</v>
      </c>
    </row>
    <row r="1015860" spans="1:1" x14ac:dyDescent="0.25">
      <c r="A1015860" s="13" t="s">
        <v>101</v>
      </c>
    </row>
    <row r="1015861" spans="1:1" x14ac:dyDescent="0.25">
      <c r="A1015861" s="13" t="s">
        <v>102</v>
      </c>
    </row>
    <row r="1015862" spans="1:1" x14ac:dyDescent="0.25">
      <c r="A1015862" s="13" t="s">
        <v>103</v>
      </c>
    </row>
    <row r="1015863" spans="1:1" x14ac:dyDescent="0.25">
      <c r="A1015863" s="13" t="s">
        <v>104</v>
      </c>
    </row>
    <row r="1015864" spans="1:1" x14ac:dyDescent="0.25">
      <c r="A1015864" s="13" t="s">
        <v>105</v>
      </c>
    </row>
    <row r="1032194" spans="1:1" x14ac:dyDescent="0.25">
      <c r="A1032194" s="13" t="s">
        <v>0</v>
      </c>
    </row>
    <row r="1032195" spans="1:1" x14ac:dyDescent="0.25">
      <c r="A1032195" s="13" t="s">
        <v>125</v>
      </c>
    </row>
    <row r="1032196" spans="1:1" x14ac:dyDescent="0.25">
      <c r="A1032196" s="13" t="s">
        <v>1</v>
      </c>
    </row>
    <row r="1032197" spans="1:1" x14ac:dyDescent="0.25">
      <c r="A1032197" s="13" t="s">
        <v>2</v>
      </c>
    </row>
    <row r="1032198" spans="1:1" x14ac:dyDescent="0.25">
      <c r="A1032198" s="14" t="s">
        <v>25</v>
      </c>
    </row>
    <row r="1032199" spans="1:1" x14ac:dyDescent="0.25">
      <c r="A1032199" s="13" t="s">
        <v>126</v>
      </c>
    </row>
    <row r="1032200" spans="1:1" x14ac:dyDescent="0.25">
      <c r="A1032200" s="13" t="s">
        <v>127</v>
      </c>
    </row>
    <row r="1032201" spans="1:1" x14ac:dyDescent="0.25">
      <c r="A1032201" s="13" t="s">
        <v>88</v>
      </c>
    </row>
    <row r="1032202" spans="1:1" x14ac:dyDescent="0.25">
      <c r="A1032202" s="13" t="s">
        <v>22</v>
      </c>
    </row>
    <row r="1032203" spans="1:1" x14ac:dyDescent="0.25">
      <c r="A1032203" s="13" t="s">
        <v>3</v>
      </c>
    </row>
    <row r="1032204" spans="1:1" x14ac:dyDescent="0.25">
      <c r="A1032204" s="15" t="s">
        <v>95</v>
      </c>
    </row>
    <row r="1032205" spans="1:1" x14ac:dyDescent="0.25">
      <c r="A1032205" s="15" t="s">
        <v>94</v>
      </c>
    </row>
    <row r="1032206" spans="1:1" x14ac:dyDescent="0.25">
      <c r="A1032206" s="15" t="s">
        <v>4</v>
      </c>
    </row>
    <row r="1032207" spans="1:1" x14ac:dyDescent="0.25">
      <c r="A1032207" s="15" t="s">
        <v>118</v>
      </c>
    </row>
    <row r="1032208" spans="1:1" x14ac:dyDescent="0.25">
      <c r="A1032208" s="15" t="s">
        <v>5</v>
      </c>
    </row>
    <row r="1032209" spans="1:1" x14ac:dyDescent="0.25">
      <c r="A1032209" s="15" t="s">
        <v>6</v>
      </c>
    </row>
    <row r="1032210" spans="1:1" x14ac:dyDescent="0.25">
      <c r="A1032210" s="15" t="s">
        <v>7</v>
      </c>
    </row>
    <row r="1032211" spans="1:1" x14ac:dyDescent="0.25">
      <c r="A1032211" s="15" t="s">
        <v>8</v>
      </c>
    </row>
    <row r="1032212" spans="1:1" x14ac:dyDescent="0.25">
      <c r="A1032212" s="15" t="s">
        <v>9</v>
      </c>
    </row>
    <row r="1032213" spans="1:1" x14ac:dyDescent="0.25">
      <c r="A1032213" s="15" t="s">
        <v>10</v>
      </c>
    </row>
    <row r="1032214" spans="1:1" x14ac:dyDescent="0.25">
      <c r="A1032214" s="15" t="s">
        <v>11</v>
      </c>
    </row>
    <row r="1032215" spans="1:1" x14ac:dyDescent="0.25">
      <c r="A1032215" s="15" t="s">
        <v>12</v>
      </c>
    </row>
    <row r="1032216" spans="1:1" x14ac:dyDescent="0.25">
      <c r="A1032216" s="15" t="s">
        <v>13</v>
      </c>
    </row>
    <row r="1032217" spans="1:1" x14ac:dyDescent="0.25">
      <c r="A1032217" s="15" t="s">
        <v>14</v>
      </c>
    </row>
    <row r="1032218" spans="1:1" x14ac:dyDescent="0.25">
      <c r="A1032218" s="13" t="s">
        <v>31</v>
      </c>
    </row>
    <row r="1032219" spans="1:1" x14ac:dyDescent="0.25">
      <c r="A1032219" s="13" t="s">
        <v>87</v>
      </c>
    </row>
    <row r="1032220" spans="1:1" x14ac:dyDescent="0.25">
      <c r="A1032220" s="15" t="s">
        <v>30</v>
      </c>
    </row>
    <row r="1032221" spans="1:1" x14ac:dyDescent="0.25">
      <c r="A1032221" s="15" t="s">
        <v>26</v>
      </c>
    </row>
    <row r="1032222" spans="1:1" x14ac:dyDescent="0.25">
      <c r="A1032222" s="15" t="s">
        <v>27</v>
      </c>
    </row>
    <row r="1032223" spans="1:1" x14ac:dyDescent="0.25">
      <c r="A1032223" s="15" t="s">
        <v>28</v>
      </c>
    </row>
    <row r="1032224" spans="1:1" x14ac:dyDescent="0.25">
      <c r="A1032224" s="15" t="s">
        <v>89</v>
      </c>
    </row>
    <row r="1032225" spans="1:1" x14ac:dyDescent="0.25">
      <c r="A1032225" s="15" t="s">
        <v>90</v>
      </c>
    </row>
    <row r="1032226" spans="1:1" x14ac:dyDescent="0.25">
      <c r="A1032226" s="15" t="s">
        <v>185</v>
      </c>
    </row>
    <row r="1032227" spans="1:1" x14ac:dyDescent="0.25">
      <c r="A1032227" s="15" t="s">
        <v>186</v>
      </c>
    </row>
    <row r="1032228" spans="1:1" x14ac:dyDescent="0.25">
      <c r="A1032228" s="15" t="s">
        <v>187</v>
      </c>
    </row>
    <row r="1032229" spans="1:1" x14ac:dyDescent="0.25">
      <c r="A1032229" s="15" t="s">
        <v>188</v>
      </c>
    </row>
    <row r="1032230" spans="1:1" x14ac:dyDescent="0.25">
      <c r="A1032230" s="15" t="s">
        <v>189</v>
      </c>
    </row>
    <row r="1032231" spans="1:1" x14ac:dyDescent="0.25">
      <c r="A1032231" s="15" t="s">
        <v>190</v>
      </c>
    </row>
    <row r="1032232" spans="1:1" x14ac:dyDescent="0.25">
      <c r="A1032232" s="15" t="s">
        <v>191</v>
      </c>
    </row>
    <row r="1032233" spans="1:1" x14ac:dyDescent="0.25">
      <c r="A1032233" s="14" t="s">
        <v>47</v>
      </c>
    </row>
    <row r="1032234" spans="1:1" x14ac:dyDescent="0.25">
      <c r="A1032234" s="14" t="s">
        <v>119</v>
      </c>
    </row>
    <row r="1032235" spans="1:1" x14ac:dyDescent="0.25">
      <c r="A1032235" s="14" t="s">
        <v>86</v>
      </c>
    </row>
    <row r="1032236" spans="1:1" x14ac:dyDescent="0.25">
      <c r="A1032236" s="13" t="s">
        <v>21</v>
      </c>
    </row>
    <row r="1032237" spans="1:1" x14ac:dyDescent="0.25">
      <c r="A1032237" s="14" t="s">
        <v>92</v>
      </c>
    </row>
    <row r="1032238" spans="1:1" x14ac:dyDescent="0.25">
      <c r="A1032238" s="14" t="s">
        <v>93</v>
      </c>
    </row>
    <row r="1032239" spans="1:1" x14ac:dyDescent="0.25">
      <c r="A1032239" s="14" t="s">
        <v>99</v>
      </c>
    </row>
    <row r="1032240" spans="1:1" x14ac:dyDescent="0.25">
      <c r="A1032240" s="14" t="s">
        <v>100</v>
      </c>
    </row>
    <row r="1032241" spans="1:1" x14ac:dyDescent="0.25">
      <c r="A1032241" s="13" t="s">
        <v>24</v>
      </c>
    </row>
    <row r="1032242" spans="1:1" x14ac:dyDescent="0.25">
      <c r="A1032242" s="13" t="s">
        <v>83</v>
      </c>
    </row>
    <row r="1032243" spans="1:1" x14ac:dyDescent="0.25">
      <c r="A1032243" s="13" t="s">
        <v>106</v>
      </c>
    </row>
    <row r="1032244" spans="1:1" x14ac:dyDescent="0.25">
      <c r="A1032244" s="13" t="s">
        <v>101</v>
      </c>
    </row>
    <row r="1032245" spans="1:1" x14ac:dyDescent="0.25">
      <c r="A1032245" s="13" t="s">
        <v>102</v>
      </c>
    </row>
    <row r="1032246" spans="1:1" x14ac:dyDescent="0.25">
      <c r="A1032246" s="13" t="s">
        <v>103</v>
      </c>
    </row>
    <row r="1032247" spans="1:1" x14ac:dyDescent="0.25">
      <c r="A1032247" s="13" t="s">
        <v>104</v>
      </c>
    </row>
    <row r="1032248" spans="1:1" x14ac:dyDescent="0.25">
      <c r="A1032248" s="13" t="s">
        <v>105</v>
      </c>
    </row>
    <row r="1032249" spans="1:1" x14ac:dyDescent="0.25">
      <c r="A1032249" s="3" t="s">
        <v>382</v>
      </c>
    </row>
    <row r="1032250" spans="1:1" x14ac:dyDescent="0.25">
      <c r="A1032250" s="3" t="s">
        <v>383</v>
      </c>
    </row>
    <row r="1032251" spans="1:1" x14ac:dyDescent="0.25">
      <c r="A1032251" s="3" t="s">
        <v>384</v>
      </c>
    </row>
    <row r="1032252" spans="1:1" x14ac:dyDescent="0.25">
      <c r="A1032252" s="3" t="s">
        <v>385</v>
      </c>
    </row>
    <row r="1032253" spans="1:1" x14ac:dyDescent="0.25">
      <c r="A1032253" s="3" t="s">
        <v>386</v>
      </c>
    </row>
  </sheetData>
  <pageMargins left="0.7" right="0.7" top="0.75" bottom="0.75" header="0.3" footer="0.3"/>
  <pageSetup orientation="portrait"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545FD9-B711-476E-9B85-1CFF4D19B5BA}">
  <dimension ref="A1:H173"/>
  <sheetViews>
    <sheetView workbookViewId="0">
      <pane ySplit="1" topLeftCell="A52" activePane="bottomLeft" state="frozen"/>
      <selection pane="bottomLeft" activeCell="B56" sqref="B56:H56"/>
    </sheetView>
  </sheetViews>
  <sheetFormatPr defaultRowHeight="15" x14ac:dyDescent="0.25"/>
  <cols>
    <col min="1" max="1" width="84.85546875" style="16" customWidth="1"/>
    <col min="4" max="4" width="19.140625" customWidth="1"/>
    <col min="5" max="6" width="16.140625" customWidth="1"/>
    <col min="7" max="7" width="17.28515625" customWidth="1"/>
  </cols>
  <sheetData>
    <row r="1" spans="1:8" x14ac:dyDescent="0.25">
      <c r="A1" s="16" t="s">
        <v>34</v>
      </c>
      <c r="B1" s="1" t="s">
        <v>33</v>
      </c>
      <c r="C1" s="2" t="s">
        <v>26</v>
      </c>
      <c r="D1" s="2" t="s">
        <v>27</v>
      </c>
      <c r="E1" s="2" t="s">
        <v>28</v>
      </c>
      <c r="F1" s="2" t="s">
        <v>89</v>
      </c>
      <c r="G1" s="2" t="s">
        <v>29</v>
      </c>
      <c r="H1" s="2" t="s">
        <v>32</v>
      </c>
    </row>
    <row r="2" spans="1:8" x14ac:dyDescent="0.25">
      <c r="A2" s="16" t="s">
        <v>35</v>
      </c>
      <c r="B2">
        <v>180</v>
      </c>
      <c r="C2">
        <v>2</v>
      </c>
      <c r="D2">
        <v>0</v>
      </c>
      <c r="E2">
        <v>6</v>
      </c>
      <c r="F2">
        <v>32</v>
      </c>
      <c r="G2">
        <v>2</v>
      </c>
      <c r="H2">
        <v>380</v>
      </c>
    </row>
    <row r="3" spans="1:8" x14ac:dyDescent="0.25">
      <c r="A3" s="16" t="s">
        <v>36</v>
      </c>
      <c r="B3">
        <v>140</v>
      </c>
      <c r="C3">
        <v>10</v>
      </c>
      <c r="D3">
        <v>3</v>
      </c>
      <c r="E3">
        <v>12</v>
      </c>
      <c r="F3">
        <v>0</v>
      </c>
      <c r="G3">
        <v>0</v>
      </c>
      <c r="H3">
        <v>140</v>
      </c>
    </row>
    <row r="4" spans="1:8" x14ac:dyDescent="0.25">
      <c r="A4" s="16" t="s">
        <v>37</v>
      </c>
      <c r="B4">
        <v>92</v>
      </c>
      <c r="C4">
        <v>0</v>
      </c>
      <c r="D4">
        <v>0</v>
      </c>
      <c r="E4">
        <v>2</v>
      </c>
      <c r="F4">
        <v>24</v>
      </c>
      <c r="G4">
        <v>2</v>
      </c>
      <c r="H4">
        <v>0</v>
      </c>
    </row>
    <row r="5" spans="1:8" x14ac:dyDescent="0.25">
      <c r="A5" s="16" t="s">
        <v>38</v>
      </c>
      <c r="B5">
        <v>120</v>
      </c>
      <c r="C5">
        <v>3</v>
      </c>
      <c r="D5">
        <v>2</v>
      </c>
      <c r="E5">
        <v>6</v>
      </c>
      <c r="F5">
        <v>19</v>
      </c>
      <c r="G5">
        <v>2</v>
      </c>
      <c r="H5">
        <v>330</v>
      </c>
    </row>
    <row r="6" spans="1:8" x14ac:dyDescent="0.25">
      <c r="A6" s="16" t="s">
        <v>280</v>
      </c>
      <c r="B6">
        <v>60</v>
      </c>
      <c r="C6">
        <v>5</v>
      </c>
      <c r="D6">
        <v>3.5</v>
      </c>
      <c r="E6">
        <v>1</v>
      </c>
      <c r="F6">
        <v>2</v>
      </c>
      <c r="G6">
        <v>0</v>
      </c>
      <c r="H6">
        <v>15</v>
      </c>
    </row>
    <row r="7" spans="1:8" x14ac:dyDescent="0.25">
      <c r="A7" s="16" t="s">
        <v>39</v>
      </c>
      <c r="B7">
        <v>81</v>
      </c>
      <c r="C7">
        <v>0</v>
      </c>
      <c r="D7">
        <v>0</v>
      </c>
      <c r="E7">
        <v>2</v>
      </c>
      <c r="F7">
        <v>21</v>
      </c>
      <c r="G7">
        <v>4</v>
      </c>
      <c r="H7">
        <v>2</v>
      </c>
    </row>
    <row r="8" spans="1:8" x14ac:dyDescent="0.25">
      <c r="A8" s="16" t="s">
        <v>333</v>
      </c>
      <c r="B8">
        <v>40</v>
      </c>
      <c r="C8">
        <v>0.2</v>
      </c>
      <c r="D8">
        <v>0.1</v>
      </c>
      <c r="E8">
        <v>0.6</v>
      </c>
      <c r="F8">
        <v>10.1</v>
      </c>
      <c r="G8">
        <v>1.4</v>
      </c>
      <c r="H8">
        <v>2</v>
      </c>
    </row>
    <row r="9" spans="1:8" x14ac:dyDescent="0.25">
      <c r="A9" s="16" t="s">
        <v>40</v>
      </c>
      <c r="B9">
        <v>15</v>
      </c>
      <c r="C9">
        <v>0</v>
      </c>
      <c r="D9">
        <v>0</v>
      </c>
      <c r="E9">
        <v>1</v>
      </c>
      <c r="F9">
        <v>3</v>
      </c>
      <c r="G9">
        <v>1</v>
      </c>
      <c r="H9">
        <v>290</v>
      </c>
    </row>
    <row r="10" spans="1:8" x14ac:dyDescent="0.25">
      <c r="A10" s="16" t="s">
        <v>41</v>
      </c>
      <c r="B10">
        <v>280</v>
      </c>
      <c r="C10">
        <v>7</v>
      </c>
      <c r="D10">
        <v>1</v>
      </c>
      <c r="E10">
        <v>8</v>
      </c>
      <c r="F10">
        <v>42</v>
      </c>
      <c r="G10">
        <v>8</v>
      </c>
      <c r="H10">
        <v>360</v>
      </c>
    </row>
    <row r="11" spans="1:8" x14ac:dyDescent="0.25">
      <c r="A11" s="16" t="s">
        <v>56</v>
      </c>
      <c r="B11">
        <v>210</v>
      </c>
      <c r="C11">
        <v>5.25</v>
      </c>
      <c r="D11">
        <v>0.75</v>
      </c>
      <c r="E11">
        <v>6</v>
      </c>
      <c r="F11">
        <v>31.5</v>
      </c>
      <c r="G11">
        <v>6</v>
      </c>
      <c r="H11">
        <v>270</v>
      </c>
    </row>
    <row r="12" spans="1:8" x14ac:dyDescent="0.25">
      <c r="A12" s="16" t="s">
        <v>57</v>
      </c>
      <c r="B12">
        <v>140</v>
      </c>
      <c r="C12">
        <v>3.5</v>
      </c>
      <c r="D12">
        <v>0.5</v>
      </c>
      <c r="E12">
        <v>4</v>
      </c>
      <c r="F12">
        <v>21</v>
      </c>
      <c r="G12">
        <v>4</v>
      </c>
      <c r="H12">
        <v>180</v>
      </c>
    </row>
    <row r="13" spans="1:8" x14ac:dyDescent="0.25">
      <c r="A13" s="16" t="s">
        <v>42</v>
      </c>
      <c r="B13">
        <v>161</v>
      </c>
      <c r="C13">
        <v>14.5</v>
      </c>
      <c r="D13">
        <v>2</v>
      </c>
      <c r="E13">
        <v>2</v>
      </c>
      <c r="F13">
        <v>8.5</v>
      </c>
      <c r="G13">
        <v>6.5</v>
      </c>
      <c r="H13">
        <v>7</v>
      </c>
    </row>
    <row r="14" spans="1:8" x14ac:dyDescent="0.25">
      <c r="A14" s="16" t="s">
        <v>52</v>
      </c>
      <c r="B14">
        <v>322</v>
      </c>
      <c r="C14">
        <v>29</v>
      </c>
      <c r="D14">
        <v>4</v>
      </c>
      <c r="E14">
        <v>4</v>
      </c>
      <c r="F14">
        <v>17</v>
      </c>
      <c r="G14">
        <v>18</v>
      </c>
      <c r="H14">
        <v>14</v>
      </c>
    </row>
    <row r="15" spans="1:8" x14ac:dyDescent="0.25">
      <c r="A15" s="16" t="s">
        <v>168</v>
      </c>
      <c r="B15">
        <f>0.75*322</f>
        <v>241.5</v>
      </c>
      <c r="C15">
        <f>29*0.75</f>
        <v>21.75</v>
      </c>
      <c r="D15">
        <f>4*0.75</f>
        <v>3</v>
      </c>
      <c r="E15">
        <f>4*0.75</f>
        <v>3</v>
      </c>
      <c r="F15">
        <f>17*0.75</f>
        <v>12.75</v>
      </c>
      <c r="G15">
        <f>18*0.75</f>
        <v>13.5</v>
      </c>
      <c r="H15">
        <f>14*0.75</f>
        <v>10.5</v>
      </c>
    </row>
    <row r="16" spans="1:8" x14ac:dyDescent="0.25">
      <c r="A16" s="16" t="s">
        <v>43</v>
      </c>
      <c r="B16">
        <v>150</v>
      </c>
      <c r="C16">
        <v>0</v>
      </c>
      <c r="D16">
        <v>0</v>
      </c>
      <c r="E16">
        <v>3</v>
      </c>
      <c r="F16">
        <v>14</v>
      </c>
      <c r="G16">
        <v>3</v>
      </c>
      <c r="H16">
        <v>30</v>
      </c>
    </row>
    <row r="17" spans="1:8" x14ac:dyDescent="0.25">
      <c r="A17" s="16" t="s">
        <v>45</v>
      </c>
      <c r="B17">
        <v>100</v>
      </c>
      <c r="C17">
        <v>0</v>
      </c>
      <c r="D17">
        <v>0</v>
      </c>
      <c r="E17">
        <v>2</v>
      </c>
      <c r="F17">
        <v>9</v>
      </c>
      <c r="G17">
        <v>2</v>
      </c>
      <c r="H17">
        <v>20</v>
      </c>
    </row>
    <row r="18" spans="1:8" x14ac:dyDescent="0.25">
      <c r="A18" s="16" t="s">
        <v>44</v>
      </c>
      <c r="B18">
        <v>130</v>
      </c>
      <c r="C18">
        <v>3</v>
      </c>
      <c r="D18">
        <v>2</v>
      </c>
      <c r="E18">
        <v>0</v>
      </c>
      <c r="F18">
        <v>19</v>
      </c>
      <c r="G18">
        <v>3</v>
      </c>
      <c r="H18">
        <v>670</v>
      </c>
    </row>
    <row r="19" spans="1:8" x14ac:dyDescent="0.25">
      <c r="A19" s="16" t="s">
        <v>46</v>
      </c>
      <c r="B19">
        <v>80</v>
      </c>
      <c r="C19">
        <v>5</v>
      </c>
      <c r="D19">
        <v>3.5</v>
      </c>
      <c r="E19">
        <v>6</v>
      </c>
      <c r="F19">
        <v>1</v>
      </c>
      <c r="G19">
        <v>0</v>
      </c>
      <c r="H19">
        <v>190</v>
      </c>
    </row>
    <row r="20" spans="1:8" x14ac:dyDescent="0.25">
      <c r="A20" s="16" t="s">
        <v>48</v>
      </c>
      <c r="B20">
        <v>290</v>
      </c>
      <c r="C20">
        <v>12</v>
      </c>
      <c r="D20">
        <v>6</v>
      </c>
      <c r="E20">
        <v>7</v>
      </c>
      <c r="F20">
        <v>39</v>
      </c>
      <c r="G20">
        <v>3</v>
      </c>
      <c r="H20">
        <v>1150</v>
      </c>
    </row>
    <row r="21" spans="1:8" x14ac:dyDescent="0.25">
      <c r="A21" s="16" t="s">
        <v>49</v>
      </c>
      <c r="B21">
        <v>60</v>
      </c>
      <c r="C21">
        <v>0.5</v>
      </c>
      <c r="D21">
        <v>0</v>
      </c>
      <c r="E21">
        <v>2</v>
      </c>
      <c r="F21">
        <v>11</v>
      </c>
      <c r="G21">
        <v>7</v>
      </c>
      <c r="H21">
        <v>0</v>
      </c>
    </row>
    <row r="22" spans="1:8" x14ac:dyDescent="0.25">
      <c r="A22" s="16" t="s">
        <v>50</v>
      </c>
      <c r="B22">
        <v>42</v>
      </c>
      <c r="C22">
        <v>0</v>
      </c>
      <c r="D22">
        <v>0</v>
      </c>
      <c r="E22">
        <v>1</v>
      </c>
      <c r="F22">
        <v>13</v>
      </c>
      <c r="G22">
        <v>2</v>
      </c>
      <c r="H22">
        <v>1</v>
      </c>
    </row>
    <row r="23" spans="1:8" x14ac:dyDescent="0.25">
      <c r="A23" s="16" t="s">
        <v>51</v>
      </c>
      <c r="B23">
        <v>120</v>
      </c>
      <c r="C23">
        <v>3</v>
      </c>
      <c r="D23">
        <v>2</v>
      </c>
      <c r="E23">
        <v>6</v>
      </c>
      <c r="F23">
        <v>19</v>
      </c>
      <c r="G23">
        <v>2</v>
      </c>
      <c r="H23">
        <v>330</v>
      </c>
    </row>
    <row r="24" spans="1:8" x14ac:dyDescent="0.25">
      <c r="A24" s="16" t="s">
        <v>53</v>
      </c>
      <c r="B24">
        <v>8.5</v>
      </c>
      <c r="C24">
        <v>0</v>
      </c>
      <c r="D24">
        <v>0</v>
      </c>
      <c r="E24">
        <v>0</v>
      </c>
      <c r="F24">
        <v>36</v>
      </c>
      <c r="G24">
        <v>0</v>
      </c>
      <c r="H24">
        <v>1</v>
      </c>
    </row>
    <row r="25" spans="1:8" x14ac:dyDescent="0.25">
      <c r="A25" s="16" t="s">
        <v>54</v>
      </c>
      <c r="B25">
        <v>25</v>
      </c>
      <c r="C25">
        <v>0</v>
      </c>
      <c r="D25">
        <v>0</v>
      </c>
      <c r="E25">
        <v>0</v>
      </c>
      <c r="F25">
        <v>6</v>
      </c>
      <c r="G25">
        <v>1</v>
      </c>
      <c r="H25">
        <v>0</v>
      </c>
    </row>
    <row r="26" spans="1:8" x14ac:dyDescent="0.25">
      <c r="A26" s="16" t="s">
        <v>55</v>
      </c>
      <c r="B26">
        <v>8</v>
      </c>
      <c r="C26">
        <v>0.6</v>
      </c>
      <c r="D26">
        <v>0</v>
      </c>
      <c r="E26">
        <v>0.25</v>
      </c>
      <c r="F26">
        <v>0.25</v>
      </c>
      <c r="G26">
        <v>0.25</v>
      </c>
      <c r="H26">
        <v>40</v>
      </c>
    </row>
    <row r="27" spans="1:8" x14ac:dyDescent="0.25">
      <c r="A27" s="16" t="s">
        <v>58</v>
      </c>
      <c r="B27">
        <v>57</v>
      </c>
      <c r="C27">
        <v>0</v>
      </c>
      <c r="D27">
        <v>0</v>
      </c>
      <c r="E27">
        <v>0</v>
      </c>
      <c r="F27">
        <v>15</v>
      </c>
      <c r="G27">
        <v>3</v>
      </c>
      <c r="H27">
        <v>1</v>
      </c>
    </row>
    <row r="28" spans="1:8" x14ac:dyDescent="0.25">
      <c r="A28" s="16" t="s">
        <v>307</v>
      </c>
      <c r="B28">
        <v>62</v>
      </c>
      <c r="C28">
        <v>0.1</v>
      </c>
      <c r="D28">
        <v>0</v>
      </c>
      <c r="E28">
        <v>0.3</v>
      </c>
      <c r="F28">
        <v>14.9</v>
      </c>
      <c r="G28">
        <v>2.5</v>
      </c>
      <c r="H28">
        <v>0</v>
      </c>
    </row>
    <row r="29" spans="1:8" x14ac:dyDescent="0.25">
      <c r="A29" s="16" t="s">
        <v>59</v>
      </c>
      <c r="B29">
        <v>30</v>
      </c>
      <c r="C29">
        <v>0</v>
      </c>
      <c r="D29">
        <v>0</v>
      </c>
      <c r="E29">
        <v>0</v>
      </c>
      <c r="F29">
        <v>8</v>
      </c>
      <c r="G29">
        <v>1</v>
      </c>
      <c r="H29">
        <v>150</v>
      </c>
    </row>
    <row r="30" spans="1:8" x14ac:dyDescent="0.25">
      <c r="A30" s="16" t="s">
        <v>60</v>
      </c>
      <c r="B30">
        <v>70</v>
      </c>
      <c r="C30">
        <v>5</v>
      </c>
      <c r="D30">
        <v>3</v>
      </c>
      <c r="E30">
        <v>4</v>
      </c>
      <c r="F30">
        <v>1</v>
      </c>
      <c r="G30">
        <v>0</v>
      </c>
      <c r="H30">
        <v>250</v>
      </c>
    </row>
    <row r="31" spans="1:8" x14ac:dyDescent="0.25">
      <c r="A31" s="16" t="s">
        <v>61</v>
      </c>
      <c r="B31">
        <v>270</v>
      </c>
      <c r="C31">
        <v>7</v>
      </c>
      <c r="D31">
        <v>1</v>
      </c>
      <c r="E31">
        <v>6</v>
      </c>
      <c r="F31">
        <v>46</v>
      </c>
      <c r="G31">
        <v>3</v>
      </c>
      <c r="H31">
        <v>55</v>
      </c>
    </row>
    <row r="32" spans="1:8" x14ac:dyDescent="0.25">
      <c r="A32" s="16" t="s">
        <v>62</v>
      </c>
      <c r="B32">
        <v>25</v>
      </c>
      <c r="C32">
        <v>0</v>
      </c>
      <c r="D32">
        <v>0</v>
      </c>
      <c r="E32">
        <v>0</v>
      </c>
      <c r="F32">
        <v>6</v>
      </c>
      <c r="G32">
        <v>1</v>
      </c>
      <c r="H32">
        <v>0</v>
      </c>
    </row>
    <row r="33" spans="1:8" x14ac:dyDescent="0.25">
      <c r="A33" s="16" t="s">
        <v>63</v>
      </c>
      <c r="B33">
        <v>150</v>
      </c>
      <c r="C33">
        <v>8</v>
      </c>
      <c r="D33">
        <v>1</v>
      </c>
      <c r="E33">
        <v>2</v>
      </c>
      <c r="F33">
        <v>17</v>
      </c>
      <c r="G33">
        <v>1</v>
      </c>
      <c r="H33">
        <v>170</v>
      </c>
    </row>
    <row r="34" spans="1:8" x14ac:dyDescent="0.25">
      <c r="A34" s="16" t="s">
        <v>64</v>
      </c>
      <c r="B34">
        <f>SUM(B35:B38)</f>
        <v>528</v>
      </c>
      <c r="C34">
        <f>SUM(C35:C38)</f>
        <v>19.34</v>
      </c>
      <c r="D34">
        <f t="shared" ref="D34:G34" si="0">SUM(D35:D38)</f>
        <v>5.04</v>
      </c>
      <c r="E34">
        <f t="shared" si="0"/>
        <v>28</v>
      </c>
      <c r="F34">
        <f>SUM(F35:F38)</f>
        <v>62</v>
      </c>
      <c r="G34">
        <f t="shared" si="0"/>
        <v>7</v>
      </c>
      <c r="H34">
        <f>SUM(H35:H38)</f>
        <v>385.03</v>
      </c>
    </row>
    <row r="35" spans="1:8" x14ac:dyDescent="0.25">
      <c r="A35" s="16" t="s">
        <v>65</v>
      </c>
      <c r="B35">
        <v>200</v>
      </c>
      <c r="C35">
        <v>1</v>
      </c>
      <c r="D35">
        <v>0</v>
      </c>
      <c r="E35">
        <v>4</v>
      </c>
      <c r="F35">
        <v>44</v>
      </c>
      <c r="G35">
        <v>1</v>
      </c>
      <c r="H35">
        <v>0</v>
      </c>
    </row>
    <row r="36" spans="1:8" x14ac:dyDescent="0.25">
      <c r="A36" s="16" t="s">
        <v>181</v>
      </c>
      <c r="B36">
        <v>260</v>
      </c>
      <c r="C36">
        <v>18</v>
      </c>
      <c r="D36">
        <v>5</v>
      </c>
      <c r="E36">
        <v>20</v>
      </c>
      <c r="F36">
        <v>5</v>
      </c>
      <c r="G36">
        <v>2</v>
      </c>
      <c r="H36">
        <v>350</v>
      </c>
    </row>
    <row r="37" spans="1:8" x14ac:dyDescent="0.25">
      <c r="A37" s="16" t="s">
        <v>66</v>
      </c>
      <c r="B37">
        <v>31</v>
      </c>
      <c r="C37">
        <v>0.34</v>
      </c>
      <c r="D37">
        <v>0.04</v>
      </c>
      <c r="E37">
        <v>3</v>
      </c>
      <c r="F37">
        <v>6</v>
      </c>
      <c r="G37">
        <v>2</v>
      </c>
      <c r="H37">
        <v>30.03</v>
      </c>
    </row>
    <row r="38" spans="1:8" x14ac:dyDescent="0.25">
      <c r="A38" s="16" t="s">
        <v>67</v>
      </c>
      <c r="B38">
        <v>37</v>
      </c>
      <c r="C38">
        <v>0</v>
      </c>
      <c r="D38">
        <v>0</v>
      </c>
      <c r="E38">
        <v>1</v>
      </c>
      <c r="F38">
        <v>7</v>
      </c>
      <c r="G38">
        <v>2</v>
      </c>
      <c r="H38">
        <v>5</v>
      </c>
    </row>
    <row r="39" spans="1:8" x14ac:dyDescent="0.25">
      <c r="A39" s="16" t="s">
        <v>116</v>
      </c>
      <c r="B39">
        <v>40</v>
      </c>
      <c r="C39">
        <v>0</v>
      </c>
      <c r="D39">
        <v>0</v>
      </c>
      <c r="E39">
        <v>1</v>
      </c>
      <c r="F39">
        <v>10</v>
      </c>
      <c r="G39">
        <v>3</v>
      </c>
      <c r="H39">
        <v>0</v>
      </c>
    </row>
    <row r="40" spans="1:8" x14ac:dyDescent="0.25">
      <c r="A40" s="16" t="s">
        <v>279</v>
      </c>
      <c r="B40">
        <v>27</v>
      </c>
      <c r="C40">
        <v>0</v>
      </c>
      <c r="D40">
        <v>0</v>
      </c>
      <c r="E40">
        <v>1</v>
      </c>
      <c r="F40">
        <v>6</v>
      </c>
      <c r="G40">
        <v>1</v>
      </c>
      <c r="H40">
        <v>2</v>
      </c>
    </row>
    <row r="41" spans="1:8" x14ac:dyDescent="0.25">
      <c r="A41" s="16" t="s">
        <v>68</v>
      </c>
      <c r="B41">
        <v>105</v>
      </c>
      <c r="C41">
        <v>0</v>
      </c>
      <c r="D41">
        <v>0</v>
      </c>
      <c r="E41">
        <v>1</v>
      </c>
      <c r="F41">
        <v>27</v>
      </c>
      <c r="G41">
        <v>3</v>
      </c>
      <c r="H41">
        <v>1</v>
      </c>
    </row>
    <row r="42" spans="1:8" x14ac:dyDescent="0.25">
      <c r="A42" s="16" t="s">
        <v>69</v>
      </c>
      <c r="B42">
        <f>SUM(B43:B45)+SUM(B37:B38)</f>
        <v>528</v>
      </c>
      <c r="C42">
        <f t="shared" ref="C42:H42" si="1">SUM(C43:C45)+SUM(C37:C38)</f>
        <v>17.84</v>
      </c>
      <c r="D42">
        <f t="shared" si="1"/>
        <v>7.04</v>
      </c>
      <c r="E42">
        <f>SUM(E43:E45)+SUM(E37:E38)</f>
        <v>47</v>
      </c>
      <c r="F42">
        <f>SUM(F43:F45)+SUM(F37:F38)</f>
        <v>57</v>
      </c>
      <c r="G42">
        <f t="shared" si="1"/>
        <v>22</v>
      </c>
      <c r="H42">
        <f t="shared" si="1"/>
        <v>1025.03</v>
      </c>
    </row>
    <row r="43" spans="1:8" x14ac:dyDescent="0.25">
      <c r="A43" s="16" t="s">
        <v>70</v>
      </c>
      <c r="B43">
        <v>180</v>
      </c>
      <c r="C43">
        <v>3.5</v>
      </c>
      <c r="D43">
        <v>0</v>
      </c>
      <c r="E43">
        <v>24</v>
      </c>
      <c r="F43">
        <v>20</v>
      </c>
      <c r="G43">
        <v>13</v>
      </c>
      <c r="H43">
        <v>0</v>
      </c>
    </row>
    <row r="44" spans="1:8" x14ac:dyDescent="0.25">
      <c r="A44" s="16" t="s">
        <v>71</v>
      </c>
      <c r="B44">
        <v>220</v>
      </c>
      <c r="C44">
        <v>13</v>
      </c>
      <c r="D44">
        <v>7</v>
      </c>
      <c r="E44">
        <v>17</v>
      </c>
      <c r="F44">
        <v>12</v>
      </c>
      <c r="G44">
        <v>3</v>
      </c>
      <c r="H44">
        <v>570</v>
      </c>
    </row>
    <row r="45" spans="1:8" x14ac:dyDescent="0.25">
      <c r="A45" s="16" t="s">
        <v>72</v>
      </c>
      <c r="B45">
        <v>60</v>
      </c>
      <c r="C45">
        <v>1</v>
      </c>
      <c r="D45">
        <v>0</v>
      </c>
      <c r="E45">
        <v>2</v>
      </c>
      <c r="F45">
        <v>12</v>
      </c>
      <c r="G45">
        <v>2</v>
      </c>
      <c r="H45">
        <v>420</v>
      </c>
    </row>
    <row r="46" spans="1:8" x14ac:dyDescent="0.25">
      <c r="A46" s="16" t="s">
        <v>74</v>
      </c>
      <c r="B46">
        <v>104</v>
      </c>
      <c r="C46">
        <v>0</v>
      </c>
      <c r="D46">
        <v>0</v>
      </c>
      <c r="E46">
        <v>1</v>
      </c>
      <c r="F46">
        <v>27</v>
      </c>
      <c r="G46">
        <v>1</v>
      </c>
      <c r="H46">
        <v>3</v>
      </c>
    </row>
    <row r="47" spans="1:8" x14ac:dyDescent="0.25">
      <c r="A47" s="16" t="s">
        <v>75</v>
      </c>
      <c r="B47">
        <v>90</v>
      </c>
      <c r="C47">
        <v>3.5</v>
      </c>
      <c r="D47">
        <v>1</v>
      </c>
      <c r="E47">
        <v>3</v>
      </c>
      <c r="F47">
        <v>12</v>
      </c>
      <c r="G47">
        <v>3</v>
      </c>
      <c r="H47">
        <v>460</v>
      </c>
    </row>
    <row r="48" spans="1:8" x14ac:dyDescent="0.25">
      <c r="A48" s="16" t="s">
        <v>115</v>
      </c>
      <c r="B48">
        <v>20</v>
      </c>
      <c r="C48">
        <v>1.5</v>
      </c>
      <c r="D48">
        <v>1</v>
      </c>
      <c r="E48">
        <v>2</v>
      </c>
      <c r="F48">
        <v>0</v>
      </c>
      <c r="G48">
        <v>0</v>
      </c>
      <c r="H48">
        <v>100</v>
      </c>
    </row>
    <row r="49" spans="1:8" x14ac:dyDescent="0.25">
      <c r="A49" s="16" t="s">
        <v>76</v>
      </c>
      <c r="B49">
        <v>120</v>
      </c>
      <c r="C49">
        <v>14</v>
      </c>
      <c r="D49">
        <v>2</v>
      </c>
      <c r="E49">
        <v>0</v>
      </c>
      <c r="F49">
        <v>0</v>
      </c>
      <c r="G49">
        <v>0</v>
      </c>
      <c r="H49">
        <v>0</v>
      </c>
    </row>
    <row r="50" spans="1:8" x14ac:dyDescent="0.25">
      <c r="A50" s="16" t="s">
        <v>77</v>
      </c>
      <c r="B50">
        <v>190</v>
      </c>
      <c r="C50">
        <v>0</v>
      </c>
      <c r="D50">
        <v>0</v>
      </c>
      <c r="E50">
        <v>6</v>
      </c>
      <c r="F50">
        <v>41</v>
      </c>
      <c r="G50">
        <v>7</v>
      </c>
      <c r="H50">
        <v>1450</v>
      </c>
    </row>
    <row r="51" spans="1:8" x14ac:dyDescent="0.25">
      <c r="A51" s="16" t="s">
        <v>78</v>
      </c>
      <c r="B51">
        <v>107</v>
      </c>
      <c r="C51">
        <v>0</v>
      </c>
      <c r="D51">
        <v>0</v>
      </c>
      <c r="E51">
        <v>1</v>
      </c>
      <c r="F51">
        <v>28</v>
      </c>
      <c r="G51">
        <v>3</v>
      </c>
      <c r="H51">
        <v>3</v>
      </c>
    </row>
    <row r="52" spans="1:8" x14ac:dyDescent="0.25">
      <c r="A52" s="16" t="s">
        <v>79</v>
      </c>
      <c r="B52">
        <v>140</v>
      </c>
      <c r="C52">
        <v>7</v>
      </c>
      <c r="D52">
        <v>5</v>
      </c>
      <c r="E52">
        <v>2</v>
      </c>
      <c r="F52">
        <v>18</v>
      </c>
      <c r="G52">
        <v>2</v>
      </c>
      <c r="H52">
        <v>90</v>
      </c>
    </row>
    <row r="53" spans="1:8" x14ac:dyDescent="0.25">
      <c r="A53" s="16" t="s">
        <v>80</v>
      </c>
      <c r="B53">
        <v>200</v>
      </c>
      <c r="C53">
        <v>9</v>
      </c>
      <c r="D53">
        <v>9</v>
      </c>
      <c r="E53">
        <v>12</v>
      </c>
      <c r="F53">
        <v>1</v>
      </c>
      <c r="G53">
        <v>0</v>
      </c>
      <c r="H53">
        <v>340</v>
      </c>
    </row>
    <row r="54" spans="1:8" x14ac:dyDescent="0.25">
      <c r="A54" s="16" t="s">
        <v>81</v>
      </c>
      <c r="B54">
        <v>340</v>
      </c>
      <c r="C54">
        <v>5</v>
      </c>
      <c r="D54">
        <v>0</v>
      </c>
      <c r="E54">
        <v>17</v>
      </c>
      <c r="F54">
        <v>57</v>
      </c>
      <c r="G54">
        <v>16</v>
      </c>
      <c r="H54">
        <v>1670</v>
      </c>
    </row>
    <row r="55" spans="1:8" x14ac:dyDescent="0.25">
      <c r="A55" s="16" t="s">
        <v>82</v>
      </c>
      <c r="B55">
        <v>150</v>
      </c>
      <c r="C55">
        <v>1</v>
      </c>
      <c r="D55">
        <v>0</v>
      </c>
      <c r="E55">
        <v>3</v>
      </c>
      <c r="F55">
        <v>33</v>
      </c>
      <c r="G55">
        <v>2</v>
      </c>
      <c r="H55">
        <v>280</v>
      </c>
    </row>
    <row r="56" spans="1:8" x14ac:dyDescent="0.25">
      <c r="A56" s="16" t="s">
        <v>91</v>
      </c>
      <c r="B56">
        <v>100</v>
      </c>
      <c r="C56">
        <v>1</v>
      </c>
      <c r="D56">
        <v>0</v>
      </c>
      <c r="E56">
        <v>2</v>
      </c>
      <c r="F56">
        <v>21</v>
      </c>
      <c r="G56">
        <v>2</v>
      </c>
      <c r="H56">
        <v>20</v>
      </c>
    </row>
    <row r="57" spans="1:8" x14ac:dyDescent="0.25">
      <c r="A57" s="16" t="s">
        <v>107</v>
      </c>
      <c r="B57">
        <v>200</v>
      </c>
      <c r="C57">
        <v>13</v>
      </c>
      <c r="D57">
        <v>12</v>
      </c>
      <c r="E57">
        <v>2</v>
      </c>
      <c r="F57">
        <v>22</v>
      </c>
      <c r="G57">
        <v>2</v>
      </c>
      <c r="H57">
        <v>20</v>
      </c>
    </row>
    <row r="58" spans="1:8" x14ac:dyDescent="0.25">
      <c r="A58" s="16" t="s">
        <v>109</v>
      </c>
      <c r="B58">
        <v>160</v>
      </c>
      <c r="C58">
        <v>7</v>
      </c>
      <c r="D58">
        <v>2</v>
      </c>
      <c r="E58">
        <v>2</v>
      </c>
      <c r="F58">
        <v>21</v>
      </c>
      <c r="G58">
        <v>2</v>
      </c>
      <c r="H58">
        <v>0</v>
      </c>
    </row>
    <row r="59" spans="1:8" x14ac:dyDescent="0.25">
      <c r="A59" s="16" t="s">
        <v>110</v>
      </c>
      <c r="B59">
        <f>0.66*160</f>
        <v>105.60000000000001</v>
      </c>
      <c r="C59">
        <f>0.66*7</f>
        <v>4.62</v>
      </c>
      <c r="D59">
        <f>0.66*2</f>
        <v>1.32</v>
      </c>
      <c r="E59">
        <f>0.66*2</f>
        <v>1.32</v>
      </c>
      <c r="F59">
        <f>0.66*21</f>
        <v>13.860000000000001</v>
      </c>
      <c r="G59">
        <f>0.66*2</f>
        <v>1.32</v>
      </c>
      <c r="H59">
        <v>0</v>
      </c>
    </row>
    <row r="60" spans="1:8" x14ac:dyDescent="0.25">
      <c r="A60" s="16" t="s">
        <v>111</v>
      </c>
      <c r="B60">
        <v>330</v>
      </c>
      <c r="C60">
        <v>2.5</v>
      </c>
      <c r="D60">
        <v>0.5</v>
      </c>
      <c r="E60">
        <v>23</v>
      </c>
      <c r="F60">
        <v>61</v>
      </c>
      <c r="G60">
        <v>11</v>
      </c>
      <c r="H60">
        <v>0</v>
      </c>
    </row>
    <row r="61" spans="1:8" x14ac:dyDescent="0.25">
      <c r="A61" s="16" t="s">
        <v>112</v>
      </c>
      <c r="B61">
        <v>90</v>
      </c>
      <c r="C61">
        <v>2</v>
      </c>
      <c r="D61">
        <v>2</v>
      </c>
      <c r="E61">
        <v>3</v>
      </c>
      <c r="F61">
        <v>18</v>
      </c>
      <c r="G61">
        <v>4</v>
      </c>
      <c r="H61">
        <v>500</v>
      </c>
    </row>
    <row r="62" spans="1:8" x14ac:dyDescent="0.25">
      <c r="A62" s="16" t="s">
        <v>120</v>
      </c>
      <c r="B62">
        <v>123</v>
      </c>
      <c r="C62">
        <v>0</v>
      </c>
      <c r="D62">
        <v>0</v>
      </c>
      <c r="E62">
        <v>0</v>
      </c>
      <c r="F62">
        <v>4</v>
      </c>
      <c r="G62">
        <v>0</v>
      </c>
      <c r="H62">
        <v>6</v>
      </c>
    </row>
    <row r="63" spans="1:8" x14ac:dyDescent="0.25">
      <c r="A63" s="16" t="s">
        <v>124</v>
      </c>
      <c r="B63">
        <f>123*5</f>
        <v>615</v>
      </c>
      <c r="C63">
        <v>0</v>
      </c>
      <c r="D63">
        <v>0</v>
      </c>
      <c r="E63">
        <v>0</v>
      </c>
      <c r="F63">
        <f>4*5</f>
        <v>20</v>
      </c>
      <c r="G63">
        <v>0</v>
      </c>
      <c r="H63">
        <f>6*5</f>
        <v>30</v>
      </c>
    </row>
    <row r="64" spans="1:8" x14ac:dyDescent="0.25">
      <c r="A64" s="16" t="s">
        <v>283</v>
      </c>
      <c r="B64">
        <v>5</v>
      </c>
      <c r="C64">
        <v>0</v>
      </c>
      <c r="D64">
        <v>0</v>
      </c>
      <c r="E64">
        <v>0</v>
      </c>
      <c r="F64">
        <v>1</v>
      </c>
      <c r="G64">
        <v>0</v>
      </c>
      <c r="H64">
        <v>0</v>
      </c>
    </row>
    <row r="65" spans="1:8" x14ac:dyDescent="0.25">
      <c r="A65" s="16" t="s">
        <v>122</v>
      </c>
      <c r="B65">
        <v>100</v>
      </c>
      <c r="C65">
        <v>0</v>
      </c>
      <c r="D65">
        <v>0</v>
      </c>
      <c r="E65">
        <v>0</v>
      </c>
      <c r="F65">
        <v>25</v>
      </c>
      <c r="G65">
        <v>2</v>
      </c>
      <c r="H65">
        <v>0</v>
      </c>
    </row>
    <row r="66" spans="1:8" x14ac:dyDescent="0.25">
      <c r="A66" s="16" t="s">
        <v>123</v>
      </c>
      <c r="B66">
        <v>200</v>
      </c>
      <c r="C66">
        <v>0</v>
      </c>
      <c r="D66">
        <v>0</v>
      </c>
      <c r="E66">
        <v>0</v>
      </c>
      <c r="F66">
        <v>50</v>
      </c>
      <c r="G66">
        <v>4</v>
      </c>
      <c r="H66">
        <v>0</v>
      </c>
    </row>
    <row r="67" spans="1:8" x14ac:dyDescent="0.25">
      <c r="A67" s="16" t="s">
        <v>134</v>
      </c>
      <c r="B67">
        <v>42</v>
      </c>
      <c r="C67">
        <v>0.4</v>
      </c>
      <c r="D67">
        <v>0</v>
      </c>
      <c r="E67">
        <v>1</v>
      </c>
      <c r="F67">
        <v>10</v>
      </c>
      <c r="G67">
        <v>2.2000000000000002</v>
      </c>
      <c r="H67">
        <v>412</v>
      </c>
    </row>
    <row r="68" spans="1:8" x14ac:dyDescent="0.25">
      <c r="A68" s="16" t="s">
        <v>135</v>
      </c>
      <c r="B68">
        <v>22.1</v>
      </c>
      <c r="C68">
        <v>0.2</v>
      </c>
      <c r="D68">
        <v>0</v>
      </c>
      <c r="E68">
        <v>1.1000000000000001</v>
      </c>
      <c r="F68">
        <v>4.8</v>
      </c>
      <c r="G68">
        <v>1.5</v>
      </c>
      <c r="H68">
        <v>6.2</v>
      </c>
    </row>
    <row r="69" spans="1:8" x14ac:dyDescent="0.25">
      <c r="A69" s="16" t="s">
        <v>136</v>
      </c>
      <c r="B69">
        <v>190</v>
      </c>
      <c r="C69">
        <v>18</v>
      </c>
      <c r="D69">
        <v>1.5</v>
      </c>
      <c r="E69">
        <v>4</v>
      </c>
      <c r="F69">
        <v>4</v>
      </c>
      <c r="G69">
        <v>2</v>
      </c>
      <c r="H69">
        <v>0</v>
      </c>
    </row>
    <row r="70" spans="1:8" x14ac:dyDescent="0.25">
      <c r="A70" s="16" t="s">
        <v>137</v>
      </c>
      <c r="B70">
        <v>100</v>
      </c>
      <c r="C70">
        <v>8</v>
      </c>
      <c r="D70">
        <v>5</v>
      </c>
      <c r="E70">
        <v>7</v>
      </c>
      <c r="F70">
        <v>0</v>
      </c>
      <c r="G70">
        <v>0</v>
      </c>
      <c r="H70">
        <v>170</v>
      </c>
    </row>
    <row r="71" spans="1:8" x14ac:dyDescent="0.25">
      <c r="A71" s="16" t="s">
        <v>152</v>
      </c>
      <c r="B71">
        <v>100</v>
      </c>
      <c r="C71">
        <v>8</v>
      </c>
      <c r="D71">
        <v>4.5</v>
      </c>
      <c r="E71">
        <v>5</v>
      </c>
      <c r="F71">
        <v>2</v>
      </c>
      <c r="G71">
        <v>0</v>
      </c>
      <c r="H71">
        <v>360</v>
      </c>
    </row>
    <row r="72" spans="1:8" x14ac:dyDescent="0.25">
      <c r="A72" s="16" t="s">
        <v>155</v>
      </c>
      <c r="B72">
        <v>240</v>
      </c>
      <c r="C72">
        <v>2</v>
      </c>
      <c r="D72">
        <v>0</v>
      </c>
      <c r="E72">
        <v>2</v>
      </c>
      <c r="F72">
        <v>54</v>
      </c>
      <c r="G72">
        <v>1</v>
      </c>
      <c r="H72">
        <v>490</v>
      </c>
    </row>
    <row r="73" spans="1:8" x14ac:dyDescent="0.25">
      <c r="A73" s="16" t="s">
        <v>156</v>
      </c>
      <c r="B73">
        <f>240*6</f>
        <v>1440</v>
      </c>
      <c r="C73">
        <v>12</v>
      </c>
      <c r="D73">
        <v>0</v>
      </c>
      <c r="E73">
        <v>12</v>
      </c>
      <c r="F73">
        <f>54*6</f>
        <v>324</v>
      </c>
      <c r="G73">
        <v>6</v>
      </c>
      <c r="H73">
        <f>490*6</f>
        <v>2940</v>
      </c>
    </row>
    <row r="74" spans="1:8" x14ac:dyDescent="0.25">
      <c r="A74" s="16" t="s">
        <v>158</v>
      </c>
      <c r="B74">
        <v>100</v>
      </c>
      <c r="C74">
        <v>8</v>
      </c>
      <c r="D74">
        <v>4.5</v>
      </c>
      <c r="E74">
        <v>5</v>
      </c>
      <c r="F74">
        <v>2</v>
      </c>
      <c r="G74">
        <v>1</v>
      </c>
      <c r="H74">
        <v>360</v>
      </c>
    </row>
    <row r="75" spans="1:8" x14ac:dyDescent="0.25">
      <c r="A75" s="16" t="s">
        <v>164</v>
      </c>
      <c r="B75">
        <v>130</v>
      </c>
      <c r="C75">
        <v>3</v>
      </c>
      <c r="D75">
        <v>0</v>
      </c>
      <c r="E75">
        <v>3</v>
      </c>
      <c r="F75">
        <v>23</v>
      </c>
      <c r="G75">
        <v>2</v>
      </c>
      <c r="H75">
        <v>620</v>
      </c>
    </row>
    <row r="76" spans="1:8" x14ac:dyDescent="0.25">
      <c r="A76" s="16" t="s">
        <v>170</v>
      </c>
      <c r="B76">
        <v>60</v>
      </c>
      <c r="C76">
        <v>4</v>
      </c>
      <c r="D76">
        <v>2.5</v>
      </c>
      <c r="E76">
        <v>5</v>
      </c>
      <c r="F76">
        <v>1</v>
      </c>
      <c r="G76">
        <v>0</v>
      </c>
      <c r="H76">
        <v>140</v>
      </c>
    </row>
    <row r="77" spans="1:8" x14ac:dyDescent="0.25">
      <c r="A77" s="16" t="s">
        <v>169</v>
      </c>
      <c r="B77">
        <v>80</v>
      </c>
      <c r="C77">
        <v>6</v>
      </c>
      <c r="D77">
        <v>4</v>
      </c>
      <c r="E77">
        <v>5</v>
      </c>
      <c r="F77">
        <v>0</v>
      </c>
      <c r="G77">
        <v>0</v>
      </c>
      <c r="H77">
        <v>130</v>
      </c>
    </row>
    <row r="78" spans="1:8" x14ac:dyDescent="0.25">
      <c r="A78" s="16" t="s">
        <v>173</v>
      </c>
      <c r="B78">
        <v>330</v>
      </c>
      <c r="C78">
        <v>2.5</v>
      </c>
      <c r="D78">
        <v>0.5</v>
      </c>
      <c r="E78">
        <v>23</v>
      </c>
      <c r="F78">
        <v>61</v>
      </c>
      <c r="G78">
        <v>11</v>
      </c>
      <c r="H78">
        <v>0</v>
      </c>
    </row>
    <row r="79" spans="1:8" x14ac:dyDescent="0.25">
      <c r="A79" s="16" t="s">
        <v>174</v>
      </c>
      <c r="B79">
        <v>8</v>
      </c>
      <c r="C79">
        <v>0</v>
      </c>
      <c r="D79">
        <v>0</v>
      </c>
      <c r="E79">
        <v>0.77</v>
      </c>
      <c r="F79">
        <v>1.1000000000000001</v>
      </c>
      <c r="G79">
        <v>0.5</v>
      </c>
      <c r="H79">
        <v>8</v>
      </c>
    </row>
    <row r="80" spans="1:8" x14ac:dyDescent="0.25">
      <c r="A80" s="16" t="s">
        <v>179</v>
      </c>
      <c r="B80">
        <f>SUM(B67*2,B49*4,B39,B38,B69*4)/4</f>
        <v>350.25</v>
      </c>
      <c r="C80">
        <f t="shared" ref="C80:H80" si="2">SUM(C67*2,C49*4,C39,C38,C69*4)/4</f>
        <v>32.200000000000003</v>
      </c>
      <c r="D80">
        <f t="shared" si="2"/>
        <v>3.5</v>
      </c>
      <c r="E80">
        <f t="shared" si="2"/>
        <v>5</v>
      </c>
      <c r="F80">
        <f t="shared" si="2"/>
        <v>13.25</v>
      </c>
      <c r="G80">
        <f t="shared" si="2"/>
        <v>4.3499999999999996</v>
      </c>
      <c r="H80">
        <f t="shared" si="2"/>
        <v>207.25</v>
      </c>
    </row>
    <row r="81" spans="1:8" x14ac:dyDescent="0.25">
      <c r="A81" s="16" t="s">
        <v>180</v>
      </c>
      <c r="B81">
        <f>SUM(B36,B61*3)/4</f>
        <v>132.5</v>
      </c>
      <c r="C81">
        <f t="shared" ref="C81:H81" si="3">SUM(C36,C61*3)/4</f>
        <v>6</v>
      </c>
      <c r="D81">
        <f t="shared" si="3"/>
        <v>2.75</v>
      </c>
      <c r="E81">
        <f t="shared" si="3"/>
        <v>7.25</v>
      </c>
      <c r="F81">
        <f t="shared" si="3"/>
        <v>14.75</v>
      </c>
      <c r="G81">
        <f t="shared" si="3"/>
        <v>3.5</v>
      </c>
      <c r="H81">
        <f t="shared" si="3"/>
        <v>462.5</v>
      </c>
    </row>
    <row r="82" spans="1:8" x14ac:dyDescent="0.25">
      <c r="A82" s="16" t="s">
        <v>182</v>
      </c>
      <c r="B82">
        <v>118</v>
      </c>
      <c r="C82">
        <v>0</v>
      </c>
      <c r="D82">
        <v>0</v>
      </c>
      <c r="E82">
        <v>2</v>
      </c>
      <c r="F82">
        <v>28</v>
      </c>
      <c r="G82">
        <v>4</v>
      </c>
      <c r="H82">
        <v>9</v>
      </c>
    </row>
    <row r="83" spans="1:8" x14ac:dyDescent="0.25">
      <c r="A83" s="16" t="s">
        <v>192</v>
      </c>
      <c r="B83">
        <v>100</v>
      </c>
      <c r="C83">
        <v>1</v>
      </c>
      <c r="D83">
        <v>0</v>
      </c>
      <c r="E83">
        <v>2</v>
      </c>
      <c r="F83">
        <v>21</v>
      </c>
      <c r="G83">
        <v>2</v>
      </c>
      <c r="H83">
        <v>60</v>
      </c>
    </row>
    <row r="84" spans="1:8" x14ac:dyDescent="0.25">
      <c r="A84" s="16" t="s">
        <v>193</v>
      </c>
      <c r="B84">
        <v>60</v>
      </c>
      <c r="C84">
        <v>5</v>
      </c>
      <c r="D84">
        <v>3.5</v>
      </c>
      <c r="E84">
        <v>1</v>
      </c>
      <c r="F84">
        <v>0</v>
      </c>
      <c r="G84">
        <v>1</v>
      </c>
      <c r="H84">
        <v>15</v>
      </c>
    </row>
    <row r="85" spans="1:8" x14ac:dyDescent="0.25">
      <c r="A85" s="16" t="s">
        <v>254</v>
      </c>
      <c r="B85">
        <v>36</v>
      </c>
      <c r="C85">
        <v>0</v>
      </c>
      <c r="D85">
        <v>0</v>
      </c>
      <c r="E85">
        <v>1</v>
      </c>
      <c r="F85">
        <v>7</v>
      </c>
      <c r="G85">
        <v>1</v>
      </c>
      <c r="H85">
        <v>18</v>
      </c>
    </row>
    <row r="86" spans="1:8" x14ac:dyDescent="0.25">
      <c r="A86" s="16" t="s">
        <v>259</v>
      </c>
      <c r="B86">
        <v>40</v>
      </c>
      <c r="C86">
        <v>3</v>
      </c>
      <c r="D86">
        <v>0</v>
      </c>
      <c r="E86">
        <v>1</v>
      </c>
      <c r="F86">
        <v>2</v>
      </c>
      <c r="G86">
        <v>1</v>
      </c>
      <c r="H86">
        <v>180</v>
      </c>
    </row>
    <row r="87" spans="1:8" x14ac:dyDescent="0.25">
      <c r="A87" s="16" t="s">
        <v>260</v>
      </c>
      <c r="B87">
        <v>200</v>
      </c>
      <c r="C87">
        <v>20</v>
      </c>
      <c r="D87">
        <v>2</v>
      </c>
      <c r="E87">
        <v>5</v>
      </c>
      <c r="F87">
        <v>4</v>
      </c>
      <c r="G87">
        <v>2</v>
      </c>
      <c r="H87">
        <v>0</v>
      </c>
    </row>
    <row r="88" spans="1:8" x14ac:dyDescent="0.25">
      <c r="A88" s="16" t="s">
        <v>368</v>
      </c>
      <c r="B88">
        <v>10</v>
      </c>
      <c r="C88">
        <v>0.5</v>
      </c>
      <c r="D88">
        <v>0</v>
      </c>
      <c r="E88">
        <v>1</v>
      </c>
      <c r="F88">
        <v>3</v>
      </c>
      <c r="G88">
        <v>1</v>
      </c>
      <c r="H88">
        <v>0</v>
      </c>
    </row>
    <row r="89" spans="1:8" x14ac:dyDescent="0.25">
      <c r="A89" s="16" t="s">
        <v>266</v>
      </c>
      <c r="B89">
        <f>SUM(B90:B95)</f>
        <v>788</v>
      </c>
      <c r="C89">
        <f t="shared" ref="C89:H89" si="4">SUM(C90:C95)</f>
        <v>24.34</v>
      </c>
      <c r="D89">
        <f t="shared" si="4"/>
        <v>6.54</v>
      </c>
      <c r="E89">
        <f t="shared" si="4"/>
        <v>51</v>
      </c>
      <c r="F89">
        <f t="shared" si="4"/>
        <v>101</v>
      </c>
      <c r="G89">
        <f t="shared" si="4"/>
        <v>23</v>
      </c>
      <c r="H89">
        <f t="shared" si="4"/>
        <v>845.03</v>
      </c>
    </row>
    <row r="90" spans="1:8" x14ac:dyDescent="0.25">
      <c r="A90" s="16" t="s">
        <v>265</v>
      </c>
      <c r="B90">
        <v>330</v>
      </c>
      <c r="C90">
        <v>2.5</v>
      </c>
      <c r="D90">
        <v>0.5</v>
      </c>
      <c r="E90">
        <v>23</v>
      </c>
      <c r="F90">
        <v>61</v>
      </c>
      <c r="G90">
        <v>11</v>
      </c>
      <c r="H90">
        <v>0</v>
      </c>
    </row>
    <row r="91" spans="1:8" x14ac:dyDescent="0.25">
      <c r="A91" s="16" t="s">
        <v>66</v>
      </c>
      <c r="B91">
        <v>31</v>
      </c>
      <c r="C91">
        <v>0.34</v>
      </c>
      <c r="D91">
        <v>0.04</v>
      </c>
      <c r="E91">
        <v>3</v>
      </c>
      <c r="F91">
        <v>6</v>
      </c>
      <c r="G91">
        <v>2</v>
      </c>
      <c r="H91">
        <v>30.03</v>
      </c>
    </row>
    <row r="92" spans="1:8" x14ac:dyDescent="0.25">
      <c r="A92" s="16" t="s">
        <v>67</v>
      </c>
      <c r="B92">
        <v>37</v>
      </c>
      <c r="C92">
        <v>0</v>
      </c>
      <c r="D92">
        <v>0</v>
      </c>
      <c r="E92">
        <v>1</v>
      </c>
      <c r="F92">
        <v>7</v>
      </c>
      <c r="G92">
        <v>2</v>
      </c>
      <c r="H92">
        <v>5</v>
      </c>
    </row>
    <row r="93" spans="1:8" x14ac:dyDescent="0.25">
      <c r="A93" s="16" t="s">
        <v>116</v>
      </c>
      <c r="B93">
        <v>40</v>
      </c>
      <c r="C93">
        <v>0</v>
      </c>
      <c r="D93">
        <v>0</v>
      </c>
      <c r="E93">
        <v>1</v>
      </c>
      <c r="F93">
        <v>10</v>
      </c>
      <c r="G93">
        <v>3</v>
      </c>
      <c r="H93">
        <v>0</v>
      </c>
    </row>
    <row r="94" spans="1:8" x14ac:dyDescent="0.25">
      <c r="A94" s="16" t="s">
        <v>181</v>
      </c>
      <c r="B94">
        <v>260</v>
      </c>
      <c r="C94">
        <v>18</v>
      </c>
      <c r="D94">
        <v>5</v>
      </c>
      <c r="E94">
        <v>20</v>
      </c>
      <c r="F94">
        <v>5</v>
      </c>
      <c r="G94">
        <v>2</v>
      </c>
      <c r="H94">
        <v>350</v>
      </c>
    </row>
    <row r="95" spans="1:8" x14ac:dyDescent="0.25">
      <c r="A95" s="16" t="s">
        <v>267</v>
      </c>
      <c r="B95">
        <v>90</v>
      </c>
      <c r="C95">
        <v>3.5</v>
      </c>
      <c r="D95">
        <v>1</v>
      </c>
      <c r="E95">
        <v>3</v>
      </c>
      <c r="F95">
        <v>12</v>
      </c>
      <c r="G95">
        <v>3</v>
      </c>
      <c r="H95">
        <v>460</v>
      </c>
    </row>
    <row r="96" spans="1:8" x14ac:dyDescent="0.25">
      <c r="A96" s="16" t="s">
        <v>268</v>
      </c>
      <c r="B96">
        <v>60</v>
      </c>
      <c r="C96">
        <v>0</v>
      </c>
      <c r="D96">
        <v>0</v>
      </c>
      <c r="E96">
        <v>0</v>
      </c>
      <c r="F96">
        <v>17</v>
      </c>
      <c r="G96">
        <v>0</v>
      </c>
      <c r="H96">
        <v>0</v>
      </c>
    </row>
    <row r="97" spans="1:8" x14ac:dyDescent="0.25">
      <c r="A97" s="16" t="s">
        <v>275</v>
      </c>
      <c r="B97">
        <v>70</v>
      </c>
      <c r="C97">
        <v>5</v>
      </c>
      <c r="D97">
        <v>3</v>
      </c>
      <c r="E97">
        <v>5</v>
      </c>
      <c r="F97">
        <v>0</v>
      </c>
      <c r="G97">
        <v>0</v>
      </c>
      <c r="H97">
        <v>170</v>
      </c>
    </row>
    <row r="98" spans="1:8" x14ac:dyDescent="0.25">
      <c r="A98" s="16" t="s">
        <v>278</v>
      </c>
      <c r="B98">
        <v>30</v>
      </c>
      <c r="C98">
        <v>0</v>
      </c>
      <c r="D98">
        <v>0</v>
      </c>
      <c r="E98">
        <v>2</v>
      </c>
      <c r="F98">
        <v>6</v>
      </c>
      <c r="G98">
        <v>2</v>
      </c>
      <c r="H98">
        <v>5</v>
      </c>
    </row>
    <row r="99" spans="1:8" x14ac:dyDescent="0.25">
      <c r="A99" s="16" t="s">
        <v>281</v>
      </c>
      <c r="B99">
        <f>SUM(B98*8,B39,B40,B36*4,B49,B61)</f>
        <v>1557</v>
      </c>
      <c r="C99">
        <f t="shared" ref="C99:H99" si="5">SUM(C98*8,C39,C40,C36*4,C49,C61)</f>
        <v>88</v>
      </c>
      <c r="D99">
        <f t="shared" si="5"/>
        <v>24</v>
      </c>
      <c r="E99">
        <f t="shared" si="5"/>
        <v>101</v>
      </c>
      <c r="F99">
        <f t="shared" si="5"/>
        <v>102</v>
      </c>
      <c r="G99">
        <f t="shared" si="5"/>
        <v>32</v>
      </c>
      <c r="H99">
        <f t="shared" si="5"/>
        <v>1942</v>
      </c>
    </row>
    <row r="100" spans="1:8" x14ac:dyDescent="0.25">
      <c r="A100" s="16" t="s">
        <v>285</v>
      </c>
      <c r="B100">
        <f>122*8/5</f>
        <v>195.2</v>
      </c>
      <c r="C100">
        <v>0</v>
      </c>
      <c r="D100">
        <v>0</v>
      </c>
      <c r="E100">
        <v>0</v>
      </c>
      <c r="F100">
        <f>4*8/5</f>
        <v>6.4</v>
      </c>
      <c r="G100">
        <v>0</v>
      </c>
      <c r="H100">
        <v>0</v>
      </c>
    </row>
    <row r="101" spans="1:8" x14ac:dyDescent="0.25">
      <c r="A101" s="16" t="s">
        <v>286</v>
      </c>
      <c r="B101">
        <f>122*12/5</f>
        <v>292.8</v>
      </c>
      <c r="C101">
        <v>0</v>
      </c>
      <c r="D101">
        <v>0</v>
      </c>
      <c r="E101">
        <v>0</v>
      </c>
      <c r="F101">
        <f>4*12/5</f>
        <v>9.6</v>
      </c>
      <c r="G101">
        <v>0</v>
      </c>
      <c r="H101">
        <v>0</v>
      </c>
    </row>
    <row r="102" spans="1:8" x14ac:dyDescent="0.25">
      <c r="A102" s="16" t="s">
        <v>287</v>
      </c>
      <c r="B102">
        <v>110</v>
      </c>
      <c r="C102">
        <v>0.5</v>
      </c>
      <c r="D102">
        <v>0</v>
      </c>
      <c r="E102">
        <v>2</v>
      </c>
      <c r="F102">
        <v>25</v>
      </c>
      <c r="G102">
        <v>1</v>
      </c>
      <c r="H102">
        <v>310</v>
      </c>
    </row>
    <row r="103" spans="1:8" x14ac:dyDescent="0.25">
      <c r="A103" s="16" t="s">
        <v>288</v>
      </c>
      <c r="B103">
        <f>110*3</f>
        <v>330</v>
      </c>
      <c r="C103">
        <f>3*0.5</f>
        <v>1.5</v>
      </c>
      <c r="D103">
        <v>0</v>
      </c>
      <c r="E103">
        <f>3*2</f>
        <v>6</v>
      </c>
      <c r="F103">
        <f>3*25</f>
        <v>75</v>
      </c>
      <c r="G103">
        <f>3*1</f>
        <v>3</v>
      </c>
      <c r="H103">
        <f>3*310</f>
        <v>930</v>
      </c>
    </row>
    <row r="104" spans="1:8" x14ac:dyDescent="0.25">
      <c r="A104" s="16" t="s">
        <v>293</v>
      </c>
      <c r="B104">
        <f>290*5</f>
        <v>1450</v>
      </c>
      <c r="C104">
        <f>1.5*5</f>
        <v>7.5</v>
      </c>
      <c r="D104">
        <f>0*5</f>
        <v>0</v>
      </c>
      <c r="E104">
        <f>21*5</f>
        <v>105</v>
      </c>
      <c r="F104">
        <f>50*5</f>
        <v>250</v>
      </c>
      <c r="G104">
        <f>5*5</f>
        <v>25</v>
      </c>
      <c r="H104">
        <f>0*5</f>
        <v>0</v>
      </c>
    </row>
    <row r="105" spans="1:8" x14ac:dyDescent="0.25">
      <c r="A105" s="16" t="s">
        <v>294</v>
      </c>
      <c r="B105">
        <f>70*5</f>
        <v>350</v>
      </c>
      <c r="C105">
        <f>1.5*5</f>
        <v>7.5</v>
      </c>
      <c r="D105">
        <f>0*5</f>
        <v>0</v>
      </c>
      <c r="E105">
        <f>3*5</f>
        <v>15</v>
      </c>
      <c r="F105">
        <f>10*5</f>
        <v>50</v>
      </c>
      <c r="G105">
        <f>1*5</f>
        <v>5</v>
      </c>
      <c r="H105">
        <f>360*5</f>
        <v>1800</v>
      </c>
    </row>
    <row r="106" spans="1:8" x14ac:dyDescent="0.25">
      <c r="A106" s="16" t="s">
        <v>295</v>
      </c>
      <c r="B106">
        <f>SUM(B104,B105,B98*3)</f>
        <v>1890</v>
      </c>
      <c r="C106">
        <f t="shared" ref="C106:G106" si="6">SUM(C104,C105,C98*3)</f>
        <v>15</v>
      </c>
      <c r="D106">
        <f t="shared" si="6"/>
        <v>0</v>
      </c>
      <c r="E106">
        <f t="shared" si="6"/>
        <v>126</v>
      </c>
      <c r="F106">
        <f t="shared" si="6"/>
        <v>318</v>
      </c>
      <c r="G106">
        <f t="shared" si="6"/>
        <v>36</v>
      </c>
      <c r="H106">
        <f>SUM(H104,H105,H98*3)</f>
        <v>1815</v>
      </c>
    </row>
    <row r="107" spans="1:8" x14ac:dyDescent="0.25">
      <c r="A107" s="16" t="s">
        <v>306</v>
      </c>
      <c r="B107">
        <v>70</v>
      </c>
      <c r="C107">
        <v>1.5</v>
      </c>
      <c r="D107">
        <v>0.5</v>
      </c>
      <c r="E107">
        <v>2</v>
      </c>
      <c r="F107">
        <v>11</v>
      </c>
      <c r="G107">
        <v>1</v>
      </c>
      <c r="H107">
        <v>480</v>
      </c>
    </row>
    <row r="108" spans="1:8" x14ac:dyDescent="0.25">
      <c r="A108" s="16" t="s">
        <v>305</v>
      </c>
      <c r="B108">
        <f>SUM(B107*5,B93/4,B40/4,B36*4,B35*4)</f>
        <v>2206.75</v>
      </c>
      <c r="C108">
        <f t="shared" ref="C108:H108" si="7">SUM(C107*5,C93/4,C40/4,C36*4,C35*4)</f>
        <v>83.5</v>
      </c>
      <c r="D108">
        <f t="shared" si="7"/>
        <v>22.5</v>
      </c>
      <c r="E108">
        <f t="shared" si="7"/>
        <v>106.5</v>
      </c>
      <c r="F108">
        <f t="shared" si="7"/>
        <v>255</v>
      </c>
      <c r="G108">
        <f t="shared" si="7"/>
        <v>18</v>
      </c>
      <c r="H108">
        <f t="shared" si="7"/>
        <v>3800.5</v>
      </c>
    </row>
    <row r="109" spans="1:8" x14ac:dyDescent="0.25">
      <c r="A109" s="16" t="s">
        <v>308</v>
      </c>
      <c r="B109">
        <f>B108/4</f>
        <v>551.6875</v>
      </c>
      <c r="C109">
        <f t="shared" ref="C109:H109" si="8">C108/4</f>
        <v>20.875</v>
      </c>
      <c r="D109">
        <f t="shared" si="8"/>
        <v>5.625</v>
      </c>
      <c r="E109">
        <f t="shared" si="8"/>
        <v>26.625</v>
      </c>
      <c r="F109">
        <f t="shared" si="8"/>
        <v>63.75</v>
      </c>
      <c r="G109">
        <f t="shared" si="8"/>
        <v>4.5</v>
      </c>
      <c r="H109">
        <f t="shared" si="8"/>
        <v>950.125</v>
      </c>
    </row>
    <row r="110" spans="1:8" x14ac:dyDescent="0.25">
      <c r="A110" s="16" t="s">
        <v>314</v>
      </c>
      <c r="B110">
        <v>190</v>
      </c>
      <c r="C110">
        <v>1</v>
      </c>
      <c r="D110">
        <v>0</v>
      </c>
      <c r="E110">
        <v>4</v>
      </c>
      <c r="F110">
        <v>44</v>
      </c>
      <c r="G110">
        <v>2</v>
      </c>
      <c r="H110">
        <v>0</v>
      </c>
    </row>
    <row r="111" spans="1:8" x14ac:dyDescent="0.25">
      <c r="A111" s="16" t="s">
        <v>313</v>
      </c>
      <c r="B111">
        <v>110</v>
      </c>
      <c r="C111">
        <v>11</v>
      </c>
      <c r="D111">
        <v>6</v>
      </c>
      <c r="E111">
        <v>2</v>
      </c>
      <c r="F111">
        <v>2</v>
      </c>
      <c r="G111">
        <v>0</v>
      </c>
      <c r="H111">
        <v>390</v>
      </c>
    </row>
    <row r="112" spans="1:8" x14ac:dyDescent="0.25">
      <c r="A112" s="16" t="s">
        <v>315</v>
      </c>
      <c r="B112">
        <f>SUM(B111*7,B110*6,B93,B92,B94*4.5,B49*2)</f>
        <v>3397</v>
      </c>
      <c r="C112">
        <f t="shared" ref="C112:H112" si="9">SUM(C111*7,C110*6,C93,C92,C94*4.5,C49*2)</f>
        <v>192</v>
      </c>
      <c r="D112">
        <f t="shared" si="9"/>
        <v>68.5</v>
      </c>
      <c r="E112">
        <f t="shared" si="9"/>
        <v>130</v>
      </c>
      <c r="F112">
        <f t="shared" si="9"/>
        <v>317.5</v>
      </c>
      <c r="G112">
        <f t="shared" si="9"/>
        <v>26</v>
      </c>
      <c r="H112">
        <f t="shared" si="9"/>
        <v>4310</v>
      </c>
    </row>
    <row r="113" spans="1:8" x14ac:dyDescent="0.25">
      <c r="A113" s="16" t="s">
        <v>316</v>
      </c>
      <c r="B113">
        <f>B112/5</f>
        <v>679.4</v>
      </c>
      <c r="C113">
        <f t="shared" ref="C113:H113" si="10">C112/5</f>
        <v>38.4</v>
      </c>
      <c r="D113">
        <f t="shared" si="10"/>
        <v>13.7</v>
      </c>
      <c r="E113">
        <f t="shared" si="10"/>
        <v>26</v>
      </c>
      <c r="F113">
        <f t="shared" si="10"/>
        <v>63.5</v>
      </c>
      <c r="G113">
        <f t="shared" si="10"/>
        <v>5.2</v>
      </c>
      <c r="H113">
        <f t="shared" si="10"/>
        <v>862</v>
      </c>
    </row>
    <row r="114" spans="1:8" x14ac:dyDescent="0.25">
      <c r="A114" s="16" t="s">
        <v>321</v>
      </c>
      <c r="B114" s="17">
        <v>70</v>
      </c>
      <c r="C114" s="17">
        <v>1.5</v>
      </c>
      <c r="D114" s="17">
        <v>0.5</v>
      </c>
      <c r="E114" s="17">
        <v>2</v>
      </c>
      <c r="F114" s="17">
        <v>11</v>
      </c>
      <c r="G114" s="17">
        <v>1</v>
      </c>
      <c r="H114" s="17">
        <v>480</v>
      </c>
    </row>
    <row r="115" spans="1:8" x14ac:dyDescent="0.25">
      <c r="A115" s="16" t="s">
        <v>322</v>
      </c>
      <c r="B115">
        <f>SUM(B114*5,B93,B90*9,B49*4,B40,B116)</f>
        <v>3894</v>
      </c>
      <c r="C115">
        <f t="shared" ref="C115:H115" si="11">SUM(C114*5,C93,C90*9,C49*4,C40,C116)</f>
        <v>86.6</v>
      </c>
      <c r="D115">
        <f t="shared" si="11"/>
        <v>15.1</v>
      </c>
      <c r="E115">
        <f t="shared" si="11"/>
        <v>221.1</v>
      </c>
      <c r="F115">
        <f t="shared" si="11"/>
        <v>624.79999999999995</v>
      </c>
      <c r="G115">
        <f t="shared" si="11"/>
        <v>109.8</v>
      </c>
      <c r="H115">
        <f t="shared" si="11"/>
        <v>2407.4</v>
      </c>
    </row>
    <row r="116" spans="1:8" x14ac:dyDescent="0.25">
      <c r="A116" s="16" t="s">
        <v>323</v>
      </c>
      <c r="B116">
        <v>27</v>
      </c>
      <c r="C116">
        <v>0.6</v>
      </c>
      <c r="D116">
        <v>0.1</v>
      </c>
      <c r="E116">
        <v>2.1</v>
      </c>
      <c r="F116">
        <v>4.8</v>
      </c>
      <c r="G116">
        <v>1.8</v>
      </c>
      <c r="H116">
        <v>5.4</v>
      </c>
    </row>
    <row r="117" spans="1:8" x14ac:dyDescent="0.25">
      <c r="A117" s="16" t="s">
        <v>324</v>
      </c>
      <c r="B117" s="17">
        <f>B115/6</f>
        <v>649</v>
      </c>
      <c r="C117" s="17">
        <f t="shared" ref="C117:H117" si="12">C115/6</f>
        <v>14.433333333333332</v>
      </c>
      <c r="D117" s="17">
        <f t="shared" si="12"/>
        <v>2.5166666666666666</v>
      </c>
      <c r="E117" s="17">
        <f t="shared" si="12"/>
        <v>36.85</v>
      </c>
      <c r="F117" s="17">
        <f t="shared" si="12"/>
        <v>104.13333333333333</v>
      </c>
      <c r="G117" s="17">
        <f t="shared" si="12"/>
        <v>18.3</v>
      </c>
      <c r="H117" s="17">
        <f t="shared" si="12"/>
        <v>401.23333333333335</v>
      </c>
    </row>
    <row r="118" spans="1:8" x14ac:dyDescent="0.25">
      <c r="A118" s="16" t="s">
        <v>336</v>
      </c>
      <c r="B118">
        <v>120</v>
      </c>
      <c r="C118">
        <v>14</v>
      </c>
      <c r="D118">
        <v>13</v>
      </c>
      <c r="E118">
        <v>0</v>
      </c>
      <c r="F118">
        <v>0</v>
      </c>
      <c r="G118">
        <v>0</v>
      </c>
      <c r="H118">
        <v>0</v>
      </c>
    </row>
    <row r="119" spans="1:8" x14ac:dyDescent="0.25">
      <c r="A119" s="16" t="s">
        <v>337</v>
      </c>
      <c r="B119">
        <v>520</v>
      </c>
      <c r="C119">
        <v>36</v>
      </c>
      <c r="D119">
        <v>10</v>
      </c>
      <c r="E119">
        <v>40</v>
      </c>
      <c r="F119">
        <v>10</v>
      </c>
      <c r="G119">
        <v>4</v>
      </c>
      <c r="H119">
        <v>700</v>
      </c>
    </row>
    <row r="120" spans="1:8" x14ac:dyDescent="0.25">
      <c r="A120" s="16" t="s">
        <v>338</v>
      </c>
      <c r="B120">
        <f>330*2.5</f>
        <v>825</v>
      </c>
      <c r="C120">
        <f>2.5+2.5</f>
        <v>5</v>
      </c>
      <c r="D120">
        <f>0.5*2.5</f>
        <v>1.25</v>
      </c>
      <c r="E120">
        <f>23*2.5</f>
        <v>57.5</v>
      </c>
      <c r="F120">
        <f>61*2.5</f>
        <v>152.5</v>
      </c>
      <c r="G120">
        <f>11*2.5</f>
        <v>27.5</v>
      </c>
      <c r="H120">
        <f>0</f>
        <v>0</v>
      </c>
    </row>
    <row r="121" spans="1:8" x14ac:dyDescent="0.25">
      <c r="A121" s="16" t="s">
        <v>339</v>
      </c>
      <c r="B121">
        <f>SUM(B120,B119,B114*5,B49*2,B40,B116)</f>
        <v>1989</v>
      </c>
      <c r="C121">
        <f t="shared" ref="C121:H121" si="13">SUM(C120,C119,C114*5,C49*2,C40,C116)</f>
        <v>77.099999999999994</v>
      </c>
      <c r="D121">
        <f t="shared" si="13"/>
        <v>17.850000000000001</v>
      </c>
      <c r="E121">
        <f t="shared" si="13"/>
        <v>110.6</v>
      </c>
      <c r="F121">
        <f t="shared" si="13"/>
        <v>228.3</v>
      </c>
      <c r="G121">
        <f t="shared" si="13"/>
        <v>39.299999999999997</v>
      </c>
      <c r="H121">
        <f t="shared" si="13"/>
        <v>3107.4</v>
      </c>
    </row>
    <row r="122" spans="1:8" x14ac:dyDescent="0.25">
      <c r="A122" s="16" t="s">
        <v>340</v>
      </c>
      <c r="B122" s="17">
        <f>B121/3</f>
        <v>663</v>
      </c>
      <c r="C122" s="17">
        <f t="shared" ref="C122:H122" si="14">C121/3</f>
        <v>25.7</v>
      </c>
      <c r="D122" s="17">
        <f t="shared" si="14"/>
        <v>5.95</v>
      </c>
      <c r="E122" s="17">
        <f t="shared" si="14"/>
        <v>36.866666666666667</v>
      </c>
      <c r="F122" s="17">
        <f t="shared" si="14"/>
        <v>76.100000000000009</v>
      </c>
      <c r="G122" s="17">
        <f t="shared" si="14"/>
        <v>13.1</v>
      </c>
      <c r="H122" s="17">
        <f t="shared" si="14"/>
        <v>1035.8</v>
      </c>
    </row>
    <row r="123" spans="1:8" x14ac:dyDescent="0.25">
      <c r="A123" s="16" t="s">
        <v>343</v>
      </c>
      <c r="B123">
        <v>30</v>
      </c>
      <c r="C123">
        <v>2.5</v>
      </c>
      <c r="D123">
        <v>0</v>
      </c>
      <c r="E123">
        <v>1</v>
      </c>
      <c r="F123">
        <v>1</v>
      </c>
      <c r="G123">
        <v>0</v>
      </c>
      <c r="H123">
        <v>115</v>
      </c>
    </row>
    <row r="124" spans="1:8" x14ac:dyDescent="0.25">
      <c r="A124" s="16" t="s">
        <v>413</v>
      </c>
      <c r="B124">
        <v>130</v>
      </c>
      <c r="C124">
        <v>2</v>
      </c>
      <c r="D124">
        <v>0</v>
      </c>
      <c r="E124">
        <v>18</v>
      </c>
      <c r="F124">
        <v>9</v>
      </c>
      <c r="G124">
        <v>2</v>
      </c>
      <c r="H124">
        <v>320</v>
      </c>
    </row>
    <row r="125" spans="1:8" x14ac:dyDescent="0.25">
      <c r="A125" s="16" t="s">
        <v>347</v>
      </c>
      <c r="B125">
        <v>570</v>
      </c>
      <c r="C125">
        <v>24</v>
      </c>
      <c r="D125">
        <v>6</v>
      </c>
      <c r="E125">
        <v>37</v>
      </c>
      <c r="F125">
        <v>58</v>
      </c>
      <c r="G125">
        <v>5</v>
      </c>
      <c r="H125">
        <v>480</v>
      </c>
    </row>
    <row r="126" spans="1:8" x14ac:dyDescent="0.25">
      <c r="A126" s="16" t="s">
        <v>348</v>
      </c>
      <c r="B126">
        <f>SUM(B114*5,B60*2.5)</f>
        <v>1175</v>
      </c>
      <c r="C126">
        <f t="shared" ref="C126:H126" si="15">SUM(C114*5,C60*2.5)</f>
        <v>13.75</v>
      </c>
      <c r="D126">
        <f t="shared" si="15"/>
        <v>3.75</v>
      </c>
      <c r="E126">
        <f t="shared" si="15"/>
        <v>67.5</v>
      </c>
      <c r="F126">
        <f t="shared" si="15"/>
        <v>207.5</v>
      </c>
      <c r="G126">
        <f t="shared" si="15"/>
        <v>32.5</v>
      </c>
      <c r="H126">
        <f t="shared" si="15"/>
        <v>2400</v>
      </c>
    </row>
    <row r="127" spans="1:8" x14ac:dyDescent="0.25">
      <c r="A127" s="16" t="s">
        <v>349</v>
      </c>
      <c r="B127" s="17">
        <f>B126*(1/3)</f>
        <v>391.66666666666663</v>
      </c>
      <c r="C127" s="17">
        <f t="shared" ref="C127:H127" si="16">C126*(1/3)</f>
        <v>4.583333333333333</v>
      </c>
      <c r="D127" s="17">
        <f t="shared" si="16"/>
        <v>1.25</v>
      </c>
      <c r="E127" s="17">
        <f t="shared" si="16"/>
        <v>22.5</v>
      </c>
      <c r="F127" s="17">
        <f t="shared" si="16"/>
        <v>69.166666666666657</v>
      </c>
      <c r="G127" s="17">
        <f t="shared" si="16"/>
        <v>10.833333333333332</v>
      </c>
      <c r="H127" s="17">
        <f t="shared" si="16"/>
        <v>800</v>
      </c>
    </row>
    <row r="128" spans="1:8" x14ac:dyDescent="0.25">
      <c r="A128" s="16" t="s">
        <v>350</v>
      </c>
      <c r="B128" s="17">
        <f>B127*2</f>
        <v>783.33333333333326</v>
      </c>
      <c r="C128" s="17">
        <f t="shared" ref="C128:H128" si="17">C127*2</f>
        <v>9.1666666666666661</v>
      </c>
      <c r="D128" s="17">
        <f t="shared" si="17"/>
        <v>2.5</v>
      </c>
      <c r="E128" s="17">
        <f t="shared" si="17"/>
        <v>45</v>
      </c>
      <c r="F128" s="17">
        <f t="shared" si="17"/>
        <v>138.33333333333331</v>
      </c>
      <c r="G128" s="17">
        <f t="shared" si="17"/>
        <v>21.666666666666664</v>
      </c>
      <c r="H128" s="17">
        <f t="shared" si="17"/>
        <v>1600</v>
      </c>
    </row>
    <row r="129" spans="1:8" x14ac:dyDescent="0.25">
      <c r="A129" s="16" t="s">
        <v>351</v>
      </c>
      <c r="B129" s="17">
        <f>150/3</f>
        <v>50</v>
      </c>
      <c r="C129" s="17">
        <f>6/3</f>
        <v>2</v>
      </c>
      <c r="D129" s="17">
        <f>3.5/3</f>
        <v>1.1666666666666667</v>
      </c>
      <c r="E129" s="17">
        <f>1/3</f>
        <v>0.33333333333333331</v>
      </c>
      <c r="F129" s="17">
        <f>24/3</f>
        <v>8</v>
      </c>
      <c r="G129" s="17">
        <f>0</f>
        <v>0</v>
      </c>
      <c r="H129" s="17">
        <f>85/3</f>
        <v>28.333333333333332</v>
      </c>
    </row>
    <row r="130" spans="1:8" x14ac:dyDescent="0.25">
      <c r="A130" s="16" t="s">
        <v>353</v>
      </c>
      <c r="B130">
        <v>270</v>
      </c>
      <c r="C130">
        <v>24</v>
      </c>
      <c r="D130">
        <v>2</v>
      </c>
      <c r="E130">
        <v>9</v>
      </c>
      <c r="F130">
        <v>9</v>
      </c>
      <c r="G130">
        <v>6</v>
      </c>
      <c r="H130">
        <v>180</v>
      </c>
    </row>
    <row r="131" spans="1:8" x14ac:dyDescent="0.25">
      <c r="A131" s="16" t="s">
        <v>354</v>
      </c>
      <c r="B131">
        <v>130</v>
      </c>
      <c r="C131">
        <v>8</v>
      </c>
      <c r="D131">
        <v>5</v>
      </c>
      <c r="E131">
        <v>2</v>
      </c>
      <c r="F131">
        <v>28</v>
      </c>
      <c r="G131">
        <v>3</v>
      </c>
      <c r="H131">
        <v>1</v>
      </c>
    </row>
    <row r="132" spans="1:8" x14ac:dyDescent="0.25">
      <c r="A132" s="16" t="s">
        <v>360</v>
      </c>
      <c r="B132">
        <f>SUM(B98*3,B120*2,B114*5,B94*4,B93,B49,B40,B92)</f>
        <v>3354</v>
      </c>
      <c r="C132">
        <f t="shared" ref="C132:H132" si="18">SUM(C98*3,C120*2,C114*5,C94*4,C93,C49,C40,C92)</f>
        <v>103.5</v>
      </c>
      <c r="D132">
        <f t="shared" si="18"/>
        <v>27</v>
      </c>
      <c r="E132">
        <f t="shared" si="18"/>
        <v>214</v>
      </c>
      <c r="F132">
        <f t="shared" si="18"/>
        <v>421</v>
      </c>
      <c r="G132">
        <f t="shared" si="18"/>
        <v>80</v>
      </c>
      <c r="H132">
        <f t="shared" si="18"/>
        <v>3822</v>
      </c>
    </row>
    <row r="133" spans="1:8" x14ac:dyDescent="0.25">
      <c r="A133" s="16" t="s">
        <v>361</v>
      </c>
      <c r="B133" s="17">
        <f>B132/6</f>
        <v>559</v>
      </c>
      <c r="C133" s="17">
        <f t="shared" ref="C133:G133" si="19">C132/6</f>
        <v>17.25</v>
      </c>
      <c r="D133" s="17">
        <f t="shared" si="19"/>
        <v>4.5</v>
      </c>
      <c r="E133" s="17">
        <f t="shared" si="19"/>
        <v>35.666666666666664</v>
      </c>
      <c r="F133" s="17">
        <f t="shared" si="19"/>
        <v>70.166666666666671</v>
      </c>
      <c r="G133" s="17">
        <f t="shared" si="19"/>
        <v>13.333333333333334</v>
      </c>
      <c r="H133" s="17">
        <f>H132/6</f>
        <v>637</v>
      </c>
    </row>
    <row r="134" spans="1:8" x14ac:dyDescent="0.25">
      <c r="A134" s="16" t="s">
        <v>362</v>
      </c>
      <c r="B134" s="17">
        <f>B132/3</f>
        <v>1118</v>
      </c>
      <c r="C134" s="17">
        <f t="shared" ref="C134:H134" si="20">C132/3</f>
        <v>34.5</v>
      </c>
      <c r="D134" s="17">
        <f t="shared" si="20"/>
        <v>9</v>
      </c>
      <c r="E134" s="17">
        <f t="shared" si="20"/>
        <v>71.333333333333329</v>
      </c>
      <c r="F134" s="17">
        <f t="shared" si="20"/>
        <v>140.33333333333334</v>
      </c>
      <c r="G134" s="17">
        <f t="shared" si="20"/>
        <v>26.666666666666668</v>
      </c>
      <c r="H134" s="17">
        <f t="shared" si="20"/>
        <v>1274</v>
      </c>
    </row>
    <row r="135" spans="1:8" x14ac:dyDescent="0.25">
      <c r="A135" s="16" t="s">
        <v>365</v>
      </c>
      <c r="B135">
        <v>130</v>
      </c>
      <c r="C135">
        <v>4.5</v>
      </c>
      <c r="D135">
        <v>2.5</v>
      </c>
      <c r="E135">
        <v>1</v>
      </c>
      <c r="F135">
        <v>22</v>
      </c>
      <c r="G135">
        <v>0</v>
      </c>
      <c r="H135">
        <v>70</v>
      </c>
    </row>
    <row r="136" spans="1:8" x14ac:dyDescent="0.25">
      <c r="A136" s="16" t="s">
        <v>371</v>
      </c>
      <c r="B136">
        <v>164</v>
      </c>
      <c r="C136">
        <v>13.5</v>
      </c>
      <c r="D136">
        <v>2.5</v>
      </c>
      <c r="E136">
        <v>4.7</v>
      </c>
      <c r="F136">
        <v>8.4</v>
      </c>
      <c r="G136">
        <v>0.9</v>
      </c>
      <c r="H136">
        <v>4</v>
      </c>
    </row>
    <row r="137" spans="1:8" x14ac:dyDescent="0.25">
      <c r="A137" s="16" t="s">
        <v>372</v>
      </c>
      <c r="B137">
        <v>120</v>
      </c>
      <c r="C137">
        <v>2</v>
      </c>
      <c r="D137">
        <v>0</v>
      </c>
      <c r="E137">
        <v>7</v>
      </c>
      <c r="F137">
        <v>20</v>
      </c>
      <c r="G137">
        <v>4</v>
      </c>
      <c r="H137">
        <v>420</v>
      </c>
    </row>
    <row r="138" spans="1:8" x14ac:dyDescent="0.25">
      <c r="A138" s="16" t="s">
        <v>373</v>
      </c>
      <c r="B138">
        <v>40</v>
      </c>
      <c r="C138">
        <v>0</v>
      </c>
      <c r="D138">
        <v>0</v>
      </c>
      <c r="E138">
        <v>1</v>
      </c>
      <c r="F138">
        <v>8</v>
      </c>
      <c r="G138">
        <v>1</v>
      </c>
      <c r="H138">
        <v>140</v>
      </c>
    </row>
    <row r="139" spans="1:8" x14ac:dyDescent="0.25">
      <c r="A139" s="16" t="s">
        <v>374</v>
      </c>
      <c r="B139">
        <v>120</v>
      </c>
      <c r="C139">
        <v>14</v>
      </c>
      <c r="D139">
        <v>1</v>
      </c>
      <c r="E139">
        <v>0</v>
      </c>
      <c r="F139">
        <v>0</v>
      </c>
      <c r="G139">
        <v>0</v>
      </c>
      <c r="H139">
        <v>0</v>
      </c>
    </row>
    <row r="140" spans="1:8" x14ac:dyDescent="0.25">
      <c r="A140" s="16" t="s">
        <v>375</v>
      </c>
      <c r="B140">
        <v>2</v>
      </c>
      <c r="C140">
        <v>0</v>
      </c>
      <c r="D140">
        <v>0</v>
      </c>
      <c r="E140">
        <v>0</v>
      </c>
      <c r="F140">
        <v>0</v>
      </c>
      <c r="G140">
        <v>0</v>
      </c>
      <c r="H140">
        <v>25</v>
      </c>
    </row>
    <row r="141" spans="1:8" x14ac:dyDescent="0.25">
      <c r="A141" s="16" t="s">
        <v>376</v>
      </c>
      <c r="B141">
        <v>180</v>
      </c>
      <c r="C141">
        <v>16</v>
      </c>
      <c r="D141">
        <v>3</v>
      </c>
      <c r="E141">
        <v>7</v>
      </c>
      <c r="F141">
        <v>3</v>
      </c>
      <c r="G141">
        <v>1</v>
      </c>
      <c r="H141">
        <v>70</v>
      </c>
    </row>
    <row r="142" spans="1:8" x14ac:dyDescent="0.25">
      <c r="A142" s="16" t="s">
        <v>377</v>
      </c>
      <c r="B142">
        <v>200</v>
      </c>
      <c r="C142">
        <v>2.5</v>
      </c>
      <c r="D142">
        <v>0</v>
      </c>
      <c r="E142">
        <v>14</v>
      </c>
      <c r="F142">
        <v>31</v>
      </c>
      <c r="G142">
        <v>13</v>
      </c>
      <c r="H142">
        <v>590</v>
      </c>
    </row>
    <row r="143" spans="1:8" x14ac:dyDescent="0.25">
      <c r="A143" s="16" t="s">
        <v>378</v>
      </c>
      <c r="B143">
        <f>SUM(B142*5,B141,B140,B139,B138/2,B137*2)</f>
        <v>1562</v>
      </c>
      <c r="C143">
        <f t="shared" ref="C143:H143" si="21">SUM(C142*5,C141,C140,C139,C138/2,C137*2)</f>
        <v>46.5</v>
      </c>
      <c r="D143">
        <f t="shared" si="21"/>
        <v>4</v>
      </c>
      <c r="E143">
        <f t="shared" si="21"/>
        <v>91.5</v>
      </c>
      <c r="F143">
        <f t="shared" si="21"/>
        <v>202</v>
      </c>
      <c r="G143">
        <f t="shared" si="21"/>
        <v>74.5</v>
      </c>
      <c r="H143">
        <f t="shared" si="21"/>
        <v>3955</v>
      </c>
    </row>
    <row r="144" spans="1:8" x14ac:dyDescent="0.25">
      <c r="A144" s="16" t="s">
        <v>393</v>
      </c>
      <c r="B144">
        <v>100</v>
      </c>
      <c r="C144">
        <v>1</v>
      </c>
      <c r="D144">
        <v>0</v>
      </c>
      <c r="E144">
        <v>2</v>
      </c>
      <c r="F144">
        <v>20</v>
      </c>
      <c r="G144">
        <v>2</v>
      </c>
      <c r="H144">
        <v>20</v>
      </c>
    </row>
    <row r="145" spans="1:8" x14ac:dyDescent="0.25">
      <c r="A145" s="16" t="s">
        <v>398</v>
      </c>
      <c r="B145">
        <v>135</v>
      </c>
      <c r="C145">
        <v>6</v>
      </c>
      <c r="D145">
        <v>1.3</v>
      </c>
      <c r="E145">
        <v>1.5</v>
      </c>
      <c r="F145">
        <v>18</v>
      </c>
      <c r="G145">
        <v>0</v>
      </c>
      <c r="H145">
        <v>155</v>
      </c>
    </row>
    <row r="146" spans="1:8" x14ac:dyDescent="0.25">
      <c r="A146" s="16" t="s">
        <v>399</v>
      </c>
      <c r="B146">
        <v>300</v>
      </c>
      <c r="C146">
        <v>14</v>
      </c>
      <c r="D146">
        <v>2</v>
      </c>
      <c r="E146">
        <v>4</v>
      </c>
      <c r="F146">
        <v>36</v>
      </c>
      <c r="G146">
        <v>2</v>
      </c>
      <c r="H146">
        <v>260</v>
      </c>
    </row>
    <row r="147" spans="1:8" x14ac:dyDescent="0.25">
      <c r="A147" s="16" t="s">
        <v>400</v>
      </c>
      <c r="B147">
        <v>400</v>
      </c>
      <c r="C147">
        <v>36</v>
      </c>
      <c r="D147">
        <v>4</v>
      </c>
      <c r="E147">
        <v>16</v>
      </c>
      <c r="F147">
        <v>16</v>
      </c>
      <c r="G147">
        <v>8</v>
      </c>
      <c r="H147">
        <v>1840</v>
      </c>
    </row>
    <row r="148" spans="1:8" x14ac:dyDescent="0.25">
      <c r="A148" s="16" t="s">
        <v>401</v>
      </c>
      <c r="B148">
        <f>SUM(B49*2,B39*2,B36*4.5,B35*6,B114*5,B149*15)</f>
        <v>3070</v>
      </c>
      <c r="C148">
        <f t="shared" ref="C148:H148" si="22">SUM(C49*2,C39*2,C36*4.5,C35*6,C114*5,C149*15)</f>
        <v>124</v>
      </c>
      <c r="D148">
        <f t="shared" si="22"/>
        <v>30.5</v>
      </c>
      <c r="E148">
        <f t="shared" si="22"/>
        <v>130.5</v>
      </c>
      <c r="F148">
        <f t="shared" si="22"/>
        <v>364.5</v>
      </c>
      <c r="G148">
        <f t="shared" si="22"/>
        <v>27.5</v>
      </c>
      <c r="H148">
        <f t="shared" si="22"/>
        <v>3990</v>
      </c>
    </row>
    <row r="149" spans="1:8" x14ac:dyDescent="0.25">
      <c r="A149" s="16" t="s">
        <v>402</v>
      </c>
      <c r="B149">
        <v>2</v>
      </c>
      <c r="C149">
        <v>0.1</v>
      </c>
      <c r="D149">
        <v>0.1</v>
      </c>
      <c r="E149">
        <v>0.3</v>
      </c>
      <c r="F149">
        <v>0.2</v>
      </c>
      <c r="G149">
        <v>0.1</v>
      </c>
      <c r="H149">
        <v>1</v>
      </c>
    </row>
    <row r="150" spans="1:8" x14ac:dyDescent="0.25">
      <c r="A150" s="16" t="s">
        <v>403</v>
      </c>
      <c r="B150">
        <f>B148/5</f>
        <v>614</v>
      </c>
      <c r="C150">
        <f t="shared" ref="C150:H150" si="23">C148/5</f>
        <v>24.8</v>
      </c>
      <c r="D150">
        <f t="shared" si="23"/>
        <v>6.1</v>
      </c>
      <c r="E150">
        <f t="shared" si="23"/>
        <v>26.1</v>
      </c>
      <c r="F150">
        <f t="shared" si="23"/>
        <v>72.900000000000006</v>
      </c>
      <c r="G150">
        <f t="shared" si="23"/>
        <v>5.5</v>
      </c>
      <c r="H150">
        <f t="shared" si="23"/>
        <v>798</v>
      </c>
    </row>
    <row r="151" spans="1:8" x14ac:dyDescent="0.25">
      <c r="A151" s="16" t="s">
        <v>404</v>
      </c>
      <c r="B151">
        <v>100</v>
      </c>
      <c r="C151">
        <v>6</v>
      </c>
      <c r="D151">
        <v>4</v>
      </c>
      <c r="E151">
        <v>8</v>
      </c>
      <c r="F151">
        <v>2</v>
      </c>
      <c r="G151">
        <v>0</v>
      </c>
      <c r="H151">
        <v>280</v>
      </c>
    </row>
    <row r="152" spans="1:8" x14ac:dyDescent="0.25">
      <c r="A152" s="16" t="s">
        <v>411</v>
      </c>
      <c r="B152" s="17">
        <v>70</v>
      </c>
      <c r="C152" s="17">
        <v>5</v>
      </c>
      <c r="D152" s="17">
        <v>3.5</v>
      </c>
      <c r="E152" s="17">
        <v>1</v>
      </c>
      <c r="F152" s="17">
        <v>4</v>
      </c>
      <c r="G152" s="17">
        <v>0</v>
      </c>
      <c r="H152" s="17">
        <v>15</v>
      </c>
    </row>
    <row r="153" spans="1:8" x14ac:dyDescent="0.25">
      <c r="A153" s="16" t="s">
        <v>412</v>
      </c>
      <c r="B153">
        <v>120</v>
      </c>
      <c r="C153">
        <v>2</v>
      </c>
      <c r="D153">
        <v>0</v>
      </c>
      <c r="E153">
        <v>18</v>
      </c>
      <c r="F153">
        <v>6</v>
      </c>
      <c r="G153">
        <v>1</v>
      </c>
      <c r="H153">
        <v>360</v>
      </c>
    </row>
    <row r="154" spans="1:8" x14ac:dyDescent="0.25">
      <c r="A154" s="16" t="s">
        <v>414</v>
      </c>
      <c r="B154">
        <v>140</v>
      </c>
      <c r="C154">
        <v>7</v>
      </c>
      <c r="D154">
        <v>1</v>
      </c>
      <c r="E154">
        <v>2</v>
      </c>
      <c r="F154">
        <v>18</v>
      </c>
      <c r="G154">
        <v>2</v>
      </c>
      <c r="H154">
        <v>90</v>
      </c>
    </row>
    <row r="155" spans="1:8" x14ac:dyDescent="0.25">
      <c r="A155" s="16" t="s">
        <v>419</v>
      </c>
      <c r="B155">
        <v>400</v>
      </c>
      <c r="C155">
        <v>10</v>
      </c>
      <c r="D155">
        <v>5</v>
      </c>
      <c r="E155">
        <v>4</v>
      </c>
      <c r="F155">
        <v>74</v>
      </c>
      <c r="G155">
        <v>1</v>
      </c>
      <c r="H155">
        <v>240</v>
      </c>
    </row>
    <row r="156" spans="1:8" x14ac:dyDescent="0.25">
      <c r="A156" s="16" t="s">
        <v>422</v>
      </c>
      <c r="B156">
        <v>164</v>
      </c>
      <c r="C156">
        <v>5.4</v>
      </c>
      <c r="D156">
        <v>1.2</v>
      </c>
      <c r="E156">
        <v>1.7</v>
      </c>
      <c r="F156">
        <v>29.2</v>
      </c>
      <c r="G156">
        <v>0.7</v>
      </c>
      <c r="H156">
        <v>176</v>
      </c>
    </row>
    <row r="157" spans="1:8" x14ac:dyDescent="0.25">
      <c r="A157" s="16" t="s">
        <v>427</v>
      </c>
      <c r="B157">
        <f>B114*5+B49*2+B149*6+B60*3.5+B38+B39</f>
        <v>1834</v>
      </c>
      <c r="C157">
        <f t="shared" ref="C157:G157" si="24">C114*5+C49*2+C149*6+C60*3.5+C38+C39</f>
        <v>44.85</v>
      </c>
      <c r="D157">
        <f t="shared" si="24"/>
        <v>8.85</v>
      </c>
      <c r="E157">
        <f t="shared" si="24"/>
        <v>94.3</v>
      </c>
      <c r="F157">
        <f t="shared" si="24"/>
        <v>286.7</v>
      </c>
      <c r="G157">
        <f t="shared" si="24"/>
        <v>49.1</v>
      </c>
      <c r="H157">
        <f>H114*5+H49*2+H149*6+H60*3.5+H38+H39</f>
        <v>2411</v>
      </c>
    </row>
    <row r="158" spans="1:8" x14ac:dyDescent="0.25">
      <c r="A158" s="16" t="s">
        <v>426</v>
      </c>
      <c r="B158">
        <f>B157/4</f>
        <v>458.5</v>
      </c>
      <c r="C158">
        <f t="shared" ref="C158:H158" si="25">C157/4</f>
        <v>11.2125</v>
      </c>
      <c r="D158">
        <f t="shared" si="25"/>
        <v>2.2124999999999999</v>
      </c>
      <c r="E158">
        <f t="shared" si="25"/>
        <v>23.574999999999999</v>
      </c>
      <c r="F158">
        <f t="shared" si="25"/>
        <v>71.674999999999997</v>
      </c>
      <c r="G158">
        <f t="shared" si="25"/>
        <v>12.275</v>
      </c>
      <c r="H158">
        <f t="shared" si="25"/>
        <v>602.75</v>
      </c>
    </row>
    <row r="159" spans="1:8" x14ac:dyDescent="0.25">
      <c r="A159" s="16" t="s">
        <v>429</v>
      </c>
      <c r="B159" s="17">
        <v>70</v>
      </c>
      <c r="C159" s="17">
        <v>5</v>
      </c>
      <c r="D159" s="17">
        <v>3.5</v>
      </c>
      <c r="E159" s="17">
        <v>1</v>
      </c>
      <c r="F159" s="17">
        <v>4</v>
      </c>
      <c r="G159" s="17">
        <v>0</v>
      </c>
      <c r="H159" s="17">
        <v>20</v>
      </c>
    </row>
    <row r="160" spans="1:8" x14ac:dyDescent="0.25">
      <c r="A160" s="16" t="s">
        <v>433</v>
      </c>
      <c r="B160">
        <v>134</v>
      </c>
      <c r="C160">
        <v>3.9</v>
      </c>
      <c r="D160">
        <v>0.9</v>
      </c>
      <c r="E160">
        <v>7.1</v>
      </c>
      <c r="F160">
        <v>16.7</v>
      </c>
      <c r="G160">
        <v>0.6</v>
      </c>
      <c r="H160">
        <v>193</v>
      </c>
    </row>
    <row r="161" spans="1:8" x14ac:dyDescent="0.25">
      <c r="A161" s="16" t="s">
        <v>432</v>
      </c>
      <c r="B161">
        <v>106</v>
      </c>
      <c r="C161">
        <v>0.4</v>
      </c>
      <c r="D161">
        <v>0.1</v>
      </c>
      <c r="E161">
        <v>8</v>
      </c>
      <c r="F161">
        <v>16.7</v>
      </c>
      <c r="G161">
        <v>0.6</v>
      </c>
      <c r="H161">
        <v>186</v>
      </c>
    </row>
    <row r="162" spans="1:8" x14ac:dyDescent="0.25">
      <c r="A162" s="16" t="s">
        <v>434</v>
      </c>
      <c r="B162">
        <v>40</v>
      </c>
      <c r="C162">
        <v>4.5</v>
      </c>
      <c r="D162">
        <v>1</v>
      </c>
      <c r="E162">
        <v>0</v>
      </c>
      <c r="F162">
        <v>0</v>
      </c>
      <c r="G162">
        <v>0</v>
      </c>
      <c r="H162">
        <v>40</v>
      </c>
    </row>
    <row r="163" spans="1:8" x14ac:dyDescent="0.25">
      <c r="A163" s="16" t="s">
        <v>435</v>
      </c>
      <c r="B163">
        <v>16</v>
      </c>
      <c r="C163">
        <v>0.1</v>
      </c>
      <c r="D163">
        <v>0</v>
      </c>
      <c r="E163">
        <v>1.1000000000000001</v>
      </c>
      <c r="F163">
        <v>2.8</v>
      </c>
      <c r="G163">
        <v>0.1</v>
      </c>
      <c r="H163">
        <v>690</v>
      </c>
    </row>
    <row r="164" spans="1:8" x14ac:dyDescent="0.25">
      <c r="A164" s="16" t="s">
        <v>436</v>
      </c>
      <c r="B164">
        <v>82</v>
      </c>
      <c r="C164">
        <v>0.2</v>
      </c>
      <c r="D164">
        <v>0.1</v>
      </c>
      <c r="E164">
        <v>0.9</v>
      </c>
      <c r="F164">
        <v>21.6</v>
      </c>
      <c r="G164">
        <v>2.2999999999999998</v>
      </c>
      <c r="H164">
        <v>2</v>
      </c>
    </row>
    <row r="165" spans="1:8" x14ac:dyDescent="0.25">
      <c r="A165" s="16" t="s">
        <v>437</v>
      </c>
      <c r="B165">
        <f>B164/4</f>
        <v>20.5</v>
      </c>
      <c r="C165">
        <f t="shared" ref="C165:H165" si="26">C164/4</f>
        <v>0.05</v>
      </c>
      <c r="D165">
        <f t="shared" si="26"/>
        <v>2.5000000000000001E-2</v>
      </c>
      <c r="E165">
        <f t="shared" si="26"/>
        <v>0.22500000000000001</v>
      </c>
      <c r="F165">
        <f t="shared" si="26"/>
        <v>5.4</v>
      </c>
      <c r="G165">
        <f t="shared" si="26"/>
        <v>0.57499999999999996</v>
      </c>
      <c r="H165">
        <f t="shared" si="26"/>
        <v>0.5</v>
      </c>
    </row>
    <row r="166" spans="1:8" x14ac:dyDescent="0.25">
      <c r="A166" s="16" t="s">
        <v>438</v>
      </c>
      <c r="B166">
        <v>216</v>
      </c>
      <c r="C166">
        <v>1.8</v>
      </c>
      <c r="D166">
        <v>0.4</v>
      </c>
      <c r="E166">
        <v>5</v>
      </c>
      <c r="F166">
        <v>44.8</v>
      </c>
      <c r="G166">
        <v>3.5</v>
      </c>
      <c r="H166">
        <v>10</v>
      </c>
    </row>
    <row r="167" spans="1:8" x14ac:dyDescent="0.25">
      <c r="A167" s="16" t="s">
        <v>439</v>
      </c>
      <c r="B167">
        <f>B166*3/2</f>
        <v>324</v>
      </c>
      <c r="C167">
        <f t="shared" ref="C167:H167" si="27">C166*3/2</f>
        <v>2.7</v>
      </c>
      <c r="D167">
        <f t="shared" si="27"/>
        <v>0.60000000000000009</v>
      </c>
      <c r="E167">
        <f t="shared" si="27"/>
        <v>7.5</v>
      </c>
      <c r="F167">
        <f t="shared" si="27"/>
        <v>67.199999999999989</v>
      </c>
      <c r="G167">
        <f t="shared" si="27"/>
        <v>5.25</v>
      </c>
      <c r="H167">
        <f t="shared" si="27"/>
        <v>15</v>
      </c>
    </row>
    <row r="168" spans="1:8" x14ac:dyDescent="0.25">
      <c r="A168" s="16" t="s">
        <v>440</v>
      </c>
      <c r="B168">
        <v>16</v>
      </c>
      <c r="C168">
        <v>0.1</v>
      </c>
      <c r="D168">
        <v>0.1</v>
      </c>
      <c r="E168">
        <v>0.7</v>
      </c>
      <c r="F168">
        <v>3.8</v>
      </c>
      <c r="G168">
        <v>0.5</v>
      </c>
      <c r="H168">
        <v>2</v>
      </c>
    </row>
    <row r="169" spans="1:8" x14ac:dyDescent="0.25">
      <c r="A169" s="16" t="s">
        <v>441</v>
      </c>
      <c r="B169">
        <f>B168/4</f>
        <v>4</v>
      </c>
      <c r="C169">
        <f t="shared" ref="C169:H169" si="28">C168/4</f>
        <v>2.5000000000000001E-2</v>
      </c>
      <c r="D169">
        <f t="shared" si="28"/>
        <v>2.5000000000000001E-2</v>
      </c>
      <c r="E169">
        <f t="shared" si="28"/>
        <v>0.17499999999999999</v>
      </c>
      <c r="F169">
        <f t="shared" si="28"/>
        <v>0.95</v>
      </c>
      <c r="G169">
        <f t="shared" si="28"/>
        <v>0.125</v>
      </c>
      <c r="H169">
        <f t="shared" si="28"/>
        <v>0.5</v>
      </c>
    </row>
    <row r="170" spans="1:8" x14ac:dyDescent="0.25">
      <c r="A170" s="16" t="s">
        <v>442</v>
      </c>
      <c r="B170">
        <v>51</v>
      </c>
      <c r="C170">
        <v>4.3</v>
      </c>
      <c r="D170">
        <v>0.6</v>
      </c>
      <c r="E170">
        <v>1.5</v>
      </c>
      <c r="F170">
        <v>2.2999999999999998</v>
      </c>
      <c r="G170">
        <v>1.3</v>
      </c>
      <c r="H170">
        <v>1</v>
      </c>
    </row>
    <row r="171" spans="1:8" x14ac:dyDescent="0.25">
      <c r="A171" s="16" t="s">
        <v>443</v>
      </c>
      <c r="B171">
        <v>2</v>
      </c>
      <c r="C171">
        <v>0.1</v>
      </c>
      <c r="D171">
        <v>0.1</v>
      </c>
      <c r="E171">
        <v>0.1</v>
      </c>
      <c r="F171">
        <v>0.4</v>
      </c>
      <c r="G171">
        <v>0.1</v>
      </c>
      <c r="H171">
        <v>1</v>
      </c>
    </row>
    <row r="172" spans="1:8" x14ac:dyDescent="0.25">
      <c r="A172" s="16" t="s">
        <v>444</v>
      </c>
      <c r="B172">
        <v>5</v>
      </c>
      <c r="C172">
        <v>0.1</v>
      </c>
      <c r="D172">
        <v>0</v>
      </c>
      <c r="E172">
        <v>0.2</v>
      </c>
      <c r="F172">
        <v>1.2</v>
      </c>
      <c r="G172">
        <v>0.4</v>
      </c>
      <c r="H172">
        <v>1</v>
      </c>
    </row>
    <row r="173" spans="1:8" x14ac:dyDescent="0.25">
      <c r="B173">
        <f>B162*2</f>
        <v>80</v>
      </c>
      <c r="C173">
        <f t="shared" ref="C173:H173" si="29">C162*2</f>
        <v>9</v>
      </c>
      <c r="D173">
        <f t="shared" si="29"/>
        <v>2</v>
      </c>
      <c r="E173">
        <f t="shared" si="29"/>
        <v>0</v>
      </c>
      <c r="F173">
        <f t="shared" si="29"/>
        <v>0</v>
      </c>
      <c r="G173">
        <f t="shared" si="29"/>
        <v>0</v>
      </c>
      <c r="H173">
        <f t="shared" si="29"/>
        <v>80</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researchMeasures</vt:lpstr>
      <vt:lpstr>dataDictionary</vt:lpstr>
      <vt:lpstr>NutritionalData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Janis Corona</dc:creator>
  <cp:lastModifiedBy>Janis Corona</cp:lastModifiedBy>
  <dcterms:created xsi:type="dcterms:W3CDTF">2015-06-05T18:17:20Z</dcterms:created>
  <dcterms:modified xsi:type="dcterms:W3CDTF">2021-03-21T14:01:33Z</dcterms:modified>
</cp:coreProperties>
</file>